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https://utoronto-my.sharepoint.com/personal/lihwei_yeow_mail_utoronto_ca/Documents/1UofT/PhD Research/CANOE/CANOE-transportation/lihwei_db_edits/"/>
    </mc:Choice>
  </mc:AlternateContent>
  <xr:revisionPtr revIDLastSave="57" documentId="13_ncr:1_{CE2D97C8-4BAE-45F9-BE72-241CCDC8F483}" xr6:coauthVersionLast="47" xr6:coauthVersionMax="47" xr10:uidLastSave="{33957F23-8CE5-4F33-BBD9-2FB82B9BBB91}"/>
  <bookViews>
    <workbookView xWindow="-120" yWindow="-120" windowWidth="29040" windowHeight="15720" tabRatio="719" firstSheet="1" activeTab="9" xr2:uid="{72FBC673-A069-45AA-800D-DB4E607A74DF}"/>
  </bookViews>
  <sheets>
    <sheet name="Overview" sheetId="36" r:id="rId1"/>
    <sheet name="Technology" sheetId="54" r:id="rId2"/>
    <sheet name="Commodity" sheetId="55" r:id="rId3"/>
    <sheet name="ExistingCapacity" sheetId="24" r:id="rId4"/>
    <sheet name="Demand" sheetId="30" r:id="rId5"/>
    <sheet name="LifetimeTech" sheetId="7" r:id="rId6"/>
    <sheet name="Efficiency" sheetId="16" r:id="rId7"/>
    <sheet name="CapacityToActivity" sheetId="43" r:id="rId8"/>
    <sheet name="MaxAnnualCapacityFactor" sheetId="44" r:id="rId9"/>
    <sheet name="MinAnnualCapacityFactor" sheetId="59" r:id="rId10"/>
    <sheet name="MaxCapacity" sheetId="52" r:id="rId11"/>
    <sheet name="CostInvest" sheetId="48" r:id="rId12"/>
    <sheet name="CostFixed" sheetId="53" r:id="rId13"/>
    <sheet name="Background Data" sheetId="3" r:id="rId14"/>
    <sheet name="NRCan Fuel Guide" sheetId="18" r:id="rId15"/>
    <sheet name="Autonomie 2023 MHDV" sheetId="23" r:id="rId16"/>
    <sheet name="GREET-AFLEET Data" sheetId="13" r:id="rId17"/>
    <sheet name="OEO &amp; EPAUS9rT Data" sheetId="25" r:id="rId18"/>
    <sheet name="AEO-LDV Data" sheetId="15" r:id="rId19"/>
    <sheet name="H2 Data" sheetId="41" r:id="rId20"/>
    <sheet name="CFAF" sheetId="45" r:id="rId21"/>
    <sheet name="Payload capacity penalty" sheetId="49" r:id="rId22"/>
    <sheet name="Conversion Factors" sheetId="12" r:id="rId23"/>
    <sheet name="References" sheetId="2" r:id="rId24"/>
  </sheets>
  <externalReferences>
    <externalReference r:id="rId25"/>
  </externalReferences>
  <definedNames>
    <definedName name="_xlnm._FilterDatabase" localSheetId="15" hidden="1">'Autonomie 2023 MHDV'!$A$2:$AJ$872</definedName>
    <definedName name="_xlnm._FilterDatabase" localSheetId="6" hidden="1">Efficiency!$A$1:$AP$58</definedName>
    <definedName name="_xlnm._FilterDatabase" localSheetId="5" hidden="1">LifetimeTech!$A$1:$AY$71</definedName>
    <definedName name="_xlnm._FilterDatabase" localSheetId="8" hidden="1">MaxAnnualCapacityFactor!$A$1:$P$65</definedName>
    <definedName name="_xlnm._FilterDatabase" localSheetId="9" hidden="1">MinAnnualCapacityFactor!$A$1:$P$65</definedName>
    <definedName name="_xlnm._FilterDatabase" localSheetId="1" hidden="1">Technology!$A$1:$F$9</definedName>
    <definedName name="BDSL_GJ_L" localSheetId="7">'[1]Conversion Factors'!$G$20</definedName>
    <definedName name="BDSL_GJ_L" localSheetId="11">'[1]Conversion Factors'!$G$20</definedName>
    <definedName name="BDSL_GJ_L" localSheetId="8">'[1]Conversion Factors'!$G$20</definedName>
    <definedName name="BDSL_GJ_L" localSheetId="9">'[1]Conversion Factors'!$G$20</definedName>
    <definedName name="BDSL_GJ_L">'Conversion Factors'!$G$20</definedName>
    <definedName name="BOB_GJ_L" localSheetId="7">'[1]Conversion Factors'!$G$18</definedName>
    <definedName name="BOB_GJ_L" localSheetId="11">'[1]Conversion Factors'!$G$18</definedName>
    <definedName name="BOB_GJ_L" localSheetId="8">'[1]Conversion Factors'!$G$18</definedName>
    <definedName name="BOB_GJ_L" localSheetId="9">'[1]Conversion Factors'!$G$18</definedName>
    <definedName name="BOB_GJ_L">'Conversion Factors'!$G$18</definedName>
    <definedName name="CAD2021_to_2020" localSheetId="7">'[1]Conversion Factors'!$R$15</definedName>
    <definedName name="CAD2021_to_2020" localSheetId="11">'[1]Conversion Factors'!$R$15</definedName>
    <definedName name="CAD2021_to_2020" localSheetId="8">'[1]Conversion Factors'!$R$15</definedName>
    <definedName name="CAD2021_to_2020" localSheetId="9">'[1]Conversion Factors'!$R$15</definedName>
    <definedName name="CAD2021_to_2020">'Conversion Factors'!$R$15</definedName>
    <definedName name="CAD2022_to_2020" localSheetId="7">'[1]Conversion Factors'!$R$16</definedName>
    <definedName name="CAD2022_to_2020" localSheetId="11">'[1]Conversion Factors'!$R$16</definedName>
    <definedName name="CAD2022_to_2020" localSheetId="8">'[1]Conversion Factors'!$R$16</definedName>
    <definedName name="CAD2022_to_2020" localSheetId="9">'[1]Conversion Factors'!$R$16</definedName>
    <definedName name="CAD2022_to_2020">'Conversion Factors'!$R$16</definedName>
    <definedName name="CNG_DGE">'Conversion Factors'!$D$28</definedName>
    <definedName name="DGE_GGE" localSheetId="7">'[1]Conversion Factors'!$C$19</definedName>
    <definedName name="DGE_GGE" localSheetId="11">'[1]Conversion Factors'!$C$19</definedName>
    <definedName name="DGE_GGE" localSheetId="8">'[1]Conversion Factors'!$C$19</definedName>
    <definedName name="DGE_GGE" localSheetId="9">'[1]Conversion Factors'!$C$19</definedName>
    <definedName name="DGE_GGE">'Conversion Factors'!$C$19</definedName>
    <definedName name="DSL_PJ_ML" localSheetId="7">'[1]Conversion Factors'!$G$15</definedName>
    <definedName name="DSL_PJ_ML" localSheetId="11">'[1]Conversion Factors'!$G$15</definedName>
    <definedName name="DSL_PJ_ML" localSheetId="8">'[1]Conversion Factors'!$G$15</definedName>
    <definedName name="DSL_PJ_ML" localSheetId="9">'[1]Conversion Factors'!$G$15</definedName>
    <definedName name="DSL_PJ_ML">'Conversion Factors'!$G$15</definedName>
    <definedName name="E85_PJ_ML">'Conversion Factors'!$G$16</definedName>
    <definedName name="ELC_PJ_MkWh" localSheetId="7">'[1]Conversion Factors'!$G$17</definedName>
    <definedName name="ELC_PJ_MkWh" localSheetId="11">'[1]Conversion Factors'!$G$17</definedName>
    <definedName name="ELC_PJ_MkWh" localSheetId="8">'[1]Conversion Factors'!$G$17</definedName>
    <definedName name="ELC_PJ_MkWh" localSheetId="9">'[1]Conversion Factors'!$G$17</definedName>
    <definedName name="ELC_PJ_MkWh">'Conversion Factors'!$G$17</definedName>
    <definedName name="ETH_GJ_L" localSheetId="7">'[1]Conversion Factors'!$G$19</definedName>
    <definedName name="ETH_GJ_L" localSheetId="11">'[1]Conversion Factors'!$G$19</definedName>
    <definedName name="ETH_GJ_L" localSheetId="8">'[1]Conversion Factors'!$G$19</definedName>
    <definedName name="ETH_GJ_L" localSheetId="9">'[1]Conversion Factors'!$G$19</definedName>
    <definedName name="ETH_GJ_L">'Conversion Factors'!$G$19</definedName>
    <definedName name="GBP2020_to_CAD2020" localSheetId="7">'[1]Conversion Factors'!$R$17</definedName>
    <definedName name="GBP2020_to_CAD2020" localSheetId="11">'[1]Conversion Factors'!$R$17</definedName>
    <definedName name="GBP2020_to_CAD2020" localSheetId="8">'[1]Conversion Factors'!$R$17</definedName>
    <definedName name="GBP2020_to_CAD2020" localSheetId="9">'[1]Conversion Factors'!$R$17</definedName>
    <definedName name="GBP2020_to_CAD2020">'Conversion Factors'!$R$17</definedName>
    <definedName name="GGE_DGE">'Conversion Factors'!$D$18</definedName>
    <definedName name="GSL_PJ_ML" localSheetId="7">'[1]Conversion Factors'!$G$14</definedName>
    <definedName name="GSL_PJ_ML" localSheetId="11">'[1]Conversion Factors'!$G$14</definedName>
    <definedName name="GSL_PJ_ML" localSheetId="8">'[1]Conversion Factors'!$G$14</definedName>
    <definedName name="GSL_PJ_ML" localSheetId="9">'[1]Conversion Factors'!$G$14</definedName>
    <definedName name="GSL_PJ_ML">'Conversion Factors'!$G$14</definedName>
    <definedName name="GWy_PJ" localSheetId="7">'[1]Conversion Factors'!$G$27</definedName>
    <definedName name="GWy_PJ" localSheetId="11">'[1]Conversion Factors'!$G$27</definedName>
    <definedName name="GWy_PJ" localSheetId="8">'[1]Conversion Factors'!$G$27</definedName>
    <definedName name="GWy_PJ" localSheetId="9">'[1]Conversion Factors'!$G$27</definedName>
    <definedName name="GWy_PJ">'Conversion Factors'!$G$27</definedName>
    <definedName name="H2_HHV_by_LHV" localSheetId="7">'[1]Conversion Factors'!$D$14</definedName>
    <definedName name="H2_HHV_by_LHV" localSheetId="11">'[1]Conversion Factors'!$D$14</definedName>
    <definedName name="H2_HHV_by_LHV" localSheetId="8">'[1]Conversion Factors'!$D$14</definedName>
    <definedName name="H2_HHV_by_LHV" localSheetId="9">'[1]Conversion Factors'!$D$14</definedName>
    <definedName name="H2_HHV_by_LHV">'Conversion Factors'!$D$14</definedName>
    <definedName name="HDRD_GJ_L" localSheetId="7">'[1]Conversion Factors'!$G$21</definedName>
    <definedName name="HDRD_GJ_L" localSheetId="11">'[1]Conversion Factors'!$G$21</definedName>
    <definedName name="HDRD_GJ_L" localSheetId="8">'[1]Conversion Factors'!$G$21</definedName>
    <definedName name="HDRD_GJ_L" localSheetId="9">'[1]Conversion Factors'!$G$21</definedName>
    <definedName name="HDRD_GJ_L">'Conversion Factors'!$G$21</definedName>
    <definedName name="HFO_MDO" localSheetId="7">'[1]Conversion Factors'!$G$25</definedName>
    <definedName name="HFO_MDO" localSheetId="11">'[1]Conversion Factors'!$G$25</definedName>
    <definedName name="HFO_MDO" localSheetId="8">'[1]Conversion Factors'!$G$25</definedName>
    <definedName name="HFO_MDO" localSheetId="9">'[1]Conversion Factors'!$G$25</definedName>
    <definedName name="HFO_MDO">'Conversion Factors'!$G$25</definedName>
    <definedName name="HFO_MJ_L" localSheetId="7">'[1]Conversion Factors'!$G$23</definedName>
    <definedName name="HFO_MJ_L" localSheetId="11">'[1]Conversion Factors'!$G$23</definedName>
    <definedName name="HFO_MJ_L" localSheetId="8">'[1]Conversion Factors'!$G$23</definedName>
    <definedName name="HFO_MJ_L" localSheetId="9">'[1]Conversion Factors'!$G$23</definedName>
    <definedName name="HFO_MJ_L">'Conversion Factors'!$G$23</definedName>
    <definedName name="km_mile" localSheetId="7">'[1]Conversion Factors'!$G$3</definedName>
    <definedName name="km_mile" localSheetId="11">'[1]Conversion Factors'!$G$3</definedName>
    <definedName name="km_mile" localSheetId="8">'[1]Conversion Factors'!$G$3</definedName>
    <definedName name="km_mile" localSheetId="9">'[1]Conversion Factors'!$G$3</definedName>
    <definedName name="km_mile">'Conversion Factors'!$G$3</definedName>
    <definedName name="kWh_GGE">'Conversion Factors'!$C$20</definedName>
    <definedName name="L_100km_to_mpg" localSheetId="7">'[1]Conversion Factors'!$G$12</definedName>
    <definedName name="L_100km_to_mpg" localSheetId="11">'[1]Conversion Factors'!$G$12</definedName>
    <definedName name="L_100km_to_mpg" localSheetId="8">'[1]Conversion Factors'!$G$12</definedName>
    <definedName name="L_100km_to_mpg" localSheetId="9">'[1]Conversion Factors'!$G$12</definedName>
    <definedName name="L_100km_to_mpg">'Conversion Factors'!$G$12</definedName>
    <definedName name="L_gal" localSheetId="7">'[1]Conversion Factors'!$G$4</definedName>
    <definedName name="L_gal" localSheetId="11">'[1]Conversion Factors'!$G$4</definedName>
    <definedName name="L_gal" localSheetId="8">'[1]Conversion Factors'!$G$4</definedName>
    <definedName name="L_gal" localSheetId="9">'[1]Conversion Factors'!$G$4</definedName>
    <definedName name="L_gal">'Conversion Factors'!$G$4</definedName>
    <definedName name="LHV_to_HHV_Diesel" localSheetId="7">'[1]Conversion Factors'!$G$22</definedName>
    <definedName name="LHV_to_HHV_Diesel" localSheetId="11">'[1]Conversion Factors'!$G$22</definedName>
    <definedName name="LHV_to_HHV_Diesel" localSheetId="8">'[1]Conversion Factors'!$G$22</definedName>
    <definedName name="LHV_to_HHV_Diesel" localSheetId="9">'[1]Conversion Factors'!$G$22</definedName>
    <definedName name="LHV_to_HHV_Diesel">'Conversion Factors'!$G$22</definedName>
    <definedName name="MDO_MJ_L" localSheetId="7">'[1]Conversion Factors'!$G$24</definedName>
    <definedName name="MDO_MJ_L" localSheetId="11">'[1]Conversion Factors'!$G$24</definedName>
    <definedName name="MDO_MJ_L" localSheetId="8">'[1]Conversion Factors'!$G$24</definedName>
    <definedName name="MDO_MJ_L" localSheetId="9">'[1]Conversion Factors'!$G$24</definedName>
    <definedName name="MDO_MJ_L">'Conversion Factors'!$G$24</definedName>
    <definedName name="MGO_MDO" localSheetId="7">'[1]Conversion Factors'!$G$26</definedName>
    <definedName name="MGO_MDO" localSheetId="11">'[1]Conversion Factors'!$G$26</definedName>
    <definedName name="MGO_MDO" localSheetId="8">'[1]Conversion Factors'!$G$26</definedName>
    <definedName name="MGO_MDO" localSheetId="9">'[1]Conversion Factors'!$G$26</definedName>
    <definedName name="MGO_MDO">'Conversion Factors'!$G$26</definedName>
    <definedName name="MJ_Btu" localSheetId="7">'[1]Conversion Factors'!$G$50</definedName>
    <definedName name="MJ_Btu" localSheetId="11">'[1]Conversion Factors'!$G$50</definedName>
    <definedName name="MJ_Btu" localSheetId="8">'[1]Conversion Factors'!$G$50</definedName>
    <definedName name="MJ_Btu" localSheetId="9">'[1]Conversion Factors'!$G$50</definedName>
    <definedName name="MJ_Btu">'Conversion Factors'!$G$50</definedName>
    <definedName name="MJ_MMBtu" localSheetId="7">'[1]Conversion Factors'!$H$50</definedName>
    <definedName name="MJ_MMBtu" localSheetId="11">'[1]Conversion Factors'!$H$50</definedName>
    <definedName name="MJ_MMBtu" localSheetId="8">'[1]Conversion Factors'!$H$50</definedName>
    <definedName name="MJ_MMBtu" localSheetId="9">'[1]Conversion Factors'!$H$50</definedName>
    <definedName name="MJ_MMBtu">'Conversion Factors'!$H$50</definedName>
    <definedName name="NG_HHV_by_LHV">'Conversion Factors'!$D$13</definedName>
    <definedName name="PJ_MMBtu" localSheetId="7">'[1]Conversion Factors'!$G$2</definedName>
    <definedName name="PJ_MMBtu" localSheetId="11">'[1]Conversion Factors'!$G$2</definedName>
    <definedName name="PJ_MMBtu" localSheetId="8">'[1]Conversion Factors'!$G$2</definedName>
    <definedName name="PJ_MMBtu" localSheetId="9">'[1]Conversion Factors'!$G$2</definedName>
    <definedName name="PJ_MMBtu">'Conversion Factors'!$G$2</definedName>
    <definedName name="ton_tonne">'Conversion Factors'!$D$38</definedName>
    <definedName name="tonne_ton" localSheetId="7">'[1]Conversion Factors'!$F$36</definedName>
    <definedName name="tonne_ton" localSheetId="11">'[1]Conversion Factors'!$F$36</definedName>
    <definedName name="tonne_ton" localSheetId="8">'[1]Conversion Factors'!$F$36</definedName>
    <definedName name="tonne_ton" localSheetId="9">'[1]Conversion Factors'!$F$36</definedName>
    <definedName name="tonne_ton">'Conversion Factors'!$F$36</definedName>
    <definedName name="USD_CAD_2020" localSheetId="7">'[1]Conversion Factors'!$R$10</definedName>
    <definedName name="USD_CAD_2020" localSheetId="11">'[1]Conversion Factors'!$R$10</definedName>
    <definedName name="USD_CAD_2020" localSheetId="8">'[1]Conversion Factors'!$R$10</definedName>
    <definedName name="USD_CAD_2020" localSheetId="9">'[1]Conversion Factors'!$R$10</definedName>
    <definedName name="USD_CAD_2020">'Conversion Factors'!$R$10</definedName>
    <definedName name="USD2005_to_CAD2020" localSheetId="7">'[1]Conversion Factors'!$R$6</definedName>
    <definedName name="USD2005_to_CAD2020" localSheetId="11">'[1]Conversion Factors'!$R$6</definedName>
    <definedName name="USD2005_to_CAD2020" localSheetId="8">'[1]Conversion Factors'!$R$6</definedName>
    <definedName name="USD2005_to_CAD2020" localSheetId="9">'[1]Conversion Factors'!$R$6</definedName>
    <definedName name="USD2005_to_CAD2020">'Conversion Factors'!$R$6</definedName>
    <definedName name="USD2017_to_CAD2020" localSheetId="7">'[1]Conversion Factors'!$R$7</definedName>
    <definedName name="USD2017_to_CAD2020" localSheetId="11">'[1]Conversion Factors'!$R$7</definedName>
    <definedName name="USD2017_to_CAD2020" localSheetId="8">'[1]Conversion Factors'!$R$7</definedName>
    <definedName name="USD2017_to_CAD2020" localSheetId="9">'[1]Conversion Factors'!$R$7</definedName>
    <definedName name="USD2017_to_CAD2020">'Conversion Factors'!$R$7</definedName>
    <definedName name="USD2018_to_CAD2020" localSheetId="7">'[1]Conversion Factors'!$R$8</definedName>
    <definedName name="USD2018_to_CAD2020" localSheetId="11">'[1]Conversion Factors'!$R$8</definedName>
    <definedName name="USD2018_to_CAD2020" localSheetId="8">'[1]Conversion Factors'!$R$8</definedName>
    <definedName name="USD2018_to_CAD2020" localSheetId="9">'[1]Conversion Factors'!$R$8</definedName>
    <definedName name="USD2018_to_CAD2020">'Conversion Factors'!$R$8</definedName>
    <definedName name="USD2019_to_CAD2020" localSheetId="7">'[1]Conversion Factors'!$R$9</definedName>
    <definedName name="USD2019_to_CAD2020" localSheetId="11">'[1]Conversion Factors'!$R$9</definedName>
    <definedName name="USD2019_to_CAD2020" localSheetId="8">'[1]Conversion Factors'!$R$9</definedName>
    <definedName name="USD2019_to_CAD2020" localSheetId="9">'[1]Conversion Factors'!$R$9</definedName>
    <definedName name="USD2019_to_CAD2020">'Conversion Factors'!$R$9</definedName>
    <definedName name="USD2021_to_CAD2020" localSheetId="7">'[1]Conversion Factors'!$R$11</definedName>
    <definedName name="USD2021_to_CAD2020" localSheetId="11">'[1]Conversion Factors'!$R$11</definedName>
    <definedName name="USD2021_to_CAD2020" localSheetId="8">'[1]Conversion Factors'!$R$11</definedName>
    <definedName name="USD2021_to_CAD2020" localSheetId="9">'[1]Conversion Factors'!$R$11</definedName>
    <definedName name="USD2021_to_CAD2020">'Conversion Factors'!$R$11</definedName>
    <definedName name="USD2022_to_CAD2020" localSheetId="7">'[1]Conversion Factors'!$R$12</definedName>
    <definedName name="USD2022_to_CAD2020" localSheetId="11">'[1]Conversion Factors'!$R$12</definedName>
    <definedName name="USD2022_to_CAD2020" localSheetId="8">'[1]Conversion Factors'!$R$12</definedName>
    <definedName name="USD2022_to_CAD2020" localSheetId="9">'[1]Conversion Factors'!$R$12</definedName>
    <definedName name="USD2022_to_CAD2020">'Conversion Factors'!$R$12</definedName>
    <definedName name="USD2023_to_CAD2020" localSheetId="7">'[1]Conversion Factors'!$R$13</definedName>
    <definedName name="USD2023_to_CAD2020" localSheetId="11">'[1]Conversion Factors'!$R$13</definedName>
    <definedName name="USD2023_to_CAD2020" localSheetId="8">'[1]Conversion Factors'!$R$13</definedName>
    <definedName name="USD2023_to_CAD2020" localSheetId="9">'[1]Conversion Factors'!$R$13</definedName>
    <definedName name="USD2023_to_CAD2020">'Conversion Factors'!$R$13</definedName>
  </definedNames>
  <calcPr calcId="191028" iterate="1" iterateDelta="1.0000000000000001E-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59" l="1" a="1"/>
  <c r="F3" i="59" s="1"/>
  <c r="L10" i="44"/>
  <c r="K10" i="44"/>
  <c r="J10" i="44"/>
  <c r="L3" i="44"/>
  <c r="K3" i="44"/>
  <c r="J3" i="44"/>
  <c r="J4" i="44"/>
  <c r="K11" i="44"/>
  <c r="L11" i="44"/>
  <c r="J11" i="44"/>
  <c r="L18" i="53" l="1"/>
  <c r="L19" i="53"/>
  <c r="L20" i="53"/>
  <c r="L17" i="53"/>
  <c r="L11" i="53"/>
  <c r="L12" i="53"/>
  <c r="L13" i="53"/>
  <c r="L10" i="53"/>
  <c r="L20" i="48"/>
  <c r="M20" i="48"/>
  <c r="N20" i="48"/>
  <c r="O39" i="53" s="1"/>
  <c r="O20" i="48"/>
  <c r="P49" i="53" s="1"/>
  <c r="P20" i="48"/>
  <c r="Q49" i="53" s="1"/>
  <c r="Q20" i="48"/>
  <c r="L21" i="48"/>
  <c r="M30" i="53" s="1"/>
  <c r="M21" i="48"/>
  <c r="N21" i="48"/>
  <c r="O45" i="53" s="1"/>
  <c r="O21" i="48"/>
  <c r="P45" i="53" s="1"/>
  <c r="P21" i="48"/>
  <c r="Q21" i="48"/>
  <c r="R55" i="53" s="1"/>
  <c r="L22" i="48"/>
  <c r="M46" i="53" s="1"/>
  <c r="M22" i="48"/>
  <c r="N51" i="53" s="1"/>
  <c r="N22" i="48"/>
  <c r="O22" i="48"/>
  <c r="P22" i="48"/>
  <c r="Q22" i="48"/>
  <c r="L23" i="48"/>
  <c r="M23" i="48"/>
  <c r="N52" i="53" s="1"/>
  <c r="N23" i="48"/>
  <c r="O57" i="53" s="1"/>
  <c r="O23" i="48"/>
  <c r="P57" i="53" s="1"/>
  <c r="P23" i="48"/>
  <c r="Q23" i="48"/>
  <c r="R57" i="53" s="1"/>
  <c r="L24" i="48"/>
  <c r="M48" i="53" s="1"/>
  <c r="M24" i="48"/>
  <c r="N48" i="53" s="1"/>
  <c r="N24" i="48"/>
  <c r="O48" i="53" s="1"/>
  <c r="O24" i="48"/>
  <c r="P48" i="53" s="1"/>
  <c r="P24" i="48"/>
  <c r="Q24" i="48"/>
  <c r="K21" i="48"/>
  <c r="K22" i="48"/>
  <c r="L31" i="53" s="1"/>
  <c r="O56" i="53"/>
  <c r="P46" i="53"/>
  <c r="R56" i="53"/>
  <c r="K23" i="48"/>
  <c r="N42" i="53"/>
  <c r="O47" i="53"/>
  <c r="P47" i="53"/>
  <c r="Q57" i="53"/>
  <c r="K24" i="48"/>
  <c r="L33" i="53" s="1"/>
  <c r="Q53" i="53"/>
  <c r="R58" i="53"/>
  <c r="K20" i="48"/>
  <c r="L44" i="53" s="1"/>
  <c r="E19" i="43"/>
  <c r="E18" i="43"/>
  <c r="E14" i="43"/>
  <c r="E15" i="43"/>
  <c r="E16" i="43"/>
  <c r="E17" i="43"/>
  <c r="E13" i="43"/>
  <c r="E12" i="43"/>
  <c r="P44" i="53"/>
  <c r="R54" i="53"/>
  <c r="M45" i="53"/>
  <c r="N40" i="53"/>
  <c r="O40" i="53"/>
  <c r="P55" i="53"/>
  <c r="Q55" i="53"/>
  <c r="Q51" i="53"/>
  <c r="L47" i="53"/>
  <c r="L43" i="53"/>
  <c r="L48" i="53"/>
  <c r="L46" i="53"/>
  <c r="L45" i="53"/>
  <c r="S25" i="53"/>
  <c r="S26" i="53"/>
  <c r="S27" i="53"/>
  <c r="S28" i="53"/>
  <c r="S29" i="53"/>
  <c r="S30" i="53"/>
  <c r="S31" i="53"/>
  <c r="S32" i="53"/>
  <c r="S33" i="53"/>
  <c r="S34" i="53"/>
  <c r="S35" i="53"/>
  <c r="S36" i="53"/>
  <c r="S37" i="53"/>
  <c r="S38" i="53"/>
  <c r="S39" i="53"/>
  <c r="S40" i="53"/>
  <c r="S41" i="53"/>
  <c r="S42" i="53"/>
  <c r="S43" i="53"/>
  <c r="S44" i="53"/>
  <c r="S45" i="53"/>
  <c r="S46" i="53"/>
  <c r="S47" i="53"/>
  <c r="S48" i="53"/>
  <c r="S49" i="53"/>
  <c r="S50" i="53"/>
  <c r="S51" i="53"/>
  <c r="S52" i="53"/>
  <c r="S53" i="53"/>
  <c r="S54" i="53"/>
  <c r="S55" i="53"/>
  <c r="S56" i="53"/>
  <c r="S57" i="53"/>
  <c r="S58" i="53"/>
  <c r="S24" i="53"/>
  <c r="L39" i="53"/>
  <c r="L40" i="53"/>
  <c r="Q56" i="53"/>
  <c r="P56" i="53"/>
  <c r="Q54" i="53"/>
  <c r="P54" i="53"/>
  <c r="O54" i="53"/>
  <c r="Q52" i="53"/>
  <c r="P52" i="53"/>
  <c r="O52" i="53"/>
  <c r="O51" i="53"/>
  <c r="N50" i="53"/>
  <c r="O49" i="53"/>
  <c r="N49" i="53"/>
  <c r="M47" i="53"/>
  <c r="N45" i="53"/>
  <c r="O44" i="53"/>
  <c r="N44" i="53"/>
  <c r="M44" i="53"/>
  <c r="O42" i="53"/>
  <c r="M42" i="53"/>
  <c r="N39" i="53"/>
  <c r="M39" i="53"/>
  <c r="L38" i="53"/>
  <c r="M37" i="53"/>
  <c r="L37" i="53"/>
  <c r="L36" i="53"/>
  <c r="L35" i="53"/>
  <c r="N34" i="53"/>
  <c r="M34" i="53"/>
  <c r="M32" i="53"/>
  <c r="L32" i="53"/>
  <c r="L30" i="53"/>
  <c r="M29" i="53"/>
  <c r="L25" i="53"/>
  <c r="L26" i="53"/>
  <c r="L27" i="53"/>
  <c r="L28" i="53"/>
  <c r="M36" i="53" l="1"/>
  <c r="M41" i="53"/>
  <c r="N37" i="53"/>
  <c r="N47" i="53"/>
  <c r="P51" i="53"/>
  <c r="Q58" i="53"/>
  <c r="P58" i="53"/>
  <c r="O46" i="53"/>
  <c r="L41" i="53"/>
  <c r="O41" i="53"/>
  <c r="L34" i="53"/>
  <c r="L24" i="53"/>
  <c r="L29" i="53"/>
  <c r="N36" i="53"/>
  <c r="N41" i="53"/>
  <c r="M31" i="53"/>
  <c r="N53" i="53"/>
  <c r="N46" i="53"/>
  <c r="O53" i="53"/>
  <c r="P53" i="53"/>
  <c r="M33" i="53"/>
  <c r="M38" i="53"/>
  <c r="M43" i="53"/>
  <c r="O50" i="53"/>
  <c r="N38" i="53"/>
  <c r="N43" i="53"/>
  <c r="P50" i="53"/>
  <c r="O43" i="53"/>
  <c r="Q50" i="53"/>
  <c r="O58" i="53"/>
  <c r="M35" i="53"/>
  <c r="M40" i="53"/>
  <c r="O55" i="53"/>
  <c r="N35" i="53"/>
  <c r="L42" i="53"/>
  <c r="F3" i="44"/>
  <c r="AM16" i="59"/>
  <c r="AL16" i="59"/>
  <c r="AK16" i="59"/>
  <c r="AR16" i="59"/>
  <c r="AJ16" i="59"/>
  <c r="AI16" i="59"/>
  <c r="AH16" i="59"/>
  <c r="AG16" i="59"/>
  <c r="AM15" i="59"/>
  <c r="AL15" i="59"/>
  <c r="AN15" i="59"/>
  <c r="AK15" i="59"/>
  <c r="AJ15" i="59"/>
  <c r="AI15" i="59"/>
  <c r="AH15" i="59"/>
  <c r="AG15" i="59"/>
  <c r="AM13" i="59"/>
  <c r="AL13" i="59"/>
  <c r="AK13" i="59"/>
  <c r="AJ13" i="59"/>
  <c r="AO13" i="59"/>
  <c r="AI13" i="59"/>
  <c r="AH13" i="59"/>
  <c r="AG13" i="59"/>
  <c r="AF13" i="59"/>
  <c r="AE13" i="59"/>
  <c r="AD13" i="59"/>
  <c r="AC13" i="59"/>
  <c r="AB13" i="59"/>
  <c r="AA13" i="59"/>
  <c r="Z13" i="59"/>
  <c r="Y13" i="59"/>
  <c r="X13" i="59"/>
  <c r="W13" i="59"/>
  <c r="V13" i="59"/>
  <c r="U13" i="59"/>
  <c r="T13" i="59"/>
  <c r="S13" i="59"/>
  <c r="R13" i="59"/>
  <c r="AR12" i="59"/>
  <c r="AM12" i="59"/>
  <c r="AL12" i="59"/>
  <c r="AK12" i="59"/>
  <c r="AJ12" i="59"/>
  <c r="AI12" i="59"/>
  <c r="AH12" i="59"/>
  <c r="AG12" i="59"/>
  <c r="AF12" i="59"/>
  <c r="AO12" i="59"/>
  <c r="AS12" i="59"/>
  <c r="AE12" i="59"/>
  <c r="AD12" i="59"/>
  <c r="AC12" i="59"/>
  <c r="AB12" i="59"/>
  <c r="AA12" i="59"/>
  <c r="Z12" i="59"/>
  <c r="Y12" i="59"/>
  <c r="X12" i="59"/>
  <c r="W12" i="59"/>
  <c r="V12" i="59"/>
  <c r="U12" i="59"/>
  <c r="T12" i="59"/>
  <c r="S12" i="59"/>
  <c r="R12" i="59"/>
  <c r="AM11" i="59"/>
  <c r="AL11" i="59"/>
  <c r="AK11" i="59"/>
  <c r="AR11" i="59"/>
  <c r="AJ11" i="59"/>
  <c r="AO11" i="59"/>
  <c r="AS11" i="59"/>
  <c r="AI11" i="59"/>
  <c r="AH11" i="59"/>
  <c r="AG11" i="59"/>
  <c r="AF11" i="59"/>
  <c r="AE11" i="59"/>
  <c r="AD11" i="59"/>
  <c r="AC11" i="59"/>
  <c r="AB11" i="59"/>
  <c r="AA11" i="59"/>
  <c r="Z11" i="59"/>
  <c r="Y11" i="59"/>
  <c r="X11" i="59"/>
  <c r="W11" i="59"/>
  <c r="V11" i="59"/>
  <c r="AN11" i="59"/>
  <c r="U11" i="59"/>
  <c r="T11" i="59"/>
  <c r="S11" i="59"/>
  <c r="R11" i="59"/>
  <c r="AR10" i="59"/>
  <c r="AM10" i="59"/>
  <c r="AL10" i="59"/>
  <c r="AK10" i="59"/>
  <c r="AJ10" i="59"/>
  <c r="AI10" i="59"/>
  <c r="AH10" i="59"/>
  <c r="AG10" i="59"/>
  <c r="AF10" i="59"/>
  <c r="AO10" i="59"/>
  <c r="AS10" i="59"/>
  <c r="AE10" i="59"/>
  <c r="AD10" i="59"/>
  <c r="AC10" i="59"/>
  <c r="AB10" i="59"/>
  <c r="AA10" i="59"/>
  <c r="Z10" i="59"/>
  <c r="Y10" i="59"/>
  <c r="X10" i="59"/>
  <c r="W10" i="59"/>
  <c r="V10" i="59"/>
  <c r="U10" i="59"/>
  <c r="T10" i="59"/>
  <c r="S10" i="59"/>
  <c r="R10" i="59"/>
  <c r="AN10" i="59"/>
  <c r="AP10" i="59"/>
  <c r="AM9" i="59"/>
  <c r="AL9" i="59"/>
  <c r="AK9" i="59"/>
  <c r="AR9" i="59"/>
  <c r="AJ9" i="59"/>
  <c r="AO9" i="59"/>
  <c r="AS9" i="59"/>
  <c r="AI9" i="59"/>
  <c r="AH9" i="59"/>
  <c r="AG9" i="59"/>
  <c r="AF9" i="59"/>
  <c r="AE9" i="59"/>
  <c r="AD9" i="59"/>
  <c r="AC9" i="59"/>
  <c r="AB9" i="59"/>
  <c r="AA9" i="59"/>
  <c r="Z9" i="59"/>
  <c r="Y9" i="59"/>
  <c r="X9" i="59"/>
  <c r="W9" i="59"/>
  <c r="V9" i="59"/>
  <c r="AN9" i="59"/>
  <c r="U9" i="59"/>
  <c r="T9" i="59"/>
  <c r="S9" i="59"/>
  <c r="R9" i="59"/>
  <c r="AS8" i="59"/>
  <c r="AR8" i="59"/>
  <c r="AM8" i="59"/>
  <c r="AL8" i="59"/>
  <c r="AK8" i="59"/>
  <c r="AJ8" i="59"/>
  <c r="AI8" i="59"/>
  <c r="AH8" i="59"/>
  <c r="AG8" i="59"/>
  <c r="AF8" i="59"/>
  <c r="AO8" i="59"/>
  <c r="AE8" i="59"/>
  <c r="AD8" i="59"/>
  <c r="AC8" i="59"/>
  <c r="AB8" i="59"/>
  <c r="AA8" i="59"/>
  <c r="Z8" i="59"/>
  <c r="Y8" i="59"/>
  <c r="X8" i="59"/>
  <c r="W8" i="59"/>
  <c r="V8" i="59"/>
  <c r="U8" i="59"/>
  <c r="T8" i="59"/>
  <c r="S8" i="59"/>
  <c r="R8" i="59"/>
  <c r="AM7" i="59"/>
  <c r="AL7" i="59"/>
  <c r="AK7" i="59"/>
  <c r="AJ7" i="59"/>
  <c r="AO7" i="59"/>
  <c r="AI7" i="59"/>
  <c r="AH7" i="59"/>
  <c r="AG7" i="59"/>
  <c r="AF7" i="59"/>
  <c r="AE7" i="59"/>
  <c r="AD7" i="59"/>
  <c r="AC7" i="59"/>
  <c r="AB7" i="59"/>
  <c r="AA7" i="59"/>
  <c r="Z7" i="59"/>
  <c r="Y7" i="59"/>
  <c r="X7" i="59"/>
  <c r="W7" i="59"/>
  <c r="V7" i="59"/>
  <c r="U7" i="59"/>
  <c r="T7" i="59"/>
  <c r="S7" i="59"/>
  <c r="R7" i="59"/>
  <c r="AR6" i="59"/>
  <c r="AM6" i="59"/>
  <c r="AL6" i="59"/>
  <c r="AK6" i="59"/>
  <c r="AJ6" i="59"/>
  <c r="AI6" i="59"/>
  <c r="AH6" i="59"/>
  <c r="AG6" i="59"/>
  <c r="AF6" i="59"/>
  <c r="AO6" i="59"/>
  <c r="AS6" i="59"/>
  <c r="AE6" i="59"/>
  <c r="AD6" i="59"/>
  <c r="AC6" i="59"/>
  <c r="AB6" i="59"/>
  <c r="AA6" i="59"/>
  <c r="Z6" i="59"/>
  <c r="Y6" i="59"/>
  <c r="X6" i="59"/>
  <c r="W6" i="59"/>
  <c r="V6" i="59"/>
  <c r="U6" i="59"/>
  <c r="T6" i="59"/>
  <c r="S6" i="59"/>
  <c r="R6" i="59"/>
  <c r="AM5" i="59"/>
  <c r="AL5" i="59"/>
  <c r="AK5" i="59"/>
  <c r="AR5" i="59"/>
  <c r="AJ5" i="59"/>
  <c r="AO5" i="59"/>
  <c r="AS5" i="59"/>
  <c r="AI5" i="59"/>
  <c r="AH5" i="59"/>
  <c r="AG5" i="59"/>
  <c r="AF5" i="59"/>
  <c r="AE5" i="59"/>
  <c r="AD5" i="59"/>
  <c r="AC5" i="59"/>
  <c r="AB5" i="59"/>
  <c r="AA5" i="59"/>
  <c r="Z5" i="59"/>
  <c r="Y5" i="59"/>
  <c r="X5" i="59"/>
  <c r="W5" i="59"/>
  <c r="V5" i="59"/>
  <c r="AN5" i="59"/>
  <c r="U5" i="59"/>
  <c r="T5" i="59"/>
  <c r="S5" i="59"/>
  <c r="R5" i="59"/>
  <c r="Z4" i="24"/>
  <c r="Z3" i="24"/>
  <c r="U4" i="24"/>
  <c r="U3" i="24"/>
  <c r="P4" i="24"/>
  <c r="P3" i="24"/>
  <c r="K4" i="24"/>
  <c r="K3" i="24"/>
  <c r="H3" i="30"/>
  <c r="J4" i="30"/>
  <c r="K4" i="30"/>
  <c r="L4" i="30"/>
  <c r="M4" i="30"/>
  <c r="N4" i="30"/>
  <c r="O4" i="30"/>
  <c r="I3" i="30"/>
  <c r="L3" i="30"/>
  <c r="I4" i="30"/>
  <c r="AQ15" i="59"/>
  <c r="AP15" i="59"/>
  <c r="AQ11" i="59"/>
  <c r="AP11" i="59"/>
  <c r="AO16" i="59"/>
  <c r="AN16" i="59"/>
  <c r="AP5" i="59"/>
  <c r="AQ5" i="59"/>
  <c r="AN8" i="59"/>
  <c r="AQ9" i="59"/>
  <c r="AP9" i="59"/>
  <c r="AR15" i="59"/>
  <c r="AO15" i="59"/>
  <c r="AN6" i="59"/>
  <c r="AQ10" i="59"/>
  <c r="AN12" i="59"/>
  <c r="AN13" i="59"/>
  <c r="AS13" i="59"/>
  <c r="AN7" i="59"/>
  <c r="AS7" i="59"/>
  <c r="AR13" i="59"/>
  <c r="AR7" i="59"/>
  <c r="J3" i="30"/>
  <c r="O3" i="30"/>
  <c r="N3" i="30"/>
  <c r="M3" i="30"/>
  <c r="K3" i="30"/>
  <c r="AP8" i="59"/>
  <c r="AQ8" i="59"/>
  <c r="AQ16" i="59"/>
  <c r="AP16" i="59"/>
  <c r="AP12" i="59"/>
  <c r="AQ12" i="59"/>
  <c r="AS16" i="59"/>
  <c r="AS15" i="59"/>
  <c r="AP13" i="59"/>
  <c r="AQ13" i="59"/>
  <c r="AP7" i="59"/>
  <c r="AQ7" i="59"/>
  <c r="AP6" i="59"/>
  <c r="AQ6" i="59"/>
  <c r="BJ3" i="24"/>
  <c r="G21" i="48"/>
  <c r="G22" i="48"/>
  <c r="G23" i="48"/>
  <c r="G24" i="48"/>
  <c r="G20" i="48"/>
  <c r="G18" i="53"/>
  <c r="G19" i="53"/>
  <c r="G20" i="53"/>
  <c r="G21" i="53"/>
  <c r="G22" i="53"/>
  <c r="G23" i="53"/>
  <c r="G11" i="53"/>
  <c r="O13" i="53"/>
  <c r="G12" i="53"/>
  <c r="G13" i="53"/>
  <c r="G14" i="53"/>
  <c r="G15" i="53"/>
  <c r="G16" i="53"/>
  <c r="G17" i="53"/>
  <c r="G10" i="53"/>
  <c r="G18" i="48"/>
  <c r="G19" i="48"/>
  <c r="G25" i="48"/>
  <c r="G10" i="48"/>
  <c r="G11" i="48"/>
  <c r="G12" i="48"/>
  <c r="G13" i="48"/>
  <c r="G14" i="48"/>
  <c r="G15" i="48"/>
  <c r="G16" i="48"/>
  <c r="G17" i="48"/>
  <c r="AH28" i="48"/>
  <c r="AG28" i="48"/>
  <c r="AG22" i="48"/>
  <c r="AH22" i="48"/>
  <c r="AG23" i="48"/>
  <c r="AH23" i="48"/>
  <c r="AG21" i="48"/>
  <c r="AH21" i="48"/>
  <c r="AM21" i="48" a="1"/>
  <c r="AM21" i="48" s="1"/>
  <c r="K10" i="48" s="1" a="1"/>
  <c r="K10" i="48" s="1"/>
  <c r="AC24" i="48" a="1"/>
  <c r="AC24" i="48"/>
  <c r="AC25" i="48" a="1"/>
  <c r="AC25" i="48"/>
  <c r="AC26" i="48" a="1"/>
  <c r="AC26" i="48"/>
  <c r="AC27" i="48" a="1"/>
  <c r="AC27" i="48"/>
  <c r="G9" i="48"/>
  <c r="G8" i="48"/>
  <c r="G7" i="48"/>
  <c r="G6" i="48"/>
  <c r="G5" i="48"/>
  <c r="G4" i="48"/>
  <c r="G3" i="48"/>
  <c r="AL5" i="23"/>
  <c r="AH15" i="44"/>
  <c r="AI15" i="44"/>
  <c r="AJ15" i="44"/>
  <c r="AK15" i="44"/>
  <c r="AR15" i="44"/>
  <c r="AL15" i="44"/>
  <c r="AM15" i="44"/>
  <c r="AH16" i="44"/>
  <c r="AI16" i="44"/>
  <c r="AJ16" i="44"/>
  <c r="AK16" i="44"/>
  <c r="AR16" i="44"/>
  <c r="AL16" i="44"/>
  <c r="AM16" i="44"/>
  <c r="AG16" i="44"/>
  <c r="AN16" i="44"/>
  <c r="AQ16" i="44"/>
  <c r="AG15" i="44"/>
  <c r="AO15" i="44"/>
  <c r="AG9" i="44"/>
  <c r="AS15" i="44"/>
  <c r="AO16" i="44"/>
  <c r="AN15" i="44"/>
  <c r="AQ15" i="44"/>
  <c r="AP15" i="44"/>
  <c r="AP16" i="44"/>
  <c r="AS16" i="44"/>
  <c r="AM13" i="44"/>
  <c r="AL13" i="44"/>
  <c r="AK13" i="44"/>
  <c r="AJ13" i="44"/>
  <c r="AI13" i="44"/>
  <c r="AH13" i="44"/>
  <c r="AG13" i="44"/>
  <c r="AF13" i="44"/>
  <c r="AE13" i="44"/>
  <c r="AD13" i="44"/>
  <c r="AC13" i="44"/>
  <c r="AB13" i="44"/>
  <c r="AA13" i="44"/>
  <c r="Z13" i="44"/>
  <c r="Y13" i="44"/>
  <c r="X13" i="44"/>
  <c r="W13" i="44"/>
  <c r="V13" i="44"/>
  <c r="U13" i="44"/>
  <c r="T13" i="44"/>
  <c r="S13" i="44"/>
  <c r="R13" i="44"/>
  <c r="AM12" i="44"/>
  <c r="AL12" i="44"/>
  <c r="AK12" i="44"/>
  <c r="AJ12" i="44"/>
  <c r="AI12" i="44"/>
  <c r="AH12" i="44"/>
  <c r="AG12" i="44"/>
  <c r="AF12" i="44"/>
  <c r="AE12" i="44"/>
  <c r="AD12" i="44"/>
  <c r="AC12" i="44"/>
  <c r="AB12" i="44"/>
  <c r="AA12" i="44"/>
  <c r="Z12" i="44"/>
  <c r="Y12" i="44"/>
  <c r="X12" i="44"/>
  <c r="W12" i="44"/>
  <c r="V12" i="44"/>
  <c r="U12" i="44"/>
  <c r="T12" i="44"/>
  <c r="S12" i="44"/>
  <c r="R12" i="44"/>
  <c r="AM11" i="44"/>
  <c r="AL11" i="44"/>
  <c r="AK11" i="44"/>
  <c r="AR11" i="44"/>
  <c r="AJ11" i="44"/>
  <c r="AI11" i="44"/>
  <c r="AH11" i="44"/>
  <c r="AG11" i="44"/>
  <c r="AF11" i="44"/>
  <c r="AE11" i="44"/>
  <c r="AD11" i="44"/>
  <c r="AC11" i="44"/>
  <c r="AB11" i="44"/>
  <c r="AA11" i="44"/>
  <c r="Z11" i="44"/>
  <c r="Y11" i="44"/>
  <c r="X11" i="44"/>
  <c r="W11" i="44"/>
  <c r="V11" i="44"/>
  <c r="U11" i="44"/>
  <c r="T11" i="44"/>
  <c r="S11" i="44"/>
  <c r="R11" i="44"/>
  <c r="AM10" i="44"/>
  <c r="AL10" i="44"/>
  <c r="AK10" i="44"/>
  <c r="AJ10" i="44"/>
  <c r="AI10" i="44"/>
  <c r="AH10" i="44"/>
  <c r="AG10" i="44"/>
  <c r="AF10" i="44"/>
  <c r="AE10" i="44"/>
  <c r="AD10" i="44"/>
  <c r="AC10" i="44"/>
  <c r="AB10" i="44"/>
  <c r="AA10" i="44"/>
  <c r="Z10" i="44"/>
  <c r="Y10" i="44"/>
  <c r="X10" i="44"/>
  <c r="W10" i="44"/>
  <c r="V10" i="44"/>
  <c r="U10" i="44"/>
  <c r="T10" i="44"/>
  <c r="S10" i="44"/>
  <c r="R10" i="44"/>
  <c r="AM9" i="44"/>
  <c r="AL9" i="44"/>
  <c r="AK9" i="44"/>
  <c r="AR9" i="44"/>
  <c r="AJ9" i="44"/>
  <c r="AI9" i="44"/>
  <c r="AH9" i="44"/>
  <c r="AF9" i="44"/>
  <c r="AE9" i="44"/>
  <c r="AD9" i="44"/>
  <c r="AC9" i="44"/>
  <c r="AB9" i="44"/>
  <c r="AA9" i="44"/>
  <c r="Z9" i="44"/>
  <c r="Y9" i="44"/>
  <c r="X9" i="44"/>
  <c r="W9" i="44"/>
  <c r="V9" i="44"/>
  <c r="U9" i="44"/>
  <c r="T9" i="44"/>
  <c r="S9" i="44"/>
  <c r="R9" i="44"/>
  <c r="AM8" i="44"/>
  <c r="AL8" i="44"/>
  <c r="AK8" i="44"/>
  <c r="AJ8" i="44"/>
  <c r="AI8" i="44"/>
  <c r="AH8" i="44"/>
  <c r="AG8" i="44"/>
  <c r="AF8" i="44"/>
  <c r="AE8" i="44"/>
  <c r="AD8" i="44"/>
  <c r="AC8" i="44"/>
  <c r="AB8" i="44"/>
  <c r="AA8" i="44"/>
  <c r="Z8" i="44"/>
  <c r="Y8" i="44"/>
  <c r="X8" i="44"/>
  <c r="W8" i="44"/>
  <c r="V8" i="44"/>
  <c r="U8" i="44"/>
  <c r="T8" i="44"/>
  <c r="AM7" i="44"/>
  <c r="AL7" i="44"/>
  <c r="AK7" i="44"/>
  <c r="AJ7" i="44"/>
  <c r="AI7" i="44"/>
  <c r="AH7" i="44"/>
  <c r="AG7" i="44"/>
  <c r="AF7" i="44"/>
  <c r="AE7" i="44"/>
  <c r="AD7" i="44"/>
  <c r="AC7" i="44"/>
  <c r="AB7" i="44"/>
  <c r="AA7" i="44"/>
  <c r="Z7" i="44"/>
  <c r="Y7" i="44"/>
  <c r="X7" i="44"/>
  <c r="W7" i="44"/>
  <c r="V7" i="44"/>
  <c r="U7" i="44"/>
  <c r="T7" i="44"/>
  <c r="S7" i="44"/>
  <c r="R7" i="44"/>
  <c r="AM6" i="44"/>
  <c r="AL6" i="44"/>
  <c r="AK6" i="44"/>
  <c r="AJ6" i="44"/>
  <c r="AI6" i="44"/>
  <c r="AH6" i="44"/>
  <c r="AG6" i="44"/>
  <c r="AF6" i="44"/>
  <c r="AE6" i="44"/>
  <c r="AD6" i="44"/>
  <c r="AC6" i="44"/>
  <c r="AB6" i="44"/>
  <c r="AA6" i="44"/>
  <c r="Z6" i="44"/>
  <c r="Y6" i="44"/>
  <c r="X6" i="44"/>
  <c r="W6" i="44"/>
  <c r="V6" i="44"/>
  <c r="U6" i="44"/>
  <c r="T6" i="44"/>
  <c r="S6" i="44"/>
  <c r="R6" i="44"/>
  <c r="AM5" i="44"/>
  <c r="AL5" i="44"/>
  <c r="AK5" i="44"/>
  <c r="AR5" i="44"/>
  <c r="AJ5" i="44"/>
  <c r="AI5" i="44"/>
  <c r="AH5" i="44"/>
  <c r="AG5" i="44"/>
  <c r="AF5" i="44"/>
  <c r="AE5" i="44"/>
  <c r="AD5" i="44"/>
  <c r="AC5" i="44"/>
  <c r="AB5" i="44"/>
  <c r="AA5" i="44"/>
  <c r="Z5" i="44"/>
  <c r="Y5" i="44"/>
  <c r="X5" i="44"/>
  <c r="W5" i="44"/>
  <c r="V5" i="44"/>
  <c r="U5" i="44"/>
  <c r="T5" i="44"/>
  <c r="S5" i="44"/>
  <c r="R5" i="44"/>
  <c r="S8" i="44"/>
  <c r="R8" i="44"/>
  <c r="E3" i="43"/>
  <c r="E4" i="43"/>
  <c r="E5" i="43"/>
  <c r="E6" i="43"/>
  <c r="E7" i="43"/>
  <c r="E8" i="43"/>
  <c r="E9" i="43"/>
  <c r="E10" i="43"/>
  <c r="E11" i="43"/>
  <c r="E2" i="43"/>
  <c r="G4" i="30"/>
  <c r="H4" i="30"/>
  <c r="F4" i="30"/>
  <c r="F3" i="30"/>
  <c r="G3" i="30"/>
  <c r="F10" i="44"/>
  <c r="F8" i="44"/>
  <c r="H3" i="44"/>
  <c r="I3" i="44"/>
  <c r="J18" i="44"/>
  <c r="K12" i="44"/>
  <c r="L13" i="44"/>
  <c r="H10" i="44"/>
  <c r="H11" i="44"/>
  <c r="I10" i="44"/>
  <c r="I11" i="44"/>
  <c r="AO6" i="44"/>
  <c r="AR10" i="44"/>
  <c r="AO9" i="44"/>
  <c r="AO11" i="44"/>
  <c r="AS11" i="44"/>
  <c r="AR13" i="44"/>
  <c r="AR6" i="44"/>
  <c r="AO10" i="44"/>
  <c r="AS10" i="44"/>
  <c r="AO7" i="44"/>
  <c r="AS7" i="44"/>
  <c r="AR8" i="44"/>
  <c r="AN9" i="44"/>
  <c r="AP9" i="44"/>
  <c r="AN12" i="44"/>
  <c r="AQ12" i="44"/>
  <c r="AO12" i="44"/>
  <c r="AS12" i="44"/>
  <c r="AN10" i="44"/>
  <c r="AQ10" i="44"/>
  <c r="AN7" i="44"/>
  <c r="AQ7" i="44"/>
  <c r="AN5" i="44"/>
  <c r="AP5" i="44"/>
  <c r="AO5" i="44"/>
  <c r="AS5" i="44"/>
  <c r="AR12" i="44"/>
  <c r="AN8" i="44"/>
  <c r="AQ8" i="44"/>
  <c r="AO8" i="44"/>
  <c r="AS8" i="44"/>
  <c r="F5" i="44"/>
  <c r="AN13" i="44"/>
  <c r="AQ13" i="44"/>
  <c r="AO13" i="44"/>
  <c r="AS13" i="44"/>
  <c r="AN6" i="44"/>
  <c r="AS6" i="44"/>
  <c r="AN11" i="44"/>
  <c r="F7" i="44"/>
  <c r="F9" i="44"/>
  <c r="AR7" i="44"/>
  <c r="AG53" i="3"/>
  <c r="F4" i="44"/>
  <c r="F6" i="44"/>
  <c r="I12" i="44"/>
  <c r="I19" i="44"/>
  <c r="I15" i="44"/>
  <c r="I16" i="44"/>
  <c r="I14" i="44"/>
  <c r="I17" i="44"/>
  <c r="I13" i="44"/>
  <c r="I18" i="44"/>
  <c r="H18" i="44"/>
  <c r="H12" i="44"/>
  <c r="H15" i="44"/>
  <c r="H13" i="44"/>
  <c r="H16" i="44"/>
  <c r="H14" i="44"/>
  <c r="H17" i="44"/>
  <c r="H19" i="44"/>
  <c r="F11" i="44"/>
  <c r="G10" i="44"/>
  <c r="G11" i="44"/>
  <c r="AQ9" i="44"/>
  <c r="G3" i="44"/>
  <c r="AS9" i="44"/>
  <c r="AQ5" i="44"/>
  <c r="AP12" i="44"/>
  <c r="AP10" i="44"/>
  <c r="AP13" i="44"/>
  <c r="AP7" i="44"/>
  <c r="AP8" i="44"/>
  <c r="G7" i="44"/>
  <c r="G9" i="44"/>
  <c r="AQ11" i="44"/>
  <c r="AP11" i="44"/>
  <c r="K8" i="44"/>
  <c r="K4" i="44"/>
  <c r="H9" i="44"/>
  <c r="I4" i="44"/>
  <c r="J6" i="44"/>
  <c r="H4" i="44"/>
  <c r="I6" i="44"/>
  <c r="K5" i="44"/>
  <c r="I8" i="44"/>
  <c r="H8" i="44"/>
  <c r="K7" i="44"/>
  <c r="J7" i="44"/>
  <c r="I7" i="44"/>
  <c r="AQ6" i="44"/>
  <c r="AP6" i="44"/>
  <c r="AL107" i="24"/>
  <c r="AT108" i="24"/>
  <c r="AT104" i="24"/>
  <c r="AT98" i="24"/>
  <c r="AT92" i="24"/>
  <c r="AS107" i="24"/>
  <c r="AS106" i="24"/>
  <c r="AS105" i="24"/>
  <c r="AS103" i="24"/>
  <c r="AS102" i="24"/>
  <c r="AS101" i="24"/>
  <c r="AS100" i="24"/>
  <c r="AS99" i="24"/>
  <c r="AS97" i="24"/>
  <c r="AS96" i="24"/>
  <c r="AS95" i="24"/>
  <c r="AS94" i="24"/>
  <c r="AS93" i="24"/>
  <c r="AS91" i="24"/>
  <c r="AS90" i="24"/>
  <c r="AS89" i="24"/>
  <c r="AS88" i="24"/>
  <c r="AS87" i="24"/>
  <c r="AO91" i="24"/>
  <c r="AP91" i="24"/>
  <c r="AO90" i="24"/>
  <c r="AP90" i="24"/>
  <c r="AO89" i="24"/>
  <c r="AP89" i="24"/>
  <c r="AO88" i="24"/>
  <c r="AP88" i="24"/>
  <c r="AO87" i="24"/>
  <c r="AP87" i="24"/>
  <c r="AV29" i="24"/>
  <c r="AU29" i="24"/>
  <c r="AT29" i="24"/>
  <c r="AS29" i="24"/>
  <c r="AR29" i="24"/>
  <c r="AQ29" i="24"/>
  <c r="AP29" i="24"/>
  <c r="AO29" i="24"/>
  <c r="AN29" i="24"/>
  <c r="AM29" i="24"/>
  <c r="AL29" i="24"/>
  <c r="AW29" i="24"/>
  <c r="AP108" i="24"/>
  <c r="AO107" i="24"/>
  <c r="AP107" i="24"/>
  <c r="AO106" i="24"/>
  <c r="AP106" i="24"/>
  <c r="AO105" i="24"/>
  <c r="AP105" i="24"/>
  <c r="AO103" i="24"/>
  <c r="AP103" i="24"/>
  <c r="AO102" i="24"/>
  <c r="AP102" i="24"/>
  <c r="AO101" i="24"/>
  <c r="AP101" i="24"/>
  <c r="AO100" i="24"/>
  <c r="AP100" i="24"/>
  <c r="AO99" i="24"/>
  <c r="AP99" i="24"/>
  <c r="AO97" i="24"/>
  <c r="AP97" i="24"/>
  <c r="AO96" i="24"/>
  <c r="AP96" i="24"/>
  <c r="AO95" i="24"/>
  <c r="AP95" i="24"/>
  <c r="AO94" i="24"/>
  <c r="AP94" i="24"/>
  <c r="AO93" i="24"/>
  <c r="AP93" i="24"/>
  <c r="AG55" i="3"/>
  <c r="AG54" i="3"/>
  <c r="AG50" i="3"/>
  <c r="AG49" i="3"/>
  <c r="AG48" i="3"/>
  <c r="AG47" i="3"/>
  <c r="AG46" i="3"/>
  <c r="AG45" i="3"/>
  <c r="M9" i="41"/>
  <c r="U9" i="41"/>
  <c r="N9" i="41"/>
  <c r="O9" i="41"/>
  <c r="P9" i="41"/>
  <c r="Q9" i="41"/>
  <c r="R9" i="41"/>
  <c r="S9" i="41"/>
  <c r="S20" i="41"/>
  <c r="R20" i="41"/>
  <c r="Q20" i="41"/>
  <c r="P20" i="41"/>
  <c r="O20" i="41"/>
  <c r="N20" i="41"/>
  <c r="M20" i="41"/>
  <c r="S19" i="41"/>
  <c r="R19" i="41"/>
  <c r="Q19" i="41"/>
  <c r="P19" i="41"/>
  <c r="O19" i="41"/>
  <c r="N19" i="41"/>
  <c r="M19" i="41"/>
  <c r="S18" i="41"/>
  <c r="R18" i="41"/>
  <c r="Q18" i="41"/>
  <c r="P18" i="41"/>
  <c r="O18" i="41"/>
  <c r="N18" i="41"/>
  <c r="M18" i="41"/>
  <c r="S17" i="41"/>
  <c r="R17" i="41"/>
  <c r="Q17" i="41"/>
  <c r="P17" i="41"/>
  <c r="O17" i="41"/>
  <c r="N17" i="41"/>
  <c r="M17" i="41"/>
  <c r="S16" i="41"/>
  <c r="R16" i="41"/>
  <c r="Q16" i="41"/>
  <c r="P16" i="41"/>
  <c r="O16" i="41"/>
  <c r="N16" i="41"/>
  <c r="M16" i="41"/>
  <c r="S15" i="41"/>
  <c r="R15" i="41"/>
  <c r="Q15" i="41"/>
  <c r="P15" i="41"/>
  <c r="O15" i="41"/>
  <c r="N15" i="41"/>
  <c r="M15" i="41"/>
  <c r="S14" i="41"/>
  <c r="R14" i="41"/>
  <c r="Q14" i="41"/>
  <c r="P14" i="41"/>
  <c r="O14" i="41"/>
  <c r="N14" i="41"/>
  <c r="M14" i="41"/>
  <c r="S13" i="41"/>
  <c r="R13" i="41"/>
  <c r="Q13" i="41"/>
  <c r="P13" i="41"/>
  <c r="O13" i="41"/>
  <c r="N13" i="41"/>
  <c r="M13" i="41"/>
  <c r="S12" i="41"/>
  <c r="R12" i="41"/>
  <c r="Q12" i="41"/>
  <c r="P12" i="41"/>
  <c r="O12" i="41"/>
  <c r="N12" i="41"/>
  <c r="M12" i="41"/>
  <c r="S11" i="41"/>
  <c r="R11" i="41"/>
  <c r="Q11" i="41"/>
  <c r="P11" i="41"/>
  <c r="O11" i="41"/>
  <c r="N11" i="41"/>
  <c r="M11" i="41"/>
  <c r="S10" i="41"/>
  <c r="R10" i="41"/>
  <c r="Q10" i="41"/>
  <c r="P10" i="41"/>
  <c r="O10" i="41"/>
  <c r="N10" i="41"/>
  <c r="M10" i="41"/>
  <c r="S8" i="41"/>
  <c r="R8" i="41"/>
  <c r="Q8" i="41"/>
  <c r="P8" i="41"/>
  <c r="O8" i="41"/>
  <c r="N8" i="41"/>
  <c r="M8" i="41"/>
  <c r="S7" i="41"/>
  <c r="R7" i="41"/>
  <c r="Q7" i="41"/>
  <c r="P7" i="41"/>
  <c r="O7" i="41"/>
  <c r="N7" i="41"/>
  <c r="M7" i="41"/>
  <c r="S6" i="41"/>
  <c r="R6" i="41"/>
  <c r="Q6" i="41"/>
  <c r="P6" i="41"/>
  <c r="O6" i="41"/>
  <c r="N6" i="41"/>
  <c r="M6" i="41"/>
  <c r="S5" i="41"/>
  <c r="R5" i="41"/>
  <c r="Q5" i="41"/>
  <c r="P5" i="41"/>
  <c r="O5" i="41"/>
  <c r="N5" i="41"/>
  <c r="M5" i="41"/>
  <c r="S4" i="41"/>
  <c r="R4" i="41"/>
  <c r="Q4" i="41"/>
  <c r="P4" i="41"/>
  <c r="O4" i="41"/>
  <c r="N4" i="41"/>
  <c r="M4" i="41"/>
  <c r="M21" i="41"/>
  <c r="N21" i="41"/>
  <c r="O21" i="41"/>
  <c r="P21" i="41"/>
  <c r="Q21" i="41"/>
  <c r="R21" i="41"/>
  <c r="S21" i="41"/>
  <c r="AD108" i="25"/>
  <c r="AD117" i="25"/>
  <c r="AC108" i="25"/>
  <c r="AC117" i="25"/>
  <c r="AB108" i="25"/>
  <c r="AB117" i="25"/>
  <c r="AD107" i="25"/>
  <c r="AD116" i="25"/>
  <c r="AC107" i="25"/>
  <c r="AB107" i="25"/>
  <c r="D13" i="12"/>
  <c r="D14" i="12"/>
  <c r="BN40" i="41"/>
  <c r="BM40" i="41"/>
  <c r="BL40" i="41"/>
  <c r="BK40" i="41"/>
  <c r="BJ40" i="41"/>
  <c r="BI40" i="41"/>
  <c r="BH40" i="41"/>
  <c r="BG40" i="41"/>
  <c r="BF40" i="41"/>
  <c r="BE40" i="41"/>
  <c r="BD40" i="41"/>
  <c r="BC40" i="41"/>
  <c r="BB40" i="41"/>
  <c r="BA40" i="41"/>
  <c r="BA34" i="41"/>
  <c r="BN34" i="41"/>
  <c r="BM34" i="41"/>
  <c r="BL34" i="41"/>
  <c r="BK34" i="41"/>
  <c r="BJ34" i="41"/>
  <c r="BI34" i="41"/>
  <c r="BH34" i="41"/>
  <c r="BG34" i="41"/>
  <c r="BF34" i="41"/>
  <c r="BE34" i="41"/>
  <c r="BD34" i="41"/>
  <c r="BC34" i="41"/>
  <c r="BB34" i="41"/>
  <c r="AZ41" i="41"/>
  <c r="AY41" i="41"/>
  <c r="AX41" i="41"/>
  <c r="AW41" i="41"/>
  <c r="AV41" i="41"/>
  <c r="AU41" i="41"/>
  <c r="AT41" i="41"/>
  <c r="AZ40" i="41"/>
  <c r="AY40" i="41"/>
  <c r="AX40" i="41"/>
  <c r="AW40" i="41"/>
  <c r="AV40" i="41"/>
  <c r="AU40" i="41"/>
  <c r="AT40" i="41"/>
  <c r="AZ39" i="41"/>
  <c r="AY39" i="41"/>
  <c r="AX39" i="41"/>
  <c r="AW39" i="41"/>
  <c r="AV39" i="41"/>
  <c r="AU39" i="41"/>
  <c r="AT39" i="41"/>
  <c r="AZ35" i="41"/>
  <c r="AY35" i="41"/>
  <c r="AX35" i="41"/>
  <c r="AW35" i="41"/>
  <c r="AV35" i="41"/>
  <c r="AU35" i="41"/>
  <c r="AT35" i="41"/>
  <c r="AZ34" i="41"/>
  <c r="AY34" i="41"/>
  <c r="AX34" i="41"/>
  <c r="AW34" i="41"/>
  <c r="AV34" i="41"/>
  <c r="AU34" i="41"/>
  <c r="AT34" i="41"/>
  <c r="AZ33" i="41"/>
  <c r="AY33" i="41"/>
  <c r="AX33" i="41"/>
  <c r="AW33" i="41"/>
  <c r="AV33" i="41"/>
  <c r="AU33" i="41"/>
  <c r="AT33" i="41"/>
  <c r="AS41" i="41"/>
  <c r="AR41" i="41"/>
  <c r="AQ41" i="41"/>
  <c r="AP41" i="41"/>
  <c r="AO41" i="41"/>
  <c r="AN41" i="41"/>
  <c r="AM41" i="41"/>
  <c r="AS40" i="41"/>
  <c r="AR40" i="41"/>
  <c r="AQ40" i="41"/>
  <c r="AP40" i="41"/>
  <c r="AO40" i="41"/>
  <c r="AN40" i="41"/>
  <c r="AM40" i="41"/>
  <c r="AS39" i="41"/>
  <c r="AR39" i="41"/>
  <c r="AQ39" i="41"/>
  <c r="AP39" i="41"/>
  <c r="AO39" i="41"/>
  <c r="AN39" i="41"/>
  <c r="AM39" i="41"/>
  <c r="AS35" i="41"/>
  <c r="AR35" i="41"/>
  <c r="AQ35" i="41"/>
  <c r="AP35" i="41"/>
  <c r="AO35" i="41"/>
  <c r="AN35" i="41"/>
  <c r="AM35" i="41"/>
  <c r="AS34" i="41"/>
  <c r="AR34" i="41"/>
  <c r="AQ34" i="41"/>
  <c r="AP34" i="41"/>
  <c r="AO34" i="41"/>
  <c r="AN34" i="41"/>
  <c r="AM34" i="41"/>
  <c r="AS33" i="41"/>
  <c r="AR33" i="41"/>
  <c r="AQ33" i="41"/>
  <c r="AP33" i="41"/>
  <c r="AO33" i="41"/>
  <c r="AN33" i="41"/>
  <c r="AM33" i="41"/>
  <c r="AL41" i="41"/>
  <c r="AK41" i="41"/>
  <c r="AJ41" i="41"/>
  <c r="AI41" i="41"/>
  <c r="AH41" i="41"/>
  <c r="AG41" i="41"/>
  <c r="AL40" i="41"/>
  <c r="AK40" i="41"/>
  <c r="AJ40" i="41"/>
  <c r="AI40" i="41"/>
  <c r="AH40" i="41"/>
  <c r="AG40" i="41"/>
  <c r="AL39" i="41"/>
  <c r="AK39" i="41"/>
  <c r="AJ39" i="41"/>
  <c r="AI39" i="41"/>
  <c r="AH39" i="41"/>
  <c r="AG39" i="41"/>
  <c r="AF41" i="41"/>
  <c r="AF40" i="41"/>
  <c r="AF39" i="41"/>
  <c r="AL33" i="41"/>
  <c r="AL35" i="41"/>
  <c r="AK35" i="41"/>
  <c r="AJ35" i="41"/>
  <c r="AI35" i="41"/>
  <c r="AH35" i="41"/>
  <c r="AG35" i="41"/>
  <c r="AL34" i="41"/>
  <c r="AK34" i="41"/>
  <c r="AJ34" i="41"/>
  <c r="AI34" i="41"/>
  <c r="AH34" i="41"/>
  <c r="AG34" i="41"/>
  <c r="AK33" i="41"/>
  <c r="AJ33" i="41"/>
  <c r="AI33" i="41"/>
  <c r="AH33" i="41"/>
  <c r="AG33" i="41"/>
  <c r="AF35" i="41"/>
  <c r="AF34" i="41"/>
  <c r="AF33" i="41"/>
  <c r="G8" i="44"/>
  <c r="F12" i="44"/>
  <c r="F13" i="44"/>
  <c r="F15" i="44"/>
  <c r="F16" i="44"/>
  <c r="F19" i="44"/>
  <c r="F17" i="44"/>
  <c r="F18" i="44"/>
  <c r="F14" i="44"/>
  <c r="G12" i="44"/>
  <c r="G13" i="44"/>
  <c r="G19" i="44"/>
  <c r="G17" i="44"/>
  <c r="G15" i="44"/>
  <c r="G18" i="44"/>
  <c r="G16" i="44"/>
  <c r="G14" i="44"/>
  <c r="H5" i="44"/>
  <c r="G4" i="44"/>
  <c r="L7" i="44"/>
  <c r="I9" i="44"/>
  <c r="I5" i="44"/>
  <c r="K6" i="44"/>
  <c r="J5" i="44"/>
  <c r="L4" i="44"/>
  <c r="J8" i="44"/>
  <c r="G6" i="44"/>
  <c r="G5" i="44"/>
  <c r="H6" i="44"/>
  <c r="L5" i="44"/>
  <c r="L6" i="44"/>
  <c r="L9" i="44"/>
  <c r="J9" i="44"/>
  <c r="L8" i="44"/>
  <c r="H7" i="44"/>
  <c r="K9" i="44"/>
  <c r="AU106" i="24"/>
  <c r="AV106" i="24"/>
  <c r="AU107" i="24"/>
  <c r="AV107" i="24"/>
  <c r="AU105" i="24"/>
  <c r="AV105" i="24"/>
  <c r="AU103" i="24"/>
  <c r="AV103" i="24"/>
  <c r="AU99" i="24"/>
  <c r="AV99" i="24"/>
  <c r="AU100" i="24"/>
  <c r="AV100" i="24"/>
  <c r="AU101" i="24"/>
  <c r="AV101" i="24"/>
  <c r="AU102" i="24"/>
  <c r="AV102" i="24"/>
  <c r="AU93" i="24"/>
  <c r="AV93" i="24"/>
  <c r="AU96" i="24"/>
  <c r="AV96" i="24"/>
  <c r="AU97" i="24"/>
  <c r="AV97" i="24"/>
  <c r="AU95" i="24"/>
  <c r="AV95" i="24"/>
  <c r="AU94" i="24"/>
  <c r="AV94" i="24"/>
  <c r="AU88" i="24"/>
  <c r="AV88" i="24"/>
  <c r="AU87" i="24"/>
  <c r="AV87" i="24"/>
  <c r="AU91" i="24"/>
  <c r="AV91" i="24"/>
  <c r="AU89" i="24"/>
  <c r="AV89" i="24"/>
  <c r="AU90" i="24"/>
  <c r="AV90" i="24"/>
  <c r="AD97" i="25"/>
  <c r="AC97" i="25"/>
  <c r="AB97" i="25"/>
  <c r="AV92" i="24" a="1"/>
  <c r="AV92" i="24"/>
  <c r="AV104" i="24" a="1"/>
  <c r="AV104" i="24"/>
  <c r="AV108" i="24" a="1"/>
  <c r="AV108" i="24"/>
  <c r="AV98" i="24" a="1"/>
  <c r="AV98" i="24"/>
  <c r="AA21" i="41"/>
  <c r="Z21" i="41"/>
  <c r="Y21" i="41"/>
  <c r="X21" i="41"/>
  <c r="W21" i="41"/>
  <c r="V21" i="41"/>
  <c r="AA20" i="41"/>
  <c r="Z20" i="41"/>
  <c r="Y20" i="41"/>
  <c r="X20" i="41"/>
  <c r="W20" i="41"/>
  <c r="V20" i="41"/>
  <c r="AA19" i="41"/>
  <c r="Z19" i="41"/>
  <c r="Y19" i="41"/>
  <c r="X19" i="41"/>
  <c r="W19" i="41"/>
  <c r="V19" i="41"/>
  <c r="AA18" i="41"/>
  <c r="Z18" i="41"/>
  <c r="Y18" i="41"/>
  <c r="X18" i="41"/>
  <c r="W18" i="41"/>
  <c r="V18" i="41"/>
  <c r="AA17" i="41"/>
  <c r="Z17" i="41"/>
  <c r="Y17" i="41"/>
  <c r="X17" i="41"/>
  <c r="W17" i="41"/>
  <c r="V17" i="41"/>
  <c r="AA16" i="41"/>
  <c r="Z16" i="41"/>
  <c r="Y16" i="41"/>
  <c r="X16" i="41"/>
  <c r="W16" i="41"/>
  <c r="V16" i="41"/>
  <c r="AA15" i="41"/>
  <c r="Z15" i="41"/>
  <c r="Y15" i="41"/>
  <c r="X15" i="41"/>
  <c r="W15" i="41"/>
  <c r="V15" i="41"/>
  <c r="AA14" i="41"/>
  <c r="Z14" i="41"/>
  <c r="Y14" i="41"/>
  <c r="X14" i="41"/>
  <c r="W14" i="41"/>
  <c r="V14" i="41"/>
  <c r="AA13" i="41"/>
  <c r="Z13" i="41"/>
  <c r="Y13" i="41"/>
  <c r="X13" i="41"/>
  <c r="W13" i="41"/>
  <c r="V13" i="41"/>
  <c r="AA12" i="41"/>
  <c r="Z12" i="41"/>
  <c r="Y12" i="41"/>
  <c r="X12" i="41"/>
  <c r="W12" i="41"/>
  <c r="V12" i="41"/>
  <c r="AA11" i="41"/>
  <c r="Z11" i="41"/>
  <c r="Y11" i="41"/>
  <c r="X11" i="41"/>
  <c r="W11" i="41"/>
  <c r="V11" i="41"/>
  <c r="AA10" i="41"/>
  <c r="Z10" i="41"/>
  <c r="Y10" i="41"/>
  <c r="X10" i="41"/>
  <c r="W10" i="41"/>
  <c r="V10" i="41"/>
  <c r="AA9" i="41"/>
  <c r="Z9" i="41"/>
  <c r="Y9" i="41"/>
  <c r="X9" i="41"/>
  <c r="W9" i="41"/>
  <c r="V9" i="41"/>
  <c r="AA8" i="41"/>
  <c r="Z8" i="41"/>
  <c r="Y8" i="41"/>
  <c r="X8" i="41"/>
  <c r="W8" i="41"/>
  <c r="V8" i="41"/>
  <c r="AA7" i="41"/>
  <c r="Z7" i="41"/>
  <c r="Y7" i="41"/>
  <c r="X7" i="41"/>
  <c r="W7" i="41"/>
  <c r="V7" i="41"/>
  <c r="AA6" i="41"/>
  <c r="Z6" i="41"/>
  <c r="Y6" i="41"/>
  <c r="X6" i="41"/>
  <c r="W6" i="41"/>
  <c r="V6" i="41"/>
  <c r="AA5" i="41"/>
  <c r="Z5" i="41"/>
  <c r="Y5" i="41"/>
  <c r="X5" i="41"/>
  <c r="W5" i="41"/>
  <c r="V5" i="41"/>
  <c r="AA4" i="41"/>
  <c r="Z4" i="41"/>
  <c r="Y4" i="41"/>
  <c r="X4" i="41"/>
  <c r="W4" i="41"/>
  <c r="V4" i="41"/>
  <c r="U21" i="41"/>
  <c r="U20" i="41"/>
  <c r="U19" i="41"/>
  <c r="U18" i="41"/>
  <c r="U17" i="41"/>
  <c r="U16" i="41"/>
  <c r="U15" i="41"/>
  <c r="U14" i="41"/>
  <c r="U13" i="41"/>
  <c r="U12" i="41"/>
  <c r="U11" i="41"/>
  <c r="U10" i="41"/>
  <c r="U8" i="41"/>
  <c r="U7" i="41"/>
  <c r="U6" i="41"/>
  <c r="U5" i="41"/>
  <c r="U4" i="41"/>
  <c r="S65" i="41"/>
  <c r="R65" i="41"/>
  <c r="Q65" i="41"/>
  <c r="P65" i="41"/>
  <c r="O65" i="41"/>
  <c r="N65" i="41"/>
  <c r="M65" i="41"/>
  <c r="S64" i="41"/>
  <c r="R64" i="41"/>
  <c r="Q64" i="41"/>
  <c r="P64" i="41"/>
  <c r="O64" i="41"/>
  <c r="N64" i="41"/>
  <c r="M64" i="41"/>
  <c r="S63" i="41"/>
  <c r="R63" i="41"/>
  <c r="Q63" i="41"/>
  <c r="P63" i="41"/>
  <c r="O63" i="41"/>
  <c r="N63" i="41"/>
  <c r="M63" i="41"/>
  <c r="S62" i="41"/>
  <c r="R62" i="41"/>
  <c r="Q62" i="41"/>
  <c r="P62" i="41"/>
  <c r="O62" i="41"/>
  <c r="N62" i="41"/>
  <c r="M62" i="41"/>
  <c r="S61" i="41"/>
  <c r="R61" i="41"/>
  <c r="Q61" i="41"/>
  <c r="P61" i="41"/>
  <c r="O61" i="41"/>
  <c r="N61" i="41"/>
  <c r="M61" i="41"/>
  <c r="S60" i="41"/>
  <c r="R60" i="41"/>
  <c r="Q60" i="41"/>
  <c r="P60" i="41"/>
  <c r="O60" i="41"/>
  <c r="N60" i="41"/>
  <c r="M60" i="41"/>
  <c r="S59" i="41"/>
  <c r="R59" i="41"/>
  <c r="Q59" i="41"/>
  <c r="P59" i="41"/>
  <c r="O59" i="41"/>
  <c r="N59" i="41"/>
  <c r="M59" i="41"/>
  <c r="S58" i="41"/>
  <c r="R58" i="41"/>
  <c r="Q58" i="41"/>
  <c r="P58" i="41"/>
  <c r="O58" i="41"/>
  <c r="N58" i="41"/>
  <c r="M58" i="41"/>
  <c r="S57" i="41"/>
  <c r="R57" i="41"/>
  <c r="Q57" i="41"/>
  <c r="P57" i="41"/>
  <c r="O57" i="41"/>
  <c r="N57" i="41"/>
  <c r="M57" i="41"/>
  <c r="S56" i="41"/>
  <c r="R56" i="41"/>
  <c r="Q56" i="41"/>
  <c r="P56" i="41"/>
  <c r="O56" i="41"/>
  <c r="N56" i="41"/>
  <c r="M56" i="41"/>
  <c r="S55" i="41"/>
  <c r="R55" i="41"/>
  <c r="Q55" i="41"/>
  <c r="P55" i="41"/>
  <c r="O55" i="41"/>
  <c r="N55" i="41"/>
  <c r="M55" i="41"/>
  <c r="S54" i="41"/>
  <c r="R54" i="41"/>
  <c r="Q54" i="41"/>
  <c r="P54" i="41"/>
  <c r="O54" i="41"/>
  <c r="N54" i="41"/>
  <c r="M54" i="41"/>
  <c r="S53" i="41"/>
  <c r="R53" i="41"/>
  <c r="Q53" i="41"/>
  <c r="P53" i="41"/>
  <c r="O53" i="41"/>
  <c r="N53" i="41"/>
  <c r="M53" i="41"/>
  <c r="S52" i="41"/>
  <c r="R52" i="41"/>
  <c r="Q52" i="41"/>
  <c r="P52" i="41"/>
  <c r="O52" i="41"/>
  <c r="N52" i="41"/>
  <c r="M52" i="41"/>
  <c r="S51" i="41"/>
  <c r="R51" i="41"/>
  <c r="Q51" i="41"/>
  <c r="P51" i="41"/>
  <c r="O51" i="41"/>
  <c r="N51" i="41"/>
  <c r="M51" i="41"/>
  <c r="S50" i="41"/>
  <c r="R50" i="41"/>
  <c r="Q50" i="41"/>
  <c r="P50" i="41"/>
  <c r="O50" i="41"/>
  <c r="N50" i="41"/>
  <c r="M50" i="41"/>
  <c r="S49" i="41"/>
  <c r="R49" i="41"/>
  <c r="Q49" i="41"/>
  <c r="P49" i="41"/>
  <c r="O49" i="41"/>
  <c r="N49" i="41"/>
  <c r="M49" i="41"/>
  <c r="S48" i="41"/>
  <c r="R48" i="41"/>
  <c r="Q48" i="41"/>
  <c r="P48" i="41"/>
  <c r="O48" i="41"/>
  <c r="N48" i="41"/>
  <c r="M48" i="41"/>
  <c r="S47" i="41"/>
  <c r="R47" i="41"/>
  <c r="Q47" i="41"/>
  <c r="P47" i="41"/>
  <c r="O47" i="41"/>
  <c r="N47" i="41"/>
  <c r="M47" i="41"/>
  <c r="S43" i="41"/>
  <c r="AA43" i="41"/>
  <c r="R43" i="41"/>
  <c r="Z43" i="41"/>
  <c r="Q43" i="41"/>
  <c r="Y43" i="41"/>
  <c r="P43" i="41"/>
  <c r="X43" i="41"/>
  <c r="O43" i="41"/>
  <c r="W43" i="41"/>
  <c r="N43" i="41"/>
  <c r="V43" i="41"/>
  <c r="M43" i="41"/>
  <c r="U43" i="41"/>
  <c r="S42" i="41"/>
  <c r="AA42" i="41"/>
  <c r="R42" i="41"/>
  <c r="Z42" i="41"/>
  <c r="Q42" i="41"/>
  <c r="Y42" i="41"/>
  <c r="P42" i="41"/>
  <c r="X42" i="41"/>
  <c r="O42" i="41"/>
  <c r="W42" i="41"/>
  <c r="N42" i="41"/>
  <c r="V42" i="41"/>
  <c r="M42" i="41"/>
  <c r="U42" i="41"/>
  <c r="S41" i="41"/>
  <c r="AA41" i="41"/>
  <c r="R41" i="41"/>
  <c r="Z41" i="41"/>
  <c r="Q41" i="41"/>
  <c r="Y41" i="41"/>
  <c r="P41" i="41"/>
  <c r="X41" i="41"/>
  <c r="O41" i="41"/>
  <c r="W41" i="41"/>
  <c r="N41" i="41"/>
  <c r="V41" i="41"/>
  <c r="M41" i="41"/>
  <c r="U41" i="41"/>
  <c r="S40" i="41"/>
  <c r="AA40" i="41"/>
  <c r="R40" i="41"/>
  <c r="Z40" i="41"/>
  <c r="Q40" i="41"/>
  <c r="Y40" i="41"/>
  <c r="P40" i="41"/>
  <c r="X40" i="41"/>
  <c r="O40" i="41"/>
  <c r="W40" i="41"/>
  <c r="N40" i="41"/>
  <c r="V40" i="41"/>
  <c r="M40" i="41"/>
  <c r="U40" i="41"/>
  <c r="S39" i="41"/>
  <c r="AA39" i="41"/>
  <c r="R39" i="41"/>
  <c r="Z39" i="41"/>
  <c r="Q39" i="41"/>
  <c r="Y39" i="41"/>
  <c r="P39" i="41"/>
  <c r="X39" i="41"/>
  <c r="O39" i="41"/>
  <c r="W39" i="41"/>
  <c r="N39" i="41"/>
  <c r="V39" i="41"/>
  <c r="M39" i="41"/>
  <c r="U39" i="41"/>
  <c r="S38" i="41"/>
  <c r="AA38" i="41"/>
  <c r="R38" i="41"/>
  <c r="Z38" i="41"/>
  <c r="Q38" i="41"/>
  <c r="Y38" i="41"/>
  <c r="P38" i="41"/>
  <c r="X38" i="41"/>
  <c r="O38" i="41"/>
  <c r="W38" i="41"/>
  <c r="N38" i="41"/>
  <c r="V38" i="41"/>
  <c r="M38" i="41"/>
  <c r="U38" i="41"/>
  <c r="S37" i="41"/>
  <c r="AA37" i="41"/>
  <c r="R37" i="41"/>
  <c r="Z37" i="41"/>
  <c r="Q37" i="41"/>
  <c r="Y37" i="41"/>
  <c r="P37" i="41"/>
  <c r="X37" i="41"/>
  <c r="O37" i="41"/>
  <c r="W37" i="41"/>
  <c r="N37" i="41"/>
  <c r="V37" i="41"/>
  <c r="M37" i="41"/>
  <c r="U37" i="41"/>
  <c r="S36" i="41"/>
  <c r="AA36" i="41"/>
  <c r="R36" i="41"/>
  <c r="Z36" i="41"/>
  <c r="Q36" i="41"/>
  <c r="Y36" i="41"/>
  <c r="P36" i="41"/>
  <c r="X36" i="41"/>
  <c r="O36" i="41"/>
  <c r="W36" i="41"/>
  <c r="N36" i="41"/>
  <c r="V36" i="41"/>
  <c r="M36" i="41"/>
  <c r="U36" i="41"/>
  <c r="S35" i="41"/>
  <c r="AA35" i="41"/>
  <c r="R35" i="41"/>
  <c r="Z35" i="41"/>
  <c r="Q35" i="41"/>
  <c r="Y35" i="41"/>
  <c r="P35" i="41"/>
  <c r="X35" i="41"/>
  <c r="O35" i="41"/>
  <c r="W35" i="41"/>
  <c r="N35" i="41"/>
  <c r="V35" i="41"/>
  <c r="M35" i="41"/>
  <c r="U35" i="41"/>
  <c r="S34" i="41"/>
  <c r="AA34" i="41"/>
  <c r="R34" i="41"/>
  <c r="Z34" i="41"/>
  <c r="Q34" i="41"/>
  <c r="Y34" i="41"/>
  <c r="P34" i="41"/>
  <c r="X34" i="41"/>
  <c r="O34" i="41"/>
  <c r="W34" i="41"/>
  <c r="N34" i="41"/>
  <c r="V34" i="41"/>
  <c r="M34" i="41"/>
  <c r="U34" i="41"/>
  <c r="S33" i="41"/>
  <c r="AA33" i="41"/>
  <c r="R33" i="41"/>
  <c r="Z33" i="41"/>
  <c r="Q33" i="41"/>
  <c r="Y33" i="41"/>
  <c r="P33" i="41"/>
  <c r="X33" i="41"/>
  <c r="O33" i="41"/>
  <c r="W33" i="41"/>
  <c r="N33" i="41"/>
  <c r="V33" i="41"/>
  <c r="M33" i="41"/>
  <c r="U33" i="41"/>
  <c r="S32" i="41"/>
  <c r="AA32" i="41"/>
  <c r="R32" i="41"/>
  <c r="Z32" i="41"/>
  <c r="Q32" i="41"/>
  <c r="Y32" i="41"/>
  <c r="P32" i="41"/>
  <c r="X32" i="41"/>
  <c r="O32" i="41"/>
  <c r="W32" i="41"/>
  <c r="N32" i="41"/>
  <c r="V32" i="41"/>
  <c r="M32" i="41"/>
  <c r="U32" i="41"/>
  <c r="S31" i="41"/>
  <c r="AA31" i="41"/>
  <c r="R31" i="41"/>
  <c r="Z31" i="41"/>
  <c r="Q31" i="41"/>
  <c r="Y31" i="41"/>
  <c r="P31" i="41"/>
  <c r="X31" i="41"/>
  <c r="O31" i="41"/>
  <c r="W31" i="41"/>
  <c r="N31" i="41"/>
  <c r="V31" i="41"/>
  <c r="M31" i="41"/>
  <c r="U31" i="41"/>
  <c r="S30" i="41"/>
  <c r="AA30" i="41"/>
  <c r="R30" i="41"/>
  <c r="Z30" i="41"/>
  <c r="Q30" i="41"/>
  <c r="Y30" i="41"/>
  <c r="P30" i="41"/>
  <c r="X30" i="41"/>
  <c r="O30" i="41"/>
  <c r="W30" i="41"/>
  <c r="N30" i="41"/>
  <c r="V30" i="41"/>
  <c r="M30" i="41"/>
  <c r="U30" i="41"/>
  <c r="S29" i="41"/>
  <c r="AA29" i="41"/>
  <c r="R29" i="41"/>
  <c r="Z29" i="41"/>
  <c r="Q29" i="41"/>
  <c r="Y29" i="41"/>
  <c r="P29" i="41"/>
  <c r="X29" i="41"/>
  <c r="O29" i="41"/>
  <c r="W29" i="41"/>
  <c r="N29" i="41"/>
  <c r="V29" i="41"/>
  <c r="M29" i="41"/>
  <c r="U29" i="41"/>
  <c r="S28" i="41"/>
  <c r="AA28" i="41"/>
  <c r="R28" i="41"/>
  <c r="Z28" i="41"/>
  <c r="Q28" i="41"/>
  <c r="Y28" i="41"/>
  <c r="P28" i="41"/>
  <c r="X28" i="41"/>
  <c r="O28" i="41"/>
  <c r="W28" i="41"/>
  <c r="N28" i="41"/>
  <c r="V28" i="41"/>
  <c r="M28" i="41"/>
  <c r="U28" i="41"/>
  <c r="S27" i="41"/>
  <c r="AA27" i="41"/>
  <c r="R27" i="41"/>
  <c r="Z27" i="41"/>
  <c r="Q27" i="41"/>
  <c r="Y27" i="41"/>
  <c r="P27" i="41"/>
  <c r="X27" i="41"/>
  <c r="O27" i="41"/>
  <c r="W27" i="41"/>
  <c r="N27" i="41"/>
  <c r="V27" i="41"/>
  <c r="M27" i="41"/>
  <c r="U27" i="41"/>
  <c r="S26" i="41"/>
  <c r="AA26" i="41"/>
  <c r="R26" i="41"/>
  <c r="Z26" i="41"/>
  <c r="Q26" i="41"/>
  <c r="Y26" i="41"/>
  <c r="P26" i="41"/>
  <c r="X26" i="41"/>
  <c r="O26" i="41"/>
  <c r="W26" i="41"/>
  <c r="N26" i="41"/>
  <c r="V26" i="41"/>
  <c r="M26" i="41"/>
  <c r="U26" i="41"/>
  <c r="S25" i="41"/>
  <c r="AA25" i="41"/>
  <c r="R25" i="41"/>
  <c r="Z25" i="41"/>
  <c r="Q25" i="41"/>
  <c r="Y25" i="41"/>
  <c r="P25" i="41"/>
  <c r="X25" i="41"/>
  <c r="O25" i="41"/>
  <c r="W25" i="41"/>
  <c r="N25" i="41"/>
  <c r="V25" i="41"/>
  <c r="M25" i="41"/>
  <c r="U25" i="41"/>
  <c r="G27" i="12"/>
  <c r="R7" i="12"/>
  <c r="O22" i="12"/>
  <c r="AY77" i="3"/>
  <c r="BD28" i="24"/>
  <c r="BD29" i="24"/>
  <c r="BC28" i="24"/>
  <c r="BC29" i="24"/>
  <c r="BB28" i="24"/>
  <c r="BB30" i="24"/>
  <c r="BC30" i="24"/>
  <c r="BD30" i="24"/>
  <c r="BB29" i="24"/>
  <c r="AE32" i="30"/>
  <c r="AD32" i="30"/>
  <c r="AC32" i="30"/>
  <c r="AB32" i="30"/>
  <c r="AA32" i="30"/>
  <c r="AE31" i="30"/>
  <c r="AD31" i="30"/>
  <c r="AC31" i="30"/>
  <c r="AB31" i="30"/>
  <c r="AA31" i="30"/>
  <c r="Z32" i="30"/>
  <c r="Z31" i="30"/>
  <c r="AF22" i="30"/>
  <c r="AE22" i="30"/>
  <c r="AD22" i="30"/>
  <c r="AC22" i="30"/>
  <c r="AB22" i="30"/>
  <c r="AA22" i="30"/>
  <c r="AF21" i="30"/>
  <c r="AE21" i="30"/>
  <c r="AD21" i="30"/>
  <c r="AC21" i="30"/>
  <c r="AB21" i="30"/>
  <c r="AA21" i="30"/>
  <c r="Z22" i="30"/>
  <c r="Z21" i="30"/>
  <c r="BZ21" i="24"/>
  <c r="BZ18" i="24"/>
  <c r="BZ15" i="24"/>
  <c r="BZ11" i="24"/>
  <c r="BZ8" i="24"/>
  <c r="BZ6" i="24"/>
  <c r="BX14" i="24"/>
  <c r="BW14" i="24"/>
  <c r="BV14" i="24"/>
  <c r="BU14" i="24"/>
  <c r="BT14" i="24"/>
  <c r="BS14" i="24"/>
  <c r="BR14" i="24"/>
  <c r="BQ14" i="24"/>
  <c r="BP14" i="24"/>
  <c r="BO14" i="24"/>
  <c r="BN14" i="24"/>
  <c r="BM14" i="24"/>
  <c r="BL14" i="24"/>
  <c r="BK14" i="24"/>
  <c r="BJ14" i="24"/>
  <c r="BI14" i="24"/>
  <c r="BY14" i="24"/>
  <c r="AE27" i="30"/>
  <c r="AD27" i="30"/>
  <c r="AC27" i="30"/>
  <c r="AB27" i="30"/>
  <c r="AA27" i="30"/>
  <c r="AE26" i="30"/>
  <c r="AD26" i="30"/>
  <c r="AC26" i="30"/>
  <c r="AB26" i="30"/>
  <c r="AA26" i="30"/>
  <c r="Z27" i="30"/>
  <c r="Z26" i="30"/>
  <c r="BY21" i="24"/>
  <c r="BY24" i="24"/>
  <c r="BX21" i="24"/>
  <c r="BX24" i="24"/>
  <c r="BW21" i="24"/>
  <c r="BW24" i="24"/>
  <c r="BV21" i="24"/>
  <c r="BV24" i="24"/>
  <c r="BU21" i="24"/>
  <c r="BU22" i="24"/>
  <c r="BT21" i="24"/>
  <c r="BT22" i="24"/>
  <c r="BS21" i="24"/>
  <c r="BS22" i="24"/>
  <c r="BR21" i="24"/>
  <c r="BR22" i="24"/>
  <c r="BQ21" i="24"/>
  <c r="BQ22" i="24"/>
  <c r="BP21" i="24"/>
  <c r="BP23" i="24"/>
  <c r="BO21" i="24"/>
  <c r="BO23" i="24"/>
  <c r="BN21" i="24"/>
  <c r="BN24" i="24"/>
  <c r="BY18" i="24"/>
  <c r="BY19" i="24"/>
  <c r="BX18" i="24"/>
  <c r="BX19" i="24"/>
  <c r="BW18" i="24"/>
  <c r="BW19" i="24"/>
  <c r="BV18" i="24"/>
  <c r="BV19" i="24"/>
  <c r="BU18" i="24"/>
  <c r="BU19" i="24"/>
  <c r="BT18" i="24"/>
  <c r="BT19" i="24"/>
  <c r="BS18" i="24"/>
  <c r="BS19" i="24"/>
  <c r="BR18" i="24"/>
  <c r="BR19" i="24"/>
  <c r="BQ18" i="24"/>
  <c r="BQ19" i="24"/>
  <c r="BP18" i="24"/>
  <c r="BP19" i="24"/>
  <c r="BO18" i="24"/>
  <c r="BO19" i="24"/>
  <c r="BN18" i="24"/>
  <c r="BN19" i="24"/>
  <c r="BM18" i="24"/>
  <c r="BM19" i="24"/>
  <c r="BL18" i="24"/>
  <c r="BL19" i="24"/>
  <c r="BK18" i="24"/>
  <c r="BK19" i="24"/>
  <c r="BJ18" i="24"/>
  <c r="BJ19" i="24"/>
  <c r="BY15" i="24"/>
  <c r="BY16" i="24"/>
  <c r="BX15" i="24"/>
  <c r="BX16" i="24"/>
  <c r="BW15" i="24"/>
  <c r="BW16" i="24"/>
  <c r="BV15" i="24"/>
  <c r="BV16" i="24"/>
  <c r="BU15" i="24"/>
  <c r="BU16" i="24"/>
  <c r="BT15" i="24"/>
  <c r="BT16" i="24"/>
  <c r="BS15" i="24"/>
  <c r="BS16" i="24"/>
  <c r="BR15" i="24"/>
  <c r="BR16" i="24"/>
  <c r="BQ15" i="24"/>
  <c r="BQ16" i="24"/>
  <c r="BP15" i="24"/>
  <c r="BP16" i="24"/>
  <c r="BO15" i="24"/>
  <c r="BO16" i="24"/>
  <c r="BN15" i="24"/>
  <c r="BN16" i="24"/>
  <c r="BM15" i="24"/>
  <c r="BM16" i="24"/>
  <c r="BL15" i="24"/>
  <c r="BL16" i="24"/>
  <c r="BK15" i="24"/>
  <c r="BK16" i="24"/>
  <c r="BJ15" i="24"/>
  <c r="BJ16" i="24"/>
  <c r="BI15" i="24"/>
  <c r="BI16" i="24"/>
  <c r="BH15" i="24"/>
  <c r="BH16" i="24"/>
  <c r="BY11" i="24"/>
  <c r="BY12" i="24"/>
  <c r="BX11" i="24"/>
  <c r="BW11" i="24"/>
  <c r="BV11" i="24"/>
  <c r="BU11" i="24"/>
  <c r="BT11" i="24"/>
  <c r="BS11" i="24"/>
  <c r="BR11" i="24"/>
  <c r="BQ11" i="24"/>
  <c r="BP11" i="24"/>
  <c r="BO11" i="24"/>
  <c r="BN11" i="24"/>
  <c r="BM11" i="24"/>
  <c r="BL11" i="24"/>
  <c r="BK11" i="24"/>
  <c r="BK12" i="24"/>
  <c r="BY8" i="24"/>
  <c r="BY9" i="24"/>
  <c r="BX8" i="24"/>
  <c r="BX9" i="24"/>
  <c r="BW8" i="24"/>
  <c r="BW9" i="24"/>
  <c r="BV8" i="24"/>
  <c r="BV9" i="24"/>
  <c r="BU8" i="24"/>
  <c r="BU9" i="24"/>
  <c r="BT8" i="24"/>
  <c r="BT9" i="24"/>
  <c r="BS8" i="24"/>
  <c r="BS9" i="24"/>
  <c r="BR8" i="24"/>
  <c r="BR9" i="24"/>
  <c r="BQ8" i="24"/>
  <c r="BQ9" i="24"/>
  <c r="BP8" i="24"/>
  <c r="BP9" i="24"/>
  <c r="BO8" i="24"/>
  <c r="BO9" i="24"/>
  <c r="BN8" i="24"/>
  <c r="BN9" i="24"/>
  <c r="BM8" i="24"/>
  <c r="BM9" i="24"/>
  <c r="BL8" i="24"/>
  <c r="BL9" i="24"/>
  <c r="BK8" i="24"/>
  <c r="BK9" i="24"/>
  <c r="BY6" i="24"/>
  <c r="BY7" i="24"/>
  <c r="BX6" i="24"/>
  <c r="BX7" i="24"/>
  <c r="BW6" i="24"/>
  <c r="BW7" i="24"/>
  <c r="BV6" i="24"/>
  <c r="BV7" i="24"/>
  <c r="BU6" i="24"/>
  <c r="BU7" i="24"/>
  <c r="BT6" i="24"/>
  <c r="BT7" i="24"/>
  <c r="BS6" i="24"/>
  <c r="BS7" i="24"/>
  <c r="BR6" i="24"/>
  <c r="BR7" i="24"/>
  <c r="BQ6" i="24"/>
  <c r="BQ7" i="24"/>
  <c r="BP6" i="24"/>
  <c r="BP7" i="24"/>
  <c r="BO6" i="24"/>
  <c r="BO7" i="24"/>
  <c r="BN6" i="24"/>
  <c r="BN7" i="24"/>
  <c r="BM6" i="24"/>
  <c r="BM7" i="24"/>
  <c r="BY4" i="24"/>
  <c r="BX4" i="24"/>
  <c r="BW4" i="24"/>
  <c r="BV4" i="24"/>
  <c r="BU4" i="24"/>
  <c r="BT4" i="24"/>
  <c r="BS4" i="24"/>
  <c r="BR4" i="24"/>
  <c r="BQ4" i="24"/>
  <c r="BP4" i="24"/>
  <c r="BO4" i="24"/>
  <c r="BN4" i="24"/>
  <c r="BM4" i="24"/>
  <c r="BL4" i="24"/>
  <c r="BK4" i="24"/>
  <c r="BJ4" i="24"/>
  <c r="BI4" i="24"/>
  <c r="BH4" i="24"/>
  <c r="BR23" i="24"/>
  <c r="BS23" i="24"/>
  <c r="BT23" i="24"/>
  <c r="BU23" i="24"/>
  <c r="BS24" i="24"/>
  <c r="BT24" i="24"/>
  <c r="BU24" i="24"/>
  <c r="BL12" i="24"/>
  <c r="BM12" i="24"/>
  <c r="BN12" i="24"/>
  <c r="BO12" i="24"/>
  <c r="BS12" i="24"/>
  <c r="BW12" i="24"/>
  <c r="BP12" i="24"/>
  <c r="BQ12" i="24"/>
  <c r="BR12" i="24"/>
  <c r="BT12" i="24"/>
  <c r="BU12" i="24"/>
  <c r="BV12" i="24"/>
  <c r="BQ23" i="24"/>
  <c r="BX12" i="24"/>
  <c r="BO24" i="24"/>
  <c r="BP24" i="24"/>
  <c r="BQ24" i="24"/>
  <c r="BR24" i="24"/>
  <c r="BN22" i="24"/>
  <c r="BN23" i="24"/>
  <c r="BO22" i="24"/>
  <c r="BP22" i="24"/>
  <c r="BV23" i="24"/>
  <c r="BW23" i="24"/>
  <c r="BX23" i="24"/>
  <c r="BY23" i="24"/>
  <c r="BV22" i="24"/>
  <c r="BW22" i="24"/>
  <c r="BX22" i="24"/>
  <c r="BY22" i="24"/>
  <c r="AL56" i="3"/>
  <c r="AP56" i="3"/>
  <c r="AP55" i="3"/>
  <c r="AL55" i="3"/>
  <c r="BF65" i="24"/>
  <c r="BF64" i="24"/>
  <c r="BF63" i="24"/>
  <c r="BF62" i="24"/>
  <c r="BF61" i="24"/>
  <c r="BD65" i="24" a="1"/>
  <c r="BD65" i="24"/>
  <c r="BE65" i="24"/>
  <c r="BD64" i="24" a="1"/>
  <c r="BD64" i="24"/>
  <c r="BE64" i="24"/>
  <c r="BD63" i="24" a="1"/>
  <c r="BD63" i="24"/>
  <c r="BE63" i="24"/>
  <c r="BD62" i="24" a="1"/>
  <c r="BD62" i="24"/>
  <c r="BE62" i="24"/>
  <c r="BD61" i="24" a="1"/>
  <c r="BD61" i="24"/>
  <c r="BE61" i="24"/>
  <c r="BA65" i="24"/>
  <c r="BB65" i="24"/>
  <c r="BA64" i="24"/>
  <c r="BB64" i="24"/>
  <c r="BA63" i="24"/>
  <c r="BB63" i="24"/>
  <c r="BA62" i="24"/>
  <c r="BB62" i="24"/>
  <c r="BA61" i="24"/>
  <c r="BB61" i="24"/>
  <c r="AZ65" i="24"/>
  <c r="AZ64" i="24"/>
  <c r="AZ63" i="24"/>
  <c r="AZ62" i="24"/>
  <c r="AZ61" i="24"/>
  <c r="AS65" i="24" a="1"/>
  <c r="AS65" i="24"/>
  <c r="AT65" i="24"/>
  <c r="AS64" i="24" a="1"/>
  <c r="AS64" i="24"/>
  <c r="AT64" i="24"/>
  <c r="AS63" i="24" a="1"/>
  <c r="AS63" i="24"/>
  <c r="AT63" i="24"/>
  <c r="AS62" i="24" a="1"/>
  <c r="AS62" i="24"/>
  <c r="AT62" i="24"/>
  <c r="AS61" i="24" a="1"/>
  <c r="AS61" i="24"/>
  <c r="AT61" i="24"/>
  <c r="AU65" i="24"/>
  <c r="AU64" i="24"/>
  <c r="AU63" i="24"/>
  <c r="AU62" i="24"/>
  <c r="AU61" i="24"/>
  <c r="AO65" i="24"/>
  <c r="AO64" i="24"/>
  <c r="AO63" i="24"/>
  <c r="AO62" i="24"/>
  <c r="AO61" i="24"/>
  <c r="AP65" i="24"/>
  <c r="AQ65" i="24"/>
  <c r="AP64" i="24"/>
  <c r="AQ64" i="24"/>
  <c r="AP63" i="24"/>
  <c r="AQ63" i="24"/>
  <c r="AP62" i="24"/>
  <c r="AQ62" i="24"/>
  <c r="AP61" i="24"/>
  <c r="AQ61" i="24"/>
  <c r="K22" i="12"/>
  <c r="AP53" i="3"/>
  <c r="AK82" i="24"/>
  <c r="AL82" i="24"/>
  <c r="BD10" i="24"/>
  <c r="BC10" i="24"/>
  <c r="BB10" i="24"/>
  <c r="BD22" i="24"/>
  <c r="BD27" i="24"/>
  <c r="BC22" i="24"/>
  <c r="BC27" i="24"/>
  <c r="BD16" i="24"/>
  <c r="BD21" i="24"/>
  <c r="BC16" i="24"/>
  <c r="BC21" i="24"/>
  <c r="BD4" i="24"/>
  <c r="BD9" i="24"/>
  <c r="AK91" i="24"/>
  <c r="AL91" i="24"/>
  <c r="BC4" i="24"/>
  <c r="BC9" i="24"/>
  <c r="X90" i="3"/>
  <c r="X84" i="3"/>
  <c r="AB115" i="3"/>
  <c r="X80" i="3"/>
  <c r="X73" i="3"/>
  <c r="Y104" i="3"/>
  <c r="X68" i="3"/>
  <c r="X62" i="3"/>
  <c r="X56" i="3"/>
  <c r="X51" i="3"/>
  <c r="X45" i="3"/>
  <c r="Y112" i="3"/>
  <c r="Y103" i="3"/>
  <c r="Y118" i="3"/>
  <c r="Y108" i="3"/>
  <c r="BC12" i="24"/>
  <c r="BC34" i="24"/>
  <c r="BD12" i="24"/>
  <c r="BD34" i="24"/>
  <c r="BB12" i="24"/>
  <c r="BD15" i="24"/>
  <c r="BC13" i="24"/>
  <c r="BD13" i="24"/>
  <c r="BD14" i="24"/>
  <c r="BC14" i="24"/>
  <c r="BC15" i="24"/>
  <c r="BC40" i="24"/>
  <c r="BD40" i="24"/>
  <c r="AK101" i="24"/>
  <c r="AL101" i="24"/>
  <c r="AK66" i="24"/>
  <c r="AL66" i="24"/>
  <c r="BC42" i="24"/>
  <c r="BD42" i="24"/>
  <c r="AK103" i="24"/>
  <c r="AL103" i="24"/>
  <c r="BB14" i="24"/>
  <c r="BB13" i="24"/>
  <c r="BB15" i="24"/>
  <c r="BC32" i="24"/>
  <c r="BD32" i="24"/>
  <c r="BC11" i="24"/>
  <c r="BC23" i="24"/>
  <c r="BC33" i="24"/>
  <c r="BD11" i="24"/>
  <c r="BD23" i="24"/>
  <c r="BD33" i="24"/>
  <c r="BC24" i="24"/>
  <c r="BD24" i="24"/>
  <c r="BC25" i="24"/>
  <c r="BC35" i="24"/>
  <c r="BD25" i="24"/>
  <c r="BD35" i="24"/>
  <c r="BC26" i="24"/>
  <c r="BC36" i="24"/>
  <c r="BD26" i="24"/>
  <c r="BD36" i="24"/>
  <c r="BC5" i="24"/>
  <c r="BC17" i="24"/>
  <c r="BC37" i="24"/>
  <c r="BD5" i="24"/>
  <c r="BD17" i="24"/>
  <c r="BD37" i="24"/>
  <c r="BC6" i="24"/>
  <c r="BC18" i="24"/>
  <c r="BC38" i="24"/>
  <c r="BD6" i="24"/>
  <c r="BD18" i="24"/>
  <c r="BD38" i="24"/>
  <c r="AK74" i="24"/>
  <c r="AL74" i="24"/>
  <c r="BC7" i="24"/>
  <c r="BC19" i="24"/>
  <c r="BC39" i="24"/>
  <c r="BD7" i="24"/>
  <c r="BD19" i="24"/>
  <c r="BD39" i="24"/>
  <c r="BC8" i="24"/>
  <c r="BC20" i="24"/>
  <c r="BC41" i="24"/>
  <c r="BD8" i="24"/>
  <c r="BD20" i="24"/>
  <c r="BD41" i="24"/>
  <c r="BC31" i="24"/>
  <c r="BD31" i="24"/>
  <c r="AK87" i="24"/>
  <c r="AL87" i="24"/>
  <c r="AK62" i="24"/>
  <c r="AL62" i="24"/>
  <c r="AK78" i="24"/>
  <c r="AL78" i="24"/>
  <c r="AK76" i="24"/>
  <c r="AL76" i="24"/>
  <c r="AK99" i="24"/>
  <c r="AL99" i="24"/>
  <c r="AK88" i="24"/>
  <c r="AL88" i="24"/>
  <c r="AK63" i="24"/>
  <c r="AL63" i="24"/>
  <c r="AK93" i="24"/>
  <c r="AL93" i="24"/>
  <c r="AK68" i="24"/>
  <c r="AL68" i="24"/>
  <c r="AK95" i="24"/>
  <c r="AL95" i="24"/>
  <c r="AK70" i="24"/>
  <c r="AL70" i="24"/>
  <c r="AK102" i="24"/>
  <c r="AL102" i="24"/>
  <c r="AK77" i="24"/>
  <c r="AL77" i="24"/>
  <c r="AK90" i="24"/>
  <c r="AL90" i="24"/>
  <c r="AK65" i="24"/>
  <c r="AL65" i="24"/>
  <c r="AK100" i="24"/>
  <c r="AL100" i="24"/>
  <c r="AK75" i="24"/>
  <c r="AL75" i="24"/>
  <c r="AK96" i="24"/>
  <c r="AL96" i="24"/>
  <c r="AK71" i="24"/>
  <c r="AL71" i="24"/>
  <c r="AK94" i="24"/>
  <c r="AL94" i="24"/>
  <c r="AK69" i="24"/>
  <c r="AL69" i="24"/>
  <c r="AK97" i="24"/>
  <c r="AL97" i="24"/>
  <c r="AK72" i="24"/>
  <c r="AL72" i="24"/>
  <c r="AK89" i="24"/>
  <c r="AL89" i="24"/>
  <c r="AK64" i="24"/>
  <c r="AL64" i="24"/>
  <c r="AS163" i="3"/>
  <c r="AS161" i="3"/>
  <c r="Y137" i="3"/>
  <c r="Y136" i="3"/>
  <c r="Y135" i="3"/>
  <c r="Y134" i="3"/>
  <c r="Y133" i="3"/>
  <c r="Y117" i="3"/>
  <c r="Y116" i="3"/>
  <c r="Y115" i="3"/>
  <c r="Y114" i="3"/>
  <c r="Y111" i="3"/>
  <c r="Y110" i="3"/>
  <c r="Y109" i="3"/>
  <c r="Y106" i="3"/>
  <c r="Y105" i="3"/>
  <c r="Y102" i="3"/>
  <c r="Y101" i="3"/>
  <c r="Y100" i="3"/>
  <c r="Y99" i="3"/>
  <c r="Y98" i="3"/>
  <c r="AF50" i="3"/>
  <c r="AF49" i="3"/>
  <c r="AF48" i="3"/>
  <c r="AF47" i="3"/>
  <c r="AF46" i="3"/>
  <c r="AF45" i="3"/>
  <c r="AM542" i="23"/>
  <c r="AM541" i="23"/>
  <c r="AM540" i="23"/>
  <c r="AM539" i="23"/>
  <c r="AM538" i="23"/>
  <c r="AM537" i="23"/>
  <c r="AM536" i="23"/>
  <c r="AM535" i="23"/>
  <c r="AM534" i="23"/>
  <c r="AM533" i="23"/>
  <c r="AM532" i="23"/>
  <c r="AM531" i="23"/>
  <c r="AM530" i="23"/>
  <c r="AM529" i="23"/>
  <c r="AM528" i="23"/>
  <c r="AM527" i="23"/>
  <c r="AM526" i="23"/>
  <c r="AM525" i="23"/>
  <c r="AM524" i="23"/>
  <c r="AM523" i="23"/>
  <c r="AM522" i="23"/>
  <c r="AM521" i="23"/>
  <c r="AM520" i="23"/>
  <c r="AM519" i="23"/>
  <c r="AM518" i="23"/>
  <c r="AM517" i="23"/>
  <c r="AM516" i="23"/>
  <c r="AM515" i="23"/>
  <c r="AM514" i="23"/>
  <c r="AM513" i="23"/>
  <c r="AM512" i="23"/>
  <c r="AM511" i="23"/>
  <c r="AM510" i="23"/>
  <c r="AM509" i="23"/>
  <c r="AM508" i="23"/>
  <c r="AM507" i="23"/>
  <c r="AM506" i="23"/>
  <c r="AM505" i="23"/>
  <c r="AM504" i="23"/>
  <c r="AM503" i="23"/>
  <c r="AM502" i="23"/>
  <c r="AM501" i="23"/>
  <c r="AM500" i="23"/>
  <c r="AM499" i="23"/>
  <c r="AM498" i="23"/>
  <c r="AM497" i="23"/>
  <c r="AM496" i="23"/>
  <c r="AM495" i="23"/>
  <c r="AM494" i="23"/>
  <c r="AM493" i="23"/>
  <c r="AM492" i="23"/>
  <c r="AM491" i="23"/>
  <c r="AM490" i="23"/>
  <c r="AM489" i="23"/>
  <c r="AM488" i="23"/>
  <c r="AM487" i="23"/>
  <c r="AM486" i="23"/>
  <c r="AM485" i="23"/>
  <c r="AM484" i="23"/>
  <c r="AM483" i="23"/>
  <c r="AM482" i="23"/>
  <c r="AM481" i="23"/>
  <c r="AM480" i="23"/>
  <c r="AM479" i="23"/>
  <c r="AM478" i="23"/>
  <c r="AM477" i="23"/>
  <c r="AM476" i="23"/>
  <c r="AM475" i="23"/>
  <c r="AM474" i="23"/>
  <c r="AM473" i="23"/>
  <c r="AM472" i="23"/>
  <c r="AM471" i="23"/>
  <c r="AM470" i="23"/>
  <c r="AM469" i="23"/>
  <c r="AM468" i="23"/>
  <c r="AM467" i="23"/>
  <c r="AM466" i="23"/>
  <c r="AM465" i="23"/>
  <c r="AM464" i="23"/>
  <c r="AM463" i="23"/>
  <c r="AM462" i="23"/>
  <c r="AM461" i="23"/>
  <c r="AM460" i="23"/>
  <c r="AM459" i="23"/>
  <c r="AM458" i="23"/>
  <c r="AM457" i="23"/>
  <c r="AM456" i="23"/>
  <c r="AM455" i="23"/>
  <c r="AM454" i="23"/>
  <c r="AM453" i="23"/>
  <c r="AM452" i="23"/>
  <c r="AM451" i="23"/>
  <c r="AM450" i="23"/>
  <c r="AM449" i="23"/>
  <c r="AM448" i="23"/>
  <c r="AM447" i="23"/>
  <c r="AM446" i="23"/>
  <c r="AM445" i="23"/>
  <c r="AM444" i="23"/>
  <c r="AM443" i="23"/>
  <c r="AM442" i="23"/>
  <c r="AM441" i="23"/>
  <c r="AM440" i="23"/>
  <c r="AM439" i="23"/>
  <c r="AM438" i="23"/>
  <c r="AM437" i="23"/>
  <c r="AM436" i="23"/>
  <c r="AM435" i="23"/>
  <c r="AM434" i="23"/>
  <c r="AM433" i="23"/>
  <c r="AM432" i="23"/>
  <c r="AM431" i="23"/>
  <c r="AM430" i="23"/>
  <c r="AM429" i="23"/>
  <c r="AM428" i="23"/>
  <c r="AM427" i="23"/>
  <c r="AM426" i="23"/>
  <c r="AM425" i="23"/>
  <c r="AM424" i="23"/>
  <c r="AM423" i="23"/>
  <c r="AM422" i="23"/>
  <c r="AM421" i="23"/>
  <c r="AM420" i="23"/>
  <c r="AM419" i="23"/>
  <c r="AM418" i="23"/>
  <c r="AM417" i="23"/>
  <c r="AM416" i="23"/>
  <c r="AM415" i="23"/>
  <c r="AM414" i="23"/>
  <c r="AM413" i="23"/>
  <c r="AM412" i="23"/>
  <c r="AM411" i="23"/>
  <c r="AM410" i="23"/>
  <c r="AM409" i="23"/>
  <c r="AM408" i="23"/>
  <c r="AM407" i="23"/>
  <c r="AM406" i="23"/>
  <c r="AM405" i="23"/>
  <c r="AM404" i="23"/>
  <c r="AM403" i="23"/>
  <c r="AM402" i="23"/>
  <c r="AM401" i="23"/>
  <c r="AM400" i="23"/>
  <c r="AM399" i="23"/>
  <c r="AM398" i="23"/>
  <c r="AM397" i="23"/>
  <c r="AM396" i="23"/>
  <c r="AM395" i="23"/>
  <c r="AM394" i="23"/>
  <c r="AM393" i="23"/>
  <c r="AM392" i="23"/>
  <c r="AM391" i="23"/>
  <c r="AM390" i="23"/>
  <c r="AM389" i="23"/>
  <c r="AM388" i="23"/>
  <c r="AM387" i="23"/>
  <c r="AM386" i="23"/>
  <c r="AM385" i="23"/>
  <c r="AM384" i="23"/>
  <c r="AM383" i="23"/>
  <c r="AM382" i="23"/>
  <c r="AM381" i="23"/>
  <c r="AM380" i="23"/>
  <c r="AM379" i="23"/>
  <c r="AM378" i="23"/>
  <c r="AM377" i="23"/>
  <c r="AM376" i="23"/>
  <c r="AM375" i="23"/>
  <c r="AM374" i="23"/>
  <c r="AM373" i="23"/>
  <c r="AM372" i="23"/>
  <c r="AM371" i="23"/>
  <c r="AM370" i="23"/>
  <c r="AM369" i="23"/>
  <c r="AM368" i="23"/>
  <c r="AM367" i="23"/>
  <c r="AM366" i="23"/>
  <c r="AM365" i="23"/>
  <c r="AM364" i="23"/>
  <c r="AM363" i="23"/>
  <c r="AM362" i="23"/>
  <c r="AM361" i="23"/>
  <c r="AM360" i="23"/>
  <c r="AM359" i="23"/>
  <c r="AM358" i="23"/>
  <c r="AM357" i="23"/>
  <c r="AM356" i="23"/>
  <c r="AM355" i="23"/>
  <c r="AM354" i="23"/>
  <c r="AM353" i="23"/>
  <c r="AM352" i="23"/>
  <c r="AM351" i="23"/>
  <c r="AM350" i="23"/>
  <c r="AM349" i="23"/>
  <c r="AM348" i="23"/>
  <c r="AM347" i="23"/>
  <c r="AM346" i="23"/>
  <c r="AM345" i="23"/>
  <c r="AM344" i="23"/>
  <c r="AM343" i="23"/>
  <c r="AM342" i="23"/>
  <c r="AM341" i="23"/>
  <c r="AM340" i="23"/>
  <c r="AM339" i="23"/>
  <c r="AM338" i="23"/>
  <c r="AM337" i="23"/>
  <c r="AM336" i="23"/>
  <c r="AM335" i="23"/>
  <c r="AM334" i="23"/>
  <c r="AM333" i="23"/>
  <c r="AM332" i="23"/>
  <c r="AM331" i="23"/>
  <c r="AM330" i="23"/>
  <c r="AM329" i="23"/>
  <c r="AM328" i="23"/>
  <c r="AM327" i="23"/>
  <c r="AM326" i="23"/>
  <c r="AM325" i="23"/>
  <c r="AM324" i="23"/>
  <c r="AM323" i="23"/>
  <c r="AM322" i="23"/>
  <c r="AM321" i="23"/>
  <c r="AM320" i="23"/>
  <c r="AM319" i="23"/>
  <c r="AM318" i="23"/>
  <c r="AM317" i="23"/>
  <c r="AM316" i="23"/>
  <c r="AM315" i="23"/>
  <c r="AM314" i="23"/>
  <c r="AM313" i="23"/>
  <c r="AM312" i="23"/>
  <c r="AM311" i="23"/>
  <c r="AM310" i="23"/>
  <c r="AM309" i="23"/>
  <c r="AM308" i="23"/>
  <c r="AM307" i="23"/>
  <c r="AM306" i="23"/>
  <c r="AM305" i="23"/>
  <c r="AM304" i="23"/>
  <c r="AM303" i="23"/>
  <c r="AM302" i="23"/>
  <c r="AM301" i="23"/>
  <c r="AM300" i="23"/>
  <c r="AM299" i="23"/>
  <c r="AM298" i="23"/>
  <c r="AM297" i="23"/>
  <c r="AM296" i="23"/>
  <c r="AM295" i="23"/>
  <c r="AM294" i="23"/>
  <c r="AM293" i="23"/>
  <c r="AM292" i="23"/>
  <c r="AM291" i="23"/>
  <c r="AM290" i="23"/>
  <c r="AM289" i="23"/>
  <c r="AM288" i="23"/>
  <c r="AM287" i="23"/>
  <c r="AM286" i="23"/>
  <c r="AM285" i="23"/>
  <c r="AM284" i="23"/>
  <c r="AM283" i="23"/>
  <c r="AM282" i="23"/>
  <c r="AM281" i="23"/>
  <c r="AM280" i="23"/>
  <c r="AM279" i="23"/>
  <c r="AM278" i="23"/>
  <c r="AM277" i="23"/>
  <c r="AM276" i="23"/>
  <c r="AM275" i="23"/>
  <c r="AM274" i="23"/>
  <c r="AM273" i="23"/>
  <c r="AM272" i="23"/>
  <c r="AM271" i="23"/>
  <c r="AM270" i="23"/>
  <c r="AM269" i="23"/>
  <c r="AM268" i="23"/>
  <c r="AM267" i="23"/>
  <c r="AM266" i="23"/>
  <c r="AM265" i="23"/>
  <c r="AM264" i="23"/>
  <c r="AM263" i="23"/>
  <c r="AM262" i="23"/>
  <c r="AM261" i="23"/>
  <c r="AM260" i="23"/>
  <c r="AM259" i="23"/>
  <c r="AM258" i="23"/>
  <c r="AM257" i="23"/>
  <c r="AM256" i="23"/>
  <c r="AM255" i="23"/>
  <c r="AM254" i="23"/>
  <c r="AM253" i="23"/>
  <c r="AM252" i="23"/>
  <c r="AM251" i="23"/>
  <c r="AM250" i="23"/>
  <c r="AM249" i="23"/>
  <c r="AM248" i="23"/>
  <c r="AM247" i="23"/>
  <c r="AM246" i="23"/>
  <c r="AM245" i="23"/>
  <c r="AM244" i="23"/>
  <c r="AM243" i="23"/>
  <c r="AM242" i="23"/>
  <c r="AM241" i="23"/>
  <c r="AM240" i="23"/>
  <c r="AM239" i="23"/>
  <c r="AM238" i="23"/>
  <c r="AM237" i="23"/>
  <c r="AM236" i="23"/>
  <c r="AM235" i="23"/>
  <c r="AM234" i="23"/>
  <c r="AM233" i="23"/>
  <c r="AM232" i="23"/>
  <c r="AM231" i="23"/>
  <c r="AM230" i="23"/>
  <c r="AM229" i="23"/>
  <c r="AM228" i="23"/>
  <c r="AM227" i="23"/>
  <c r="AM226" i="23"/>
  <c r="AM225" i="23"/>
  <c r="AM224" i="23"/>
  <c r="AM223" i="23"/>
  <c r="AM222" i="23"/>
  <c r="AM221" i="23"/>
  <c r="AM220" i="23"/>
  <c r="AM219" i="23"/>
  <c r="AM218" i="23"/>
  <c r="AM217" i="23"/>
  <c r="AM216" i="23"/>
  <c r="AM215" i="23"/>
  <c r="AM214" i="23"/>
  <c r="AM213" i="23"/>
  <c r="AM212" i="23"/>
  <c r="AM211" i="23"/>
  <c r="AM210" i="23"/>
  <c r="AM209" i="23"/>
  <c r="AM208" i="23"/>
  <c r="AM207" i="23"/>
  <c r="AM206" i="23"/>
  <c r="AM205" i="23"/>
  <c r="AM204" i="23"/>
  <c r="AM203" i="23"/>
  <c r="AM202" i="23"/>
  <c r="AM201" i="23"/>
  <c r="AM200" i="23"/>
  <c r="AM199" i="23"/>
  <c r="AM198" i="23"/>
  <c r="AM197" i="23"/>
  <c r="AM196" i="23"/>
  <c r="AM195" i="23"/>
  <c r="AM194" i="23"/>
  <c r="AM193" i="23"/>
  <c r="AM192" i="23"/>
  <c r="AM191" i="23"/>
  <c r="AM190" i="23"/>
  <c r="AM189" i="23"/>
  <c r="AM188" i="23"/>
  <c r="AM187" i="23"/>
  <c r="AM186" i="23"/>
  <c r="AM185" i="23"/>
  <c r="AM184" i="23"/>
  <c r="AM183" i="23"/>
  <c r="AM182" i="23"/>
  <c r="AM181" i="23"/>
  <c r="AM180" i="23"/>
  <c r="AM179" i="23"/>
  <c r="AM178" i="23"/>
  <c r="AM177" i="23"/>
  <c r="AM176" i="23"/>
  <c r="AM175" i="23"/>
  <c r="AM174" i="23"/>
  <c r="AM173" i="23"/>
  <c r="AM172" i="23"/>
  <c r="AM171" i="23"/>
  <c r="AM170" i="23"/>
  <c r="AM169" i="23"/>
  <c r="AM168" i="23"/>
  <c r="AM167" i="23"/>
  <c r="AM166" i="23"/>
  <c r="AM165" i="23"/>
  <c r="AM164" i="23"/>
  <c r="AM163" i="23"/>
  <c r="AM162" i="23"/>
  <c r="AM161" i="23"/>
  <c r="AM160" i="23"/>
  <c r="AM159" i="23"/>
  <c r="AM158" i="23"/>
  <c r="AM157" i="23"/>
  <c r="AM156" i="23"/>
  <c r="AM155" i="23"/>
  <c r="AM154" i="23"/>
  <c r="AM153" i="23"/>
  <c r="AM152" i="23"/>
  <c r="AM151" i="23"/>
  <c r="AM150" i="23"/>
  <c r="AM149" i="23"/>
  <c r="AM148" i="23"/>
  <c r="AM147" i="23"/>
  <c r="AM146" i="23"/>
  <c r="AM145" i="23"/>
  <c r="AM144" i="23"/>
  <c r="AM143" i="23"/>
  <c r="AM142" i="23"/>
  <c r="AM141" i="23"/>
  <c r="AM140" i="23"/>
  <c r="AM139" i="23"/>
  <c r="AM138" i="23"/>
  <c r="AM137" i="23"/>
  <c r="AM136" i="23"/>
  <c r="AM135" i="23"/>
  <c r="AM134" i="23"/>
  <c r="AM133" i="23"/>
  <c r="AM132" i="23"/>
  <c r="AM131" i="23"/>
  <c r="AM130" i="23"/>
  <c r="AM129" i="23"/>
  <c r="AM128" i="23"/>
  <c r="AM127" i="23"/>
  <c r="AM126" i="23"/>
  <c r="AM125" i="23"/>
  <c r="AM124" i="23"/>
  <c r="AM123" i="23"/>
  <c r="AM122" i="23"/>
  <c r="AM121" i="23"/>
  <c r="AM120" i="23"/>
  <c r="AM119" i="23"/>
  <c r="AM118" i="23"/>
  <c r="AM117" i="23"/>
  <c r="AM116" i="23"/>
  <c r="AM115" i="23"/>
  <c r="AM114" i="23"/>
  <c r="AM113" i="23"/>
  <c r="AM112" i="23"/>
  <c r="AM111" i="23"/>
  <c r="AM110" i="23"/>
  <c r="AM109" i="23"/>
  <c r="AM108" i="23"/>
  <c r="AM107" i="23"/>
  <c r="AM106" i="23"/>
  <c r="AM105" i="23"/>
  <c r="AM104" i="23"/>
  <c r="AM103" i="23"/>
  <c r="AM102" i="23"/>
  <c r="AM101" i="23"/>
  <c r="AM100" i="23"/>
  <c r="AM99" i="23"/>
  <c r="AM98" i="23"/>
  <c r="AM97" i="23"/>
  <c r="AM96" i="23"/>
  <c r="AM95" i="23"/>
  <c r="AM94" i="23"/>
  <c r="AM93" i="23"/>
  <c r="AM92" i="23"/>
  <c r="AM91" i="23"/>
  <c r="AM90" i="23"/>
  <c r="AM89" i="23"/>
  <c r="AM88" i="23"/>
  <c r="AM87" i="23"/>
  <c r="AM86" i="23"/>
  <c r="AM85" i="23"/>
  <c r="AM84" i="23"/>
  <c r="AM83" i="23"/>
  <c r="AM82" i="23"/>
  <c r="AM81" i="23"/>
  <c r="AM80" i="23"/>
  <c r="AM79" i="23"/>
  <c r="AM78" i="23"/>
  <c r="AM77" i="23"/>
  <c r="AM76" i="23"/>
  <c r="AM75" i="23"/>
  <c r="AM74" i="23"/>
  <c r="AM73" i="23"/>
  <c r="AM72" i="23"/>
  <c r="AM71" i="23"/>
  <c r="AM70" i="23"/>
  <c r="AM69" i="23"/>
  <c r="AM68" i="23"/>
  <c r="AM67" i="23"/>
  <c r="AM66" i="23"/>
  <c r="AM65" i="23"/>
  <c r="AM64" i="23"/>
  <c r="AM63" i="23"/>
  <c r="AM62" i="23"/>
  <c r="AM61" i="23"/>
  <c r="AM60" i="23"/>
  <c r="AM59" i="23"/>
  <c r="AM58" i="23"/>
  <c r="AM57" i="23"/>
  <c r="AM56" i="23"/>
  <c r="AM55" i="23"/>
  <c r="AM54" i="23"/>
  <c r="AM53" i="23"/>
  <c r="AM52" i="23"/>
  <c r="AM51" i="23"/>
  <c r="AM50" i="23"/>
  <c r="AM49" i="23"/>
  <c r="AM48" i="23"/>
  <c r="AM47" i="23"/>
  <c r="AM46" i="23"/>
  <c r="AM45" i="23"/>
  <c r="AM44" i="23"/>
  <c r="AM43" i="23"/>
  <c r="AM42" i="23"/>
  <c r="AM41" i="23"/>
  <c r="AM40" i="23"/>
  <c r="AM39" i="23"/>
  <c r="AM38" i="23"/>
  <c r="AM37" i="23"/>
  <c r="AM36" i="23"/>
  <c r="AM35" i="23"/>
  <c r="AM34" i="23"/>
  <c r="AM33" i="23"/>
  <c r="AM32" i="23"/>
  <c r="AM31" i="23"/>
  <c r="AM30" i="23"/>
  <c r="AM29" i="23"/>
  <c r="AM28" i="23"/>
  <c r="AM27" i="23"/>
  <c r="AM26" i="23"/>
  <c r="AM25" i="23"/>
  <c r="AM24" i="23"/>
  <c r="AM23" i="23"/>
  <c r="AM22" i="23"/>
  <c r="AM21" i="23"/>
  <c r="AM20" i="23"/>
  <c r="AM19" i="23"/>
  <c r="AM18" i="23"/>
  <c r="AM17" i="23"/>
  <c r="AM16" i="23"/>
  <c r="AM15" i="23"/>
  <c r="AM14" i="23"/>
  <c r="AM13" i="23"/>
  <c r="AM12" i="23"/>
  <c r="AM11" i="23"/>
  <c r="AM10" i="23"/>
  <c r="AM9" i="23"/>
  <c r="AM8" i="23"/>
  <c r="AM7" i="23"/>
  <c r="AM6" i="23"/>
  <c r="AM5" i="23"/>
  <c r="AM4" i="23"/>
  <c r="AM3" i="23"/>
  <c r="AM872" i="23"/>
  <c r="AM871" i="23"/>
  <c r="AM870" i="23"/>
  <c r="AM869" i="23"/>
  <c r="AM868" i="23"/>
  <c r="AM867" i="23"/>
  <c r="AM866" i="23"/>
  <c r="AM865" i="23"/>
  <c r="AM864" i="23"/>
  <c r="AM863" i="23"/>
  <c r="AM862" i="23"/>
  <c r="AM861" i="23"/>
  <c r="AM860" i="23"/>
  <c r="AM859" i="23"/>
  <c r="AM858" i="23"/>
  <c r="AM857" i="23"/>
  <c r="AM856" i="23"/>
  <c r="AM855" i="23"/>
  <c r="AM854" i="23"/>
  <c r="AM853" i="23"/>
  <c r="AM852" i="23"/>
  <c r="AM851" i="23"/>
  <c r="AM850" i="23"/>
  <c r="AM849" i="23"/>
  <c r="AM848" i="23"/>
  <c r="AM847" i="23"/>
  <c r="AM846" i="23"/>
  <c r="AM845" i="23"/>
  <c r="AM844" i="23"/>
  <c r="AM843" i="23"/>
  <c r="AM842" i="23"/>
  <c r="AM841" i="23"/>
  <c r="AM840" i="23"/>
  <c r="AM839" i="23"/>
  <c r="AM838" i="23"/>
  <c r="AM837" i="23"/>
  <c r="AM836" i="23"/>
  <c r="AM835" i="23"/>
  <c r="AM834" i="23"/>
  <c r="AM833" i="23"/>
  <c r="AM832" i="23"/>
  <c r="AM831" i="23"/>
  <c r="AM830" i="23"/>
  <c r="AM829" i="23"/>
  <c r="AM828" i="23"/>
  <c r="AM827" i="23"/>
  <c r="AM826" i="23"/>
  <c r="AM825" i="23"/>
  <c r="AM824" i="23"/>
  <c r="AM823" i="23"/>
  <c r="AM822" i="23"/>
  <c r="AM821" i="23"/>
  <c r="AM820" i="23"/>
  <c r="AM819" i="23"/>
  <c r="AM818" i="23"/>
  <c r="AM817" i="23"/>
  <c r="AM816" i="23"/>
  <c r="AM815" i="23"/>
  <c r="AM814" i="23"/>
  <c r="AM813" i="23"/>
  <c r="AM812" i="23"/>
  <c r="AM811" i="23"/>
  <c r="AM810" i="23"/>
  <c r="AM809" i="23"/>
  <c r="AM808" i="23"/>
  <c r="AM807" i="23"/>
  <c r="AM806" i="23"/>
  <c r="AM805" i="23"/>
  <c r="AM804" i="23"/>
  <c r="AM803" i="23"/>
  <c r="AM802" i="23"/>
  <c r="AM801" i="23"/>
  <c r="AM800" i="23"/>
  <c r="AM799" i="23"/>
  <c r="AM798" i="23"/>
  <c r="AM797" i="23"/>
  <c r="AM796" i="23"/>
  <c r="AM795" i="23"/>
  <c r="AM794" i="23"/>
  <c r="AM793" i="23"/>
  <c r="AM792" i="23"/>
  <c r="AM791" i="23"/>
  <c r="AM790" i="23"/>
  <c r="AM789" i="23"/>
  <c r="AM788" i="23"/>
  <c r="AM787" i="23"/>
  <c r="AM786" i="23"/>
  <c r="AM785" i="23"/>
  <c r="AM784" i="23"/>
  <c r="AM783" i="23"/>
  <c r="AM782" i="23"/>
  <c r="AM781" i="23"/>
  <c r="AM780" i="23"/>
  <c r="AM779" i="23"/>
  <c r="AM778" i="23"/>
  <c r="AM777" i="23"/>
  <c r="AM776" i="23"/>
  <c r="AM775" i="23"/>
  <c r="AM774" i="23"/>
  <c r="AM773" i="23"/>
  <c r="AM772" i="23"/>
  <c r="AM771" i="23"/>
  <c r="AM770" i="23"/>
  <c r="AM769" i="23"/>
  <c r="AM768" i="23"/>
  <c r="AM767" i="23"/>
  <c r="AM766" i="23"/>
  <c r="AM765" i="23"/>
  <c r="AM764" i="23"/>
  <c r="AM763" i="23"/>
  <c r="AM762" i="23"/>
  <c r="AM761" i="23"/>
  <c r="AM760" i="23"/>
  <c r="AM759" i="23"/>
  <c r="AM758" i="23"/>
  <c r="AM757" i="23"/>
  <c r="AM756" i="23"/>
  <c r="AM755" i="23"/>
  <c r="AM754" i="23"/>
  <c r="AM753" i="23"/>
  <c r="AM752" i="23"/>
  <c r="AM751" i="23"/>
  <c r="AM750" i="23"/>
  <c r="AM749" i="23"/>
  <c r="AM748" i="23"/>
  <c r="AM747" i="23"/>
  <c r="AM746" i="23"/>
  <c r="AM745" i="23"/>
  <c r="AM744" i="23"/>
  <c r="AM743" i="23"/>
  <c r="AM742" i="23"/>
  <c r="AM741" i="23"/>
  <c r="AM740" i="23"/>
  <c r="AM739" i="23"/>
  <c r="AM738" i="23"/>
  <c r="AM737" i="23"/>
  <c r="AM736" i="23"/>
  <c r="AM735" i="23"/>
  <c r="AM734" i="23"/>
  <c r="AM733" i="23"/>
  <c r="AM732" i="23"/>
  <c r="AM731" i="23"/>
  <c r="AM730" i="23"/>
  <c r="AM729" i="23"/>
  <c r="AM728" i="23"/>
  <c r="AM727" i="23"/>
  <c r="AM726" i="23"/>
  <c r="AM725" i="23"/>
  <c r="AM724" i="23"/>
  <c r="AM723" i="23"/>
  <c r="AM722" i="23"/>
  <c r="AM721" i="23"/>
  <c r="AM720" i="23"/>
  <c r="AM719" i="23"/>
  <c r="AM718" i="23"/>
  <c r="AM717" i="23"/>
  <c r="AM716" i="23"/>
  <c r="AM715" i="23"/>
  <c r="AM714" i="23"/>
  <c r="AM713" i="23"/>
  <c r="AM712" i="23"/>
  <c r="AM711" i="23"/>
  <c r="AM710" i="23"/>
  <c r="AM709" i="23"/>
  <c r="AM708" i="23"/>
  <c r="AM707" i="23"/>
  <c r="AM706" i="23"/>
  <c r="AM705" i="23"/>
  <c r="AM704" i="23"/>
  <c r="AM703" i="23"/>
  <c r="AM702" i="23"/>
  <c r="AM701" i="23"/>
  <c r="AM700" i="23"/>
  <c r="AM699" i="23"/>
  <c r="AM698" i="23"/>
  <c r="AM697" i="23"/>
  <c r="AM696" i="23"/>
  <c r="AM695" i="23"/>
  <c r="AM694" i="23"/>
  <c r="AM693" i="23"/>
  <c r="AM692" i="23"/>
  <c r="AM691" i="23"/>
  <c r="AM690" i="23"/>
  <c r="AM689" i="23"/>
  <c r="AM688" i="23"/>
  <c r="AM687" i="23"/>
  <c r="AM686" i="23"/>
  <c r="AM685" i="23"/>
  <c r="AM684" i="23"/>
  <c r="AM683" i="23"/>
  <c r="AM682" i="23"/>
  <c r="AM681" i="23"/>
  <c r="AM680" i="23"/>
  <c r="AM679" i="23"/>
  <c r="AM678" i="23"/>
  <c r="AM677" i="23"/>
  <c r="AM676" i="23"/>
  <c r="AM675" i="23"/>
  <c r="AM674" i="23"/>
  <c r="AM673" i="23"/>
  <c r="AM672" i="23"/>
  <c r="AM671" i="23"/>
  <c r="AM670" i="23"/>
  <c r="AM669" i="23"/>
  <c r="AM668" i="23"/>
  <c r="AM667" i="23"/>
  <c r="AM666" i="23"/>
  <c r="AM665" i="23"/>
  <c r="AM664" i="23"/>
  <c r="AM663" i="23"/>
  <c r="AM662" i="23"/>
  <c r="AM661" i="23"/>
  <c r="AM660" i="23"/>
  <c r="AM659" i="23"/>
  <c r="AM658" i="23"/>
  <c r="AM657" i="23"/>
  <c r="AM656" i="23"/>
  <c r="AM655" i="23"/>
  <c r="AM654" i="23"/>
  <c r="AM653" i="23"/>
  <c r="AM652" i="23"/>
  <c r="AM651" i="23"/>
  <c r="AM650" i="23"/>
  <c r="AM649" i="23"/>
  <c r="AM648" i="23"/>
  <c r="AM647" i="23"/>
  <c r="AM646" i="23"/>
  <c r="AM645" i="23"/>
  <c r="AM644" i="23"/>
  <c r="AM643" i="23"/>
  <c r="AM642" i="23"/>
  <c r="AM641" i="23"/>
  <c r="AM640" i="23"/>
  <c r="AM639" i="23"/>
  <c r="AM638" i="23"/>
  <c r="AM637" i="23"/>
  <c r="AM636" i="23"/>
  <c r="AM635" i="23"/>
  <c r="AM634" i="23"/>
  <c r="AM633" i="23"/>
  <c r="AM632" i="23"/>
  <c r="AM631" i="23"/>
  <c r="AM630" i="23"/>
  <c r="AM629" i="23"/>
  <c r="AM628" i="23"/>
  <c r="AM627" i="23"/>
  <c r="AM626" i="23"/>
  <c r="AM625" i="23"/>
  <c r="AM624" i="23"/>
  <c r="AM623" i="23"/>
  <c r="AM622" i="23"/>
  <c r="AM621" i="23"/>
  <c r="AM620" i="23"/>
  <c r="AM619" i="23"/>
  <c r="AM618" i="23"/>
  <c r="AM617" i="23"/>
  <c r="AM616" i="23"/>
  <c r="AM615" i="23"/>
  <c r="AM614" i="23"/>
  <c r="AM613" i="23"/>
  <c r="AM612" i="23"/>
  <c r="AM611" i="23"/>
  <c r="AM610" i="23"/>
  <c r="AM609" i="23"/>
  <c r="AM608" i="23"/>
  <c r="AM607" i="23"/>
  <c r="AM606" i="23"/>
  <c r="AM605" i="23"/>
  <c r="AM604" i="23"/>
  <c r="AM603" i="23"/>
  <c r="AM602" i="23"/>
  <c r="AM601" i="23"/>
  <c r="AM600" i="23"/>
  <c r="AM599" i="23"/>
  <c r="AM598" i="23"/>
  <c r="AM597" i="23"/>
  <c r="AM596" i="23"/>
  <c r="AM595" i="23"/>
  <c r="AM594" i="23"/>
  <c r="AM593" i="23"/>
  <c r="AM592" i="23"/>
  <c r="AM591" i="23"/>
  <c r="AM590" i="23"/>
  <c r="AM589" i="23"/>
  <c r="AM588" i="23"/>
  <c r="AM587" i="23"/>
  <c r="AM586" i="23"/>
  <c r="AM585" i="23"/>
  <c r="AM584" i="23"/>
  <c r="AM583" i="23"/>
  <c r="AM582" i="23"/>
  <c r="AM581" i="23"/>
  <c r="AM580" i="23"/>
  <c r="AM579" i="23"/>
  <c r="AM578" i="23"/>
  <c r="AM577" i="23"/>
  <c r="AM576" i="23"/>
  <c r="AM575" i="23"/>
  <c r="AM574" i="23"/>
  <c r="AM573" i="23"/>
  <c r="AM572" i="23"/>
  <c r="AM571" i="23"/>
  <c r="AM570" i="23"/>
  <c r="AM569" i="23"/>
  <c r="AM568" i="23"/>
  <c r="AM567" i="23"/>
  <c r="AM566" i="23"/>
  <c r="AM565" i="23"/>
  <c r="AM564" i="23"/>
  <c r="AM563" i="23"/>
  <c r="AM562" i="23"/>
  <c r="AM561" i="23"/>
  <c r="AM560" i="23"/>
  <c r="AM559" i="23"/>
  <c r="AM558" i="23"/>
  <c r="AM557" i="23"/>
  <c r="AM556" i="23"/>
  <c r="AM555" i="23"/>
  <c r="AM554" i="23"/>
  <c r="AM553" i="23"/>
  <c r="AM552" i="23"/>
  <c r="AM551" i="23"/>
  <c r="AM550" i="23"/>
  <c r="AM549" i="23"/>
  <c r="AM548" i="23"/>
  <c r="AM547" i="23"/>
  <c r="AM546" i="23"/>
  <c r="AM545" i="23"/>
  <c r="AM544" i="23"/>
  <c r="AM543" i="23"/>
  <c r="AF52" i="3"/>
  <c r="AZ16" i="23"/>
  <c r="AZ17" i="23"/>
  <c r="AZ18" i="23"/>
  <c r="AZ19" i="23"/>
  <c r="AZ20" i="23"/>
  <c r="AZ21" i="23"/>
  <c r="AD52" i="3"/>
  <c r="AE45" i="3"/>
  <c r="AE49" i="3"/>
  <c r="AE50" i="3"/>
  <c r="AE46" i="3"/>
  <c r="AE47" i="3"/>
  <c r="AE48" i="3"/>
  <c r="AE51" i="3"/>
  <c r="AE44" i="3"/>
  <c r="AE52" i="3"/>
  <c r="O4" i="12"/>
  <c r="O21" i="12"/>
  <c r="O20" i="12"/>
  <c r="R16" i="12"/>
  <c r="O19" i="12"/>
  <c r="O18" i="12"/>
  <c r="R14" i="12"/>
  <c r="O17" i="12"/>
  <c r="R8" i="12"/>
  <c r="O16" i="12"/>
  <c r="O15" i="12"/>
  <c r="O14" i="12"/>
  <c r="O13" i="12"/>
  <c r="O12" i="12"/>
  <c r="O11" i="12"/>
  <c r="O10" i="12"/>
  <c r="O9" i="12"/>
  <c r="O8" i="12"/>
  <c r="O7" i="12"/>
  <c r="O6" i="12"/>
  <c r="O5" i="12"/>
  <c r="R6" i="12"/>
  <c r="R12" i="12"/>
  <c r="R9" i="12"/>
  <c r="R11" i="12"/>
  <c r="R13" i="12"/>
  <c r="R15" i="12"/>
  <c r="AL868" i="23"/>
  <c r="AL848" i="23"/>
  <c r="AL828" i="23"/>
  <c r="AL808" i="23"/>
  <c r="AL788" i="23"/>
  <c r="AL768" i="23"/>
  <c r="AL748" i="23"/>
  <c r="AL728" i="23"/>
  <c r="AL708" i="23"/>
  <c r="AL688" i="23"/>
  <c r="AS14" i="48" a="1"/>
  <c r="AS14" i="48"/>
  <c r="AL668" i="23"/>
  <c r="AM18" i="48" a="1"/>
  <c r="AM18" i="48"/>
  <c r="AL648" i="23"/>
  <c r="AL628" i="23"/>
  <c r="AL608" i="23"/>
  <c r="AL588" i="23"/>
  <c r="AL568" i="23"/>
  <c r="AL548" i="23"/>
  <c r="AL528" i="23"/>
  <c r="AL508" i="23"/>
  <c r="AL488" i="23"/>
  <c r="AL468" i="23"/>
  <c r="AL448" i="23"/>
  <c r="AL428" i="23"/>
  <c r="AL408" i="23"/>
  <c r="AL388" i="23"/>
  <c r="AL368" i="23"/>
  <c r="AL348" i="23"/>
  <c r="AL328" i="23"/>
  <c r="AL308" i="23"/>
  <c r="AL288" i="23"/>
  <c r="AL268" i="23"/>
  <c r="AL248" i="23"/>
  <c r="AL228" i="23"/>
  <c r="AL208" i="23"/>
  <c r="AL188" i="23"/>
  <c r="AL168" i="23"/>
  <c r="AL148" i="23"/>
  <c r="AL128" i="23"/>
  <c r="AL108" i="23"/>
  <c r="AL88" i="23"/>
  <c r="AL68" i="23"/>
  <c r="AL48" i="23"/>
  <c r="AL28" i="23"/>
  <c r="AL8" i="23"/>
  <c r="AL245" i="23"/>
  <c r="AL145" i="23"/>
  <c r="AL65" i="23"/>
  <c r="AL164" i="23"/>
  <c r="AL84" i="23"/>
  <c r="AL283" i="23"/>
  <c r="AL143" i="23"/>
  <c r="AL23" i="23"/>
  <c r="AL602" i="23"/>
  <c r="AL502" i="23"/>
  <c r="AL402" i="23"/>
  <c r="AL362" i="23"/>
  <c r="AL282" i="23"/>
  <c r="AL202" i="23"/>
  <c r="AL102" i="23"/>
  <c r="AL21" i="23"/>
  <c r="AL840" i="23"/>
  <c r="AL660" i="23"/>
  <c r="AL867" i="23"/>
  <c r="AL847" i="23"/>
  <c r="AL827" i="23"/>
  <c r="AL807" i="23"/>
  <c r="AL787" i="23"/>
  <c r="AL767" i="23"/>
  <c r="AL747" i="23"/>
  <c r="AL727" i="23"/>
  <c r="AL707" i="23"/>
  <c r="AL687" i="23"/>
  <c r="AS13" i="48" a="1"/>
  <c r="AS13" i="48"/>
  <c r="AL667" i="23"/>
  <c r="AM17" i="48" a="1"/>
  <c r="AM17" i="48"/>
  <c r="AL647" i="23"/>
  <c r="AL627" i="23"/>
  <c r="AL607" i="23"/>
  <c r="AL587" i="23"/>
  <c r="AL567" i="23"/>
  <c r="AL547" i="23"/>
  <c r="AL527" i="23"/>
  <c r="AL507" i="23"/>
  <c r="AL487" i="23"/>
  <c r="AL467" i="23"/>
  <c r="AL447" i="23"/>
  <c r="AL427" i="23"/>
  <c r="AL407" i="23"/>
  <c r="AL387" i="23"/>
  <c r="AL367" i="23"/>
  <c r="AL347" i="23"/>
  <c r="AL327" i="23"/>
  <c r="AL307" i="23"/>
  <c r="AL287" i="23"/>
  <c r="AL267" i="23"/>
  <c r="AL247" i="23"/>
  <c r="AL227" i="23"/>
  <c r="AL207" i="23"/>
  <c r="AL187" i="23"/>
  <c r="AL167" i="23"/>
  <c r="AL147" i="23"/>
  <c r="AL127" i="23"/>
  <c r="AL107" i="23"/>
  <c r="AL87" i="23"/>
  <c r="AL67" i="23"/>
  <c r="AL47" i="23"/>
  <c r="AL27" i="23"/>
  <c r="AL7" i="23"/>
  <c r="AL265" i="23"/>
  <c r="AL165" i="23"/>
  <c r="AL105" i="23"/>
  <c r="AL104" i="23"/>
  <c r="AL44" i="23"/>
  <c r="AL303" i="23"/>
  <c r="AL203" i="23"/>
  <c r="AL103" i="23"/>
  <c r="AL3" i="23"/>
  <c r="AL642" i="23"/>
  <c r="AL462" i="23"/>
  <c r="AL322" i="23"/>
  <c r="AL222" i="23"/>
  <c r="AL122" i="23"/>
  <c r="AL22" i="23"/>
  <c r="AL61" i="23"/>
  <c r="AL740" i="23"/>
  <c r="AL580" i="23"/>
  <c r="AL866" i="23"/>
  <c r="AL846" i="23"/>
  <c r="AL826" i="23"/>
  <c r="AL806" i="23"/>
  <c r="AL786" i="23"/>
  <c r="AL766" i="23"/>
  <c r="AL746" i="23"/>
  <c r="AL726" i="23"/>
  <c r="AL706" i="23"/>
  <c r="AL686" i="23"/>
  <c r="AP18" i="48" a="1"/>
  <c r="AP18" i="48"/>
  <c r="AL666" i="23"/>
  <c r="AM16" i="48" a="1"/>
  <c r="AM16" i="48"/>
  <c r="AL646" i="23"/>
  <c r="AL626" i="23"/>
  <c r="AL606" i="23"/>
  <c r="AL586" i="23"/>
  <c r="AL566" i="23"/>
  <c r="AL546" i="23"/>
  <c r="AL526" i="23"/>
  <c r="AL506" i="23"/>
  <c r="AL486" i="23"/>
  <c r="AL466" i="23"/>
  <c r="AL446" i="23"/>
  <c r="AL426" i="23"/>
  <c r="AL406" i="23"/>
  <c r="AL386" i="23"/>
  <c r="AL366" i="23"/>
  <c r="AL346" i="23"/>
  <c r="AL326" i="23"/>
  <c r="AL306" i="23"/>
  <c r="AL286" i="23"/>
  <c r="AL266" i="23"/>
  <c r="AL246" i="23"/>
  <c r="AL226" i="23"/>
  <c r="AL206" i="23"/>
  <c r="AL186" i="23"/>
  <c r="AL166" i="23"/>
  <c r="AL146" i="23"/>
  <c r="AL126" i="23"/>
  <c r="AL106" i="23"/>
  <c r="AL86" i="23"/>
  <c r="AL66" i="23"/>
  <c r="AL46" i="23"/>
  <c r="AL26" i="23"/>
  <c r="AL6" i="23"/>
  <c r="AL225" i="23"/>
  <c r="AL185" i="23"/>
  <c r="AL125" i="23"/>
  <c r="AL85" i="23"/>
  <c r="AL25" i="23"/>
  <c r="AL124" i="23"/>
  <c r="AL64" i="23"/>
  <c r="AL4" i="23"/>
  <c r="AL263" i="23"/>
  <c r="AL223" i="23"/>
  <c r="AL163" i="23"/>
  <c r="AL63" i="23"/>
  <c r="AL702" i="23"/>
  <c r="AL442" i="23"/>
  <c r="AL262" i="23"/>
  <c r="AL162" i="23"/>
  <c r="AL62" i="23"/>
  <c r="AL81" i="23"/>
  <c r="AL800" i="23"/>
  <c r="AL865" i="23"/>
  <c r="AL845" i="23"/>
  <c r="AL825" i="23"/>
  <c r="AL805" i="23"/>
  <c r="AL785" i="23"/>
  <c r="AL765" i="23"/>
  <c r="AL745" i="23"/>
  <c r="AL725" i="23"/>
  <c r="AL705" i="23"/>
  <c r="AL685" i="23"/>
  <c r="AP17" i="48" a="1"/>
  <c r="AP17" i="48"/>
  <c r="AL665" i="23"/>
  <c r="AM15" i="48" a="1"/>
  <c r="AM15" i="48"/>
  <c r="AL645" i="23"/>
  <c r="AL625" i="23"/>
  <c r="AL605" i="23"/>
  <c r="AL585" i="23"/>
  <c r="AL565" i="23"/>
  <c r="AL545" i="23"/>
  <c r="AL525" i="23"/>
  <c r="AL505" i="23"/>
  <c r="AL485" i="23"/>
  <c r="AL465" i="23"/>
  <c r="AL445" i="23"/>
  <c r="AL425" i="23"/>
  <c r="AL405" i="23"/>
  <c r="AL385" i="23"/>
  <c r="AL365" i="23"/>
  <c r="AL345" i="23"/>
  <c r="AL325" i="23"/>
  <c r="AL305" i="23"/>
  <c r="AL285" i="23"/>
  <c r="AL205" i="23"/>
  <c r="AL45" i="23"/>
  <c r="AL183" i="23"/>
  <c r="AL43" i="23"/>
  <c r="AL622" i="23"/>
  <c r="AL382" i="23"/>
  <c r="AL182" i="23"/>
  <c r="AL864" i="23"/>
  <c r="AL844" i="23"/>
  <c r="AL824" i="23"/>
  <c r="AL804" i="23"/>
  <c r="AL784" i="23"/>
  <c r="AL764" i="23"/>
  <c r="AL744" i="23"/>
  <c r="AL724" i="23"/>
  <c r="AL704" i="23"/>
  <c r="AL684" i="23"/>
  <c r="AP16" i="48" a="1"/>
  <c r="AP16" i="48"/>
  <c r="AL664" i="23"/>
  <c r="AM14" i="48" a="1"/>
  <c r="AM14" i="48"/>
  <c r="AL644" i="23"/>
  <c r="AL624" i="23"/>
  <c r="AL604" i="23"/>
  <c r="AL584" i="23"/>
  <c r="AL564" i="23"/>
  <c r="AL544" i="23"/>
  <c r="AL524" i="23"/>
  <c r="AL504" i="23"/>
  <c r="AL484" i="23"/>
  <c r="AL464" i="23"/>
  <c r="AL444" i="23"/>
  <c r="AL424" i="23"/>
  <c r="AL404" i="23"/>
  <c r="AL384" i="23"/>
  <c r="AL364" i="23"/>
  <c r="AL344" i="23"/>
  <c r="AL324" i="23"/>
  <c r="AL304" i="23"/>
  <c r="AL284" i="23"/>
  <c r="AL264" i="23"/>
  <c r="AL244" i="23"/>
  <c r="AL224" i="23"/>
  <c r="AL204" i="23"/>
  <c r="AL184" i="23"/>
  <c r="AL144" i="23"/>
  <c r="AL24" i="23"/>
  <c r="AL123" i="23"/>
  <c r="AL662" i="23"/>
  <c r="AL302" i="23"/>
  <c r="AL82" i="23"/>
  <c r="AL863" i="23"/>
  <c r="AL843" i="23"/>
  <c r="AL823" i="23"/>
  <c r="AL803" i="23"/>
  <c r="AL783" i="23"/>
  <c r="AL763" i="23"/>
  <c r="AL743" i="23"/>
  <c r="AL723" i="23"/>
  <c r="AL703" i="23"/>
  <c r="AL683" i="23"/>
  <c r="AP15" i="48" a="1"/>
  <c r="AP15" i="48"/>
  <c r="AL663" i="23"/>
  <c r="AM13" i="48" a="1"/>
  <c r="AM13" i="48"/>
  <c r="K9" i="48"/>
  <c r="AL643" i="23"/>
  <c r="AL623" i="23"/>
  <c r="AL603" i="23"/>
  <c r="AL583" i="23"/>
  <c r="AL563" i="23"/>
  <c r="AL543" i="23"/>
  <c r="AL523" i="23"/>
  <c r="AL503" i="23"/>
  <c r="AL483" i="23"/>
  <c r="AL463" i="23"/>
  <c r="AL443" i="23"/>
  <c r="AL423" i="23"/>
  <c r="AL403" i="23"/>
  <c r="AL383" i="23"/>
  <c r="AL363" i="23"/>
  <c r="AL343" i="23"/>
  <c r="AL323" i="23"/>
  <c r="AL243" i="23"/>
  <c r="AL83" i="23"/>
  <c r="AL562" i="23"/>
  <c r="AL422" i="23"/>
  <c r="AL242" i="23"/>
  <c r="AL142" i="23"/>
  <c r="AL862" i="23"/>
  <c r="AL842" i="23"/>
  <c r="AL822" i="23"/>
  <c r="AL802" i="23"/>
  <c r="AL782" i="23"/>
  <c r="AL762" i="23"/>
  <c r="AL742" i="23"/>
  <c r="AL722" i="23"/>
  <c r="AL682" i="23"/>
  <c r="AP14" i="48" a="1"/>
  <c r="AP14" i="48"/>
  <c r="AL582" i="23"/>
  <c r="AL542" i="23"/>
  <c r="AL522" i="23"/>
  <c r="AL482" i="23"/>
  <c r="AL342" i="23"/>
  <c r="AL42" i="23"/>
  <c r="AL861" i="23"/>
  <c r="AL841" i="23"/>
  <c r="AL821" i="23"/>
  <c r="AL801" i="23"/>
  <c r="AL781" i="23"/>
  <c r="AL761" i="23"/>
  <c r="AL741" i="23"/>
  <c r="AL721" i="23"/>
  <c r="AL701" i="23"/>
  <c r="AL681" i="23"/>
  <c r="AP13" i="48" a="1"/>
  <c r="AP13" i="48"/>
  <c r="N9" i="48"/>
  <c r="AL661" i="23"/>
  <c r="AL641" i="23"/>
  <c r="AL621" i="23"/>
  <c r="AL601" i="23"/>
  <c r="AL581" i="23"/>
  <c r="AL561" i="23"/>
  <c r="AL541" i="23"/>
  <c r="AL521" i="23"/>
  <c r="AL501" i="23"/>
  <c r="AL481" i="23"/>
  <c r="AL461" i="23"/>
  <c r="AL441" i="23"/>
  <c r="AL421" i="23"/>
  <c r="AL401" i="23"/>
  <c r="AL381" i="23"/>
  <c r="AL361" i="23"/>
  <c r="AL341" i="23"/>
  <c r="AL321" i="23"/>
  <c r="AL301" i="23"/>
  <c r="AL281" i="23"/>
  <c r="AL261" i="23"/>
  <c r="AL241" i="23"/>
  <c r="AL221" i="23"/>
  <c r="AL201" i="23"/>
  <c r="AL181" i="23"/>
  <c r="AL161" i="23"/>
  <c r="AL141" i="23"/>
  <c r="AL121" i="23"/>
  <c r="AL101" i="23"/>
  <c r="AL41" i="23"/>
  <c r="AL860" i="23"/>
  <c r="AL820" i="23"/>
  <c r="AL760" i="23"/>
  <c r="AL720" i="23"/>
  <c r="AL640" i="23"/>
  <c r="AL560" i="23"/>
  <c r="AL857" i="23"/>
  <c r="AL837" i="23"/>
  <c r="AL817" i="23"/>
  <c r="AL797" i="23"/>
  <c r="AL777" i="23"/>
  <c r="AL757" i="23"/>
  <c r="AL737" i="23"/>
  <c r="AL717" i="23"/>
  <c r="AS6" i="48" a="1"/>
  <c r="AS6" i="48"/>
  <c r="AL697" i="23"/>
  <c r="AM10" i="48" a="1"/>
  <c r="AM10" i="48"/>
  <c r="K7" i="48"/>
  <c r="AL677" i="23"/>
  <c r="AO15" i="48" a="1"/>
  <c r="AO15" i="48"/>
  <c r="AL657" i="23"/>
  <c r="AL637" i="23"/>
  <c r="AL617" i="23"/>
  <c r="AL597" i="23"/>
  <c r="AL577" i="23"/>
  <c r="AL557" i="23"/>
  <c r="AL537" i="23"/>
  <c r="AL517" i="23"/>
  <c r="AL497" i="23"/>
  <c r="AL477" i="23"/>
  <c r="AL457" i="23"/>
  <c r="AL437" i="23"/>
  <c r="AL417" i="23"/>
  <c r="AL397" i="23"/>
  <c r="AL377" i="23"/>
  <c r="AL357" i="23"/>
  <c r="AL337" i="23"/>
  <c r="AL317" i="23"/>
  <c r="AL297" i="23"/>
  <c r="AL277" i="23"/>
  <c r="AL257" i="23"/>
  <c r="AL237" i="23"/>
  <c r="AL217" i="23"/>
  <c r="AL197" i="23"/>
  <c r="AL177" i="23"/>
  <c r="AL157" i="23"/>
  <c r="AL137" i="23"/>
  <c r="AL117" i="23"/>
  <c r="AL97" i="23"/>
  <c r="AL77" i="23"/>
  <c r="AL57" i="23"/>
  <c r="AL37" i="23"/>
  <c r="AL17" i="23"/>
  <c r="AL839" i="23"/>
  <c r="AL799" i="23"/>
  <c r="AL769" i="23"/>
  <c r="AL729" i="23"/>
  <c r="AL690" i="23"/>
  <c r="AS16" i="48" a="1"/>
  <c r="AS16" i="48"/>
  <c r="AL651" i="23"/>
  <c r="AL612" i="23"/>
  <c r="AL573" i="23"/>
  <c r="AL534" i="23"/>
  <c r="AL496" i="23"/>
  <c r="AL459" i="23"/>
  <c r="AL429" i="23"/>
  <c r="AL391" i="23"/>
  <c r="AL353" i="23"/>
  <c r="AL315" i="23"/>
  <c r="AL278" i="23"/>
  <c r="AL240" i="23"/>
  <c r="AL210" i="23"/>
  <c r="AL172" i="23"/>
  <c r="AL134" i="23"/>
  <c r="AL96" i="23"/>
  <c r="AL59" i="23"/>
  <c r="AL29" i="23"/>
  <c r="AL239" i="23"/>
  <c r="AL209" i="23"/>
  <c r="AL133" i="23"/>
  <c r="AL95" i="23"/>
  <c r="AL58" i="23"/>
  <c r="AL20" i="23"/>
  <c r="AL132" i="23"/>
  <c r="AL94" i="23"/>
  <c r="AL19" i="23"/>
  <c r="AL639" i="23"/>
  <c r="AL455" i="23"/>
  <c r="AL350" i="23"/>
  <c r="AL199" i="23"/>
  <c r="AL55" i="23"/>
  <c r="AL198" i="23"/>
  <c r="AL130" i="23"/>
  <c r="AL54" i="23"/>
  <c r="AL676" i="23"/>
  <c r="AO14" i="48" a="1"/>
  <c r="AO14" i="48"/>
  <c r="AL529" i="23"/>
  <c r="AL310" i="23"/>
  <c r="AL196" i="23"/>
  <c r="AL15" i="23"/>
  <c r="AL376" i="23"/>
  <c r="AL120" i="23"/>
  <c r="AL752" i="23"/>
  <c r="AL489" i="23"/>
  <c r="AL194" i="23"/>
  <c r="AL13" i="23"/>
  <c r="AL870" i="23"/>
  <c r="AL711" i="23"/>
  <c r="AL450" i="23"/>
  <c r="AL193" i="23"/>
  <c r="AL869" i="23"/>
  <c r="AL710" i="23"/>
  <c r="AL554" i="23"/>
  <c r="AL411" i="23"/>
  <c r="AL192" i="23"/>
  <c r="AL49" i="23"/>
  <c r="AL859" i="23"/>
  <c r="AL593" i="23"/>
  <c r="AL334" i="23"/>
  <c r="AL739" i="23"/>
  <c r="AL630" i="23"/>
  <c r="AL552" i="23"/>
  <c r="AL476" i="23"/>
  <c r="AL333" i="23"/>
  <c r="AL76" i="23"/>
  <c r="AL778" i="23"/>
  <c r="AL551" i="23"/>
  <c r="AL838" i="23"/>
  <c r="AL798" i="23"/>
  <c r="AL759" i="23"/>
  <c r="AL719" i="23"/>
  <c r="AL689" i="23"/>
  <c r="AS15" i="48" a="1"/>
  <c r="AS15" i="48"/>
  <c r="AL650" i="23"/>
  <c r="AL611" i="23"/>
  <c r="AL572" i="23"/>
  <c r="AL533" i="23"/>
  <c r="AL495" i="23"/>
  <c r="AL458" i="23"/>
  <c r="AL420" i="23"/>
  <c r="AL390" i="23"/>
  <c r="AL352" i="23"/>
  <c r="AL314" i="23"/>
  <c r="AL276" i="23"/>
  <c r="AL171" i="23"/>
  <c r="AL531" i="23"/>
  <c r="AL380" i="23"/>
  <c r="AL274" i="23"/>
  <c r="AL169" i="23"/>
  <c r="AL93" i="23"/>
  <c r="AL311" i="23"/>
  <c r="AL92" i="23"/>
  <c r="AL714" i="23"/>
  <c r="AP9" i="48" a="1"/>
  <c r="AP9" i="48"/>
  <c r="N6" i="48"/>
  <c r="AL378" i="23"/>
  <c r="AL234" i="23"/>
  <c r="AL53" i="23"/>
  <c r="AL414" i="23"/>
  <c r="AL271" i="23"/>
  <c r="AL52" i="23"/>
  <c r="AL791" i="23"/>
  <c r="AL413" i="23"/>
  <c r="AL89" i="23"/>
  <c r="AL751" i="23"/>
  <c r="AL518" i="23"/>
  <c r="AL269" i="23"/>
  <c r="AL789" i="23"/>
  <c r="AL594" i="23"/>
  <c r="AL449" i="23"/>
  <c r="AL230" i="23"/>
  <c r="AL79" i="23"/>
  <c r="AL709" i="23"/>
  <c r="AL478" i="23"/>
  <c r="AL259" i="23"/>
  <c r="AL818" i="23"/>
  <c r="AL670" i="23"/>
  <c r="AN14" i="48" a="1"/>
  <c r="AN14" i="48"/>
  <c r="AL439" i="23"/>
  <c r="AL152" i="23"/>
  <c r="AL816" i="23"/>
  <c r="AL699" i="23"/>
  <c r="AL629" i="23"/>
  <c r="AL475" i="23"/>
  <c r="AL332" i="23"/>
  <c r="AL836" i="23"/>
  <c r="AL796" i="23"/>
  <c r="AL758" i="23"/>
  <c r="AL718" i="23"/>
  <c r="AS7" i="48" a="1"/>
  <c r="AS7" i="48"/>
  <c r="AL680" i="23"/>
  <c r="AO18" i="48" a="1"/>
  <c r="AO18" i="48"/>
  <c r="AL649" i="23"/>
  <c r="AL610" i="23"/>
  <c r="AL571" i="23"/>
  <c r="AL532" i="23"/>
  <c r="AL494" i="23"/>
  <c r="AL456" i="23"/>
  <c r="AL419" i="23"/>
  <c r="AL389" i="23"/>
  <c r="AL351" i="23"/>
  <c r="AL313" i="23"/>
  <c r="AL275" i="23"/>
  <c r="AL238" i="23"/>
  <c r="AL200" i="23"/>
  <c r="AL170" i="23"/>
  <c r="AL56" i="23"/>
  <c r="AL570" i="23"/>
  <c r="AL418" i="23"/>
  <c r="AL312" i="23"/>
  <c r="AL236" i="23"/>
  <c r="AL131" i="23"/>
  <c r="AL18" i="23"/>
  <c r="AL273" i="23"/>
  <c r="AL160" i="23"/>
  <c r="AL16" i="23"/>
  <c r="AL636" i="23"/>
  <c r="AL453" i="23"/>
  <c r="AL340" i="23"/>
  <c r="AL272" i="23"/>
  <c r="AL159" i="23"/>
  <c r="AL452" i="23"/>
  <c r="AL195" i="23"/>
  <c r="AL14" i="23"/>
  <c r="AL674" i="23"/>
  <c r="AN18" i="48" a="1"/>
  <c r="AN18" i="48"/>
  <c r="AL556" i="23"/>
  <c r="AL451" i="23"/>
  <c r="AL375" i="23"/>
  <c r="AL270" i="23"/>
  <c r="AL156" i="23"/>
  <c r="AL51" i="23"/>
  <c r="AL830" i="23"/>
  <c r="AL595" i="23"/>
  <c r="AL336" i="23"/>
  <c r="AL80" i="23"/>
  <c r="AL750" i="23"/>
  <c r="AL672" i="23"/>
  <c r="AN16" i="48" a="1"/>
  <c r="AN16" i="48"/>
  <c r="AL516" i="23"/>
  <c r="AL298" i="23"/>
  <c r="AL116" i="23"/>
  <c r="AL11" i="23"/>
  <c r="AL780" i="23"/>
  <c r="AL515" i="23"/>
  <c r="AL296" i="23"/>
  <c r="AL700" i="23"/>
  <c r="AL514" i="23"/>
  <c r="AL220" i="23"/>
  <c r="AL9" i="23"/>
  <c r="AL738" i="23"/>
  <c r="AL591" i="23"/>
  <c r="AL438" i="23"/>
  <c r="AL835" i="23"/>
  <c r="AL795" i="23"/>
  <c r="AL756" i="23"/>
  <c r="AL716" i="23"/>
  <c r="AP11" i="48" a="1"/>
  <c r="AP11" i="48"/>
  <c r="N8" i="48"/>
  <c r="AL679" i="23"/>
  <c r="AO17" i="48" a="1"/>
  <c r="AO17" i="48"/>
  <c r="AL609" i="23"/>
  <c r="AL493" i="23"/>
  <c r="AL410" i="23"/>
  <c r="AL40" i="23"/>
  <c r="AL295" i="23"/>
  <c r="AL834" i="23"/>
  <c r="AL794" i="23"/>
  <c r="AL755" i="23"/>
  <c r="AL715" i="23"/>
  <c r="AP10" i="48" a="1"/>
  <c r="AP10" i="48"/>
  <c r="N7" i="48"/>
  <c r="AL678" i="23"/>
  <c r="AO16" i="48" a="1"/>
  <c r="AO16" i="48"/>
  <c r="AL638" i="23"/>
  <c r="AL600" i="23"/>
  <c r="AL569" i="23"/>
  <c r="AL530" i="23"/>
  <c r="AL492" i="23"/>
  <c r="AL454" i="23"/>
  <c r="AL416" i="23"/>
  <c r="AL379" i="23"/>
  <c r="AL349" i="23"/>
  <c r="AL235" i="23"/>
  <c r="AL491" i="23"/>
  <c r="AL129" i="23"/>
  <c r="AL339" i="23"/>
  <c r="AL233" i="23"/>
  <c r="AL90" i="23"/>
  <c r="AL871" i="23"/>
  <c r="AL119" i="23"/>
  <c r="AL480" i="23"/>
  <c r="AL12" i="23"/>
  <c r="AL373" i="23"/>
  <c r="AL153" i="23"/>
  <c r="AL858" i="23"/>
  <c r="AL258" i="23"/>
  <c r="AL833" i="23"/>
  <c r="AL793" i="23"/>
  <c r="AL754" i="23"/>
  <c r="AL599" i="23"/>
  <c r="AL559" i="23"/>
  <c r="AL415" i="23"/>
  <c r="AL91" i="23"/>
  <c r="AL158" i="23"/>
  <c r="AL831" i="23"/>
  <c r="AL338" i="23"/>
  <c r="AL633" i="23"/>
  <c r="AL155" i="23"/>
  <c r="AL335" i="23"/>
  <c r="AL78" i="23"/>
  <c r="AL190" i="23"/>
  <c r="AL872" i="23"/>
  <c r="AL832" i="23"/>
  <c r="AL792" i="23"/>
  <c r="AL753" i="23"/>
  <c r="AL713" i="23"/>
  <c r="AP8" i="48" a="1"/>
  <c r="AP8" i="48"/>
  <c r="N5" i="48"/>
  <c r="AL675" i="23"/>
  <c r="AO13" i="48" a="1"/>
  <c r="AO13" i="48"/>
  <c r="M9" i="48"/>
  <c r="AL635" i="23"/>
  <c r="AL598" i="23"/>
  <c r="AL558" i="23"/>
  <c r="AL520" i="23"/>
  <c r="AL490" i="23"/>
  <c r="AL309" i="23"/>
  <c r="AL634" i="23"/>
  <c r="AL519" i="23"/>
  <c r="AL232" i="23"/>
  <c r="AL412" i="23"/>
  <c r="AL260" i="23"/>
  <c r="AL191" i="23"/>
  <c r="AL39" i="23"/>
  <c r="AL712" i="23"/>
  <c r="AP7" i="48" a="1"/>
  <c r="AP7" i="48"/>
  <c r="N4" i="48"/>
  <c r="AL596" i="23"/>
  <c r="AL300" i="23"/>
  <c r="AL790" i="23"/>
  <c r="AL673" i="23"/>
  <c r="AN17" i="48" a="1"/>
  <c r="AN17" i="48"/>
  <c r="AL555" i="23"/>
  <c r="AL374" i="23"/>
  <c r="AL299" i="23"/>
  <c r="AL231" i="23"/>
  <c r="AL118" i="23"/>
  <c r="AL50" i="23"/>
  <c r="AL829" i="23"/>
  <c r="AL632" i="23"/>
  <c r="AL479" i="23"/>
  <c r="AL154" i="23"/>
  <c r="AL819" i="23"/>
  <c r="AL749" i="23"/>
  <c r="AL671" i="23"/>
  <c r="AN15" i="48" a="1"/>
  <c r="AN15" i="48"/>
  <c r="AL553" i="23"/>
  <c r="AL440" i="23"/>
  <c r="AL372" i="23"/>
  <c r="AL229" i="23"/>
  <c r="AL10" i="23"/>
  <c r="AL779" i="23"/>
  <c r="AL592" i="23"/>
  <c r="AL409" i="23"/>
  <c r="AL114" i="23"/>
  <c r="AL856" i="23"/>
  <c r="AL669" i="23"/>
  <c r="AN13" i="48" a="1"/>
  <c r="AN13" i="48"/>
  <c r="L9" i="48"/>
  <c r="AL513" i="23"/>
  <c r="AL370" i="23"/>
  <c r="AL631" i="23"/>
  <c r="AL115" i="23"/>
  <c r="AL371" i="23"/>
  <c r="AL773" i="23"/>
  <c r="AL656" i="23"/>
  <c r="AL549" i="23"/>
  <c r="AL436" i="23"/>
  <c r="AL355" i="23"/>
  <c r="AL253" i="23"/>
  <c r="AL173" i="23"/>
  <c r="AL72" i="23"/>
  <c r="AL151" i="23"/>
  <c r="AL331" i="23"/>
  <c r="AL150" i="23"/>
  <c r="AL70" i="23"/>
  <c r="AL538" i="23"/>
  <c r="AL69" i="23"/>
  <c r="AL854" i="23"/>
  <c r="AL536" i="23"/>
  <c r="AL249" i="23"/>
  <c r="AL853" i="23"/>
  <c r="AL320" i="23"/>
  <c r="AL512" i="23"/>
  <c r="AL733" i="23"/>
  <c r="AL400" i="23"/>
  <c r="AL136" i="23"/>
  <c r="AL616" i="23"/>
  <c r="AL135" i="23"/>
  <c r="AL398" i="23"/>
  <c r="AL396" i="23"/>
  <c r="AL292" i="23"/>
  <c r="AL498" i="23"/>
  <c r="AL809" i="23"/>
  <c r="AL575" i="23"/>
  <c r="AL75" i="23"/>
  <c r="AL358" i="23"/>
  <c r="AL460" i="23"/>
  <c r="AL772" i="23"/>
  <c r="AL655" i="23"/>
  <c r="AL540" i="23"/>
  <c r="AL435" i="23"/>
  <c r="AL354" i="23"/>
  <c r="AL252" i="23"/>
  <c r="AL71" i="23"/>
  <c r="AL653" i="23"/>
  <c r="AL149" i="23"/>
  <c r="AL432" i="23"/>
  <c r="AL60" i="23"/>
  <c r="AL735" i="23"/>
  <c r="AL139" i="23"/>
  <c r="AL734" i="23"/>
  <c r="AL430" i="23"/>
  <c r="AL319" i="23"/>
  <c r="AL36" i="23"/>
  <c r="AL851" i="23"/>
  <c r="AL216" i="23"/>
  <c r="AL399" i="23"/>
  <c r="AL615" i="23"/>
  <c r="AL214" i="23"/>
  <c r="AL730" i="23"/>
  <c r="AL112" i="23"/>
  <c r="AL698" i="23"/>
  <c r="AM11" i="48" a="1"/>
  <c r="AM11" i="48"/>
  <c r="K8" i="48"/>
  <c r="AL111" i="23"/>
  <c r="AL813" i="23"/>
  <c r="AL394" i="23"/>
  <c r="AL30" i="23"/>
  <c r="AL589" i="23"/>
  <c r="AL579" i="23"/>
  <c r="AL473" i="23"/>
  <c r="AL100" i="23"/>
  <c r="AL810" i="23"/>
  <c r="AL369" i="23"/>
  <c r="AL471" i="23"/>
  <c r="AL176" i="23"/>
  <c r="AL659" i="23"/>
  <c r="AL175" i="23"/>
  <c r="AL356" i="23"/>
  <c r="AL771" i="23"/>
  <c r="AL654" i="23"/>
  <c r="AL539" i="23"/>
  <c r="AL434" i="23"/>
  <c r="AL251" i="23"/>
  <c r="AL330" i="23"/>
  <c r="AL250" i="23"/>
  <c r="AL736" i="23"/>
  <c r="AL329" i="23"/>
  <c r="AL535" i="23"/>
  <c r="AL219" i="23"/>
  <c r="AL38" i="23"/>
  <c r="AL619" i="23"/>
  <c r="AL218" i="23"/>
  <c r="AL618" i="23"/>
  <c r="AL318" i="23"/>
  <c r="AL35" i="23"/>
  <c r="AL850" i="23"/>
  <c r="AL215" i="23"/>
  <c r="AL294" i="23"/>
  <c r="AL614" i="23"/>
  <c r="AL32" i="23"/>
  <c r="AL814" i="23"/>
  <c r="AL499" i="23"/>
  <c r="AL696" i="23"/>
  <c r="AM9" i="48" a="1"/>
  <c r="AM9" i="48"/>
  <c r="K6" i="48"/>
  <c r="AL291" i="23"/>
  <c r="AL695" i="23"/>
  <c r="AM8" i="48" a="1"/>
  <c r="AM8" i="48"/>
  <c r="K5" i="48"/>
  <c r="AL109" i="23"/>
  <c r="AL694" i="23"/>
  <c r="AM7" i="48" a="1"/>
  <c r="AM7" i="48"/>
  <c r="K4" i="48"/>
  <c r="AL392" i="23"/>
  <c r="AL693" i="23"/>
  <c r="AM6" i="48" a="1"/>
  <c r="AM6" i="48"/>
  <c r="K3" i="48"/>
  <c r="AL280" i="23"/>
  <c r="AL360" i="23"/>
  <c r="AL256" i="23"/>
  <c r="AL775" i="23"/>
  <c r="AL574" i="23"/>
  <c r="AL74" i="23"/>
  <c r="AL174" i="23"/>
  <c r="AL855" i="23"/>
  <c r="AL770" i="23"/>
  <c r="AL433" i="23"/>
  <c r="AL652" i="23"/>
  <c r="AL140" i="23"/>
  <c r="AL620" i="23"/>
  <c r="AL852" i="23"/>
  <c r="AL138" i="23"/>
  <c r="AL510" i="23"/>
  <c r="AL34" i="23"/>
  <c r="AL613" i="23"/>
  <c r="AL849" i="23"/>
  <c r="AL113" i="23"/>
  <c r="AL293" i="23"/>
  <c r="AL212" i="23"/>
  <c r="AL110" i="23"/>
  <c r="AL474" i="23"/>
  <c r="AL472" i="23"/>
  <c r="AL178" i="23"/>
  <c r="AL691" i="23"/>
  <c r="AS17" i="48" a="1"/>
  <c r="AS17" i="48"/>
  <c r="AL255" i="23"/>
  <c r="AL774" i="23"/>
  <c r="AL73" i="23"/>
  <c r="AL431" i="23"/>
  <c r="AL511" i="23"/>
  <c r="AL731" i="23"/>
  <c r="AL509" i="23"/>
  <c r="AL500" i="23"/>
  <c r="AL395" i="23"/>
  <c r="AL211" i="23"/>
  <c r="AL812" i="23"/>
  <c r="AL180" i="23"/>
  <c r="AL179" i="23"/>
  <c r="AL470" i="23"/>
  <c r="AL254" i="23"/>
  <c r="AL732" i="23"/>
  <c r="AL33" i="23"/>
  <c r="AL815" i="23"/>
  <c r="AL213" i="23"/>
  <c r="AL31" i="23"/>
  <c r="AL590" i="23"/>
  <c r="AL189" i="23"/>
  <c r="AL811" i="23"/>
  <c r="AL692" i="23"/>
  <c r="AS18" i="48" a="1"/>
  <c r="AS18" i="48"/>
  <c r="AL98" i="23"/>
  <c r="AL359" i="23"/>
  <c r="AL658" i="23"/>
  <c r="AL290" i="23"/>
  <c r="AL289" i="23"/>
  <c r="AL578" i="23"/>
  <c r="AL99" i="23"/>
  <c r="AL576" i="23"/>
  <c r="AL279" i="23"/>
  <c r="AL776" i="23"/>
  <c r="AL469" i="23"/>
  <c r="AL550" i="23"/>
  <c r="AL316" i="23"/>
  <c r="AL393" i="23"/>
  <c r="AS11" i="48" a="1"/>
  <c r="AS11" i="48"/>
  <c r="Q8" i="48"/>
  <c r="AO10" i="48" a="1"/>
  <c r="AO10" i="48"/>
  <c r="M7" i="48"/>
  <c r="AO11" i="48" a="1"/>
  <c r="AO11" i="48"/>
  <c r="M8" i="48"/>
  <c r="Q4" i="48"/>
  <c r="AQ7" i="48"/>
  <c r="O4" i="48"/>
  <c r="AT7" i="48"/>
  <c r="AR7" i="48"/>
  <c r="P4" i="48"/>
  <c r="AO6" i="48" a="1"/>
  <c r="AO6" i="48"/>
  <c r="M3" i="48"/>
  <c r="AN7" i="48" a="1"/>
  <c r="AN7" i="48"/>
  <c r="L4" i="48"/>
  <c r="AN9" i="48" a="1"/>
  <c r="AN9" i="48"/>
  <c r="L6" i="48"/>
  <c r="AN8" i="48" a="1"/>
  <c r="AN8" i="48"/>
  <c r="L5" i="48"/>
  <c r="AS10" i="48" a="1"/>
  <c r="AS10" i="48"/>
  <c r="AT14" i="48"/>
  <c r="AQ14" i="48"/>
  <c r="AR14" i="48"/>
  <c r="AN11" i="48" a="1"/>
  <c r="AN11" i="48"/>
  <c r="L8" i="48"/>
  <c r="AO9" i="48" a="1"/>
  <c r="AO9" i="48"/>
  <c r="M6" i="48"/>
  <c r="AN6" i="48" a="1"/>
  <c r="AN6" i="48"/>
  <c r="L3" i="48"/>
  <c r="AP6" i="48" a="1"/>
  <c r="AP6" i="48"/>
  <c r="N3" i="48"/>
  <c r="AS9" i="48" a="1"/>
  <c r="AS9" i="48"/>
  <c r="AN10" i="48" a="1"/>
  <c r="AN10" i="48"/>
  <c r="L7" i="48"/>
  <c r="AO7" i="48" a="1"/>
  <c r="AO7" i="48"/>
  <c r="M4" i="48"/>
  <c r="AT17" i="48"/>
  <c r="AQ17" i="48"/>
  <c r="AR17" i="48"/>
  <c r="AT6" i="48"/>
  <c r="Q3" i="48"/>
  <c r="AT15" i="48"/>
  <c r="AQ15" i="48"/>
  <c r="AR15" i="48"/>
  <c r="AS8" i="48" a="1"/>
  <c r="AS8" i="48"/>
  <c r="Q9" i="48"/>
  <c r="AT13" i="48"/>
  <c r="AQ13" i="48"/>
  <c r="O9" i="48"/>
  <c r="AR13" i="48"/>
  <c r="P9" i="48"/>
  <c r="AT16" i="48"/>
  <c r="AQ16" i="48"/>
  <c r="AR16" i="48"/>
  <c r="AT18" i="48"/>
  <c r="AQ18" i="48"/>
  <c r="AR18" i="48"/>
  <c r="AO8" i="48" a="1"/>
  <c r="AO8" i="48"/>
  <c r="M5" i="48"/>
  <c r="P191" i="13"/>
  <c r="F190" i="13"/>
  <c r="D190" i="13"/>
  <c r="B190" i="13"/>
  <c r="G2" i="12"/>
  <c r="G22" i="12"/>
  <c r="AR11" i="48"/>
  <c r="P8" i="48"/>
  <c r="AT11" i="48"/>
  <c r="AQ11" i="48"/>
  <c r="O8" i="48"/>
  <c r="Q7" i="48"/>
  <c r="AQ10" i="48"/>
  <c r="O7" i="48"/>
  <c r="AT10" i="48"/>
  <c r="AQ6" i="48"/>
  <c r="O3" i="48"/>
  <c r="AQ9" i="48"/>
  <c r="O6" i="48"/>
  <c r="AT9" i="48"/>
  <c r="Q6" i="48"/>
  <c r="Q5" i="48"/>
  <c r="AQ8" i="48"/>
  <c r="O5" i="48"/>
  <c r="AT8" i="48"/>
  <c r="AR6" i="48"/>
  <c r="P3" i="48"/>
  <c r="AD265" i="3"/>
  <c r="AN265" i="3"/>
  <c r="AH265" i="3"/>
  <c r="AG265" i="3"/>
  <c r="AI265" i="3"/>
  <c r="AJ265" i="3"/>
  <c r="AE265" i="3"/>
  <c r="AF265" i="3"/>
  <c r="AM265" i="3"/>
  <c r="AK265" i="3"/>
  <c r="AL265" i="3"/>
  <c r="AR9" i="48"/>
  <c r="P6" i="48"/>
  <c r="AR8" i="48"/>
  <c r="P5" i="48"/>
  <c r="AR10" i="48"/>
  <c r="P7" i="48"/>
  <c r="AC27" i="18"/>
  <c r="AC26" i="18"/>
  <c r="AC25" i="18"/>
  <c r="AC24" i="18"/>
  <c r="AC23" i="18"/>
  <c r="AC22" i="18"/>
  <c r="AC21" i="18"/>
  <c r="AC20" i="18"/>
  <c r="AC19" i="18"/>
  <c r="AC18" i="18"/>
  <c r="AC17" i="18"/>
  <c r="AC16" i="18"/>
  <c r="AC15" i="18"/>
  <c r="AC14" i="18"/>
  <c r="AC13" i="18"/>
  <c r="AC12" i="18"/>
  <c r="AC11" i="18"/>
  <c r="AC10" i="18"/>
  <c r="AC9" i="18"/>
  <c r="AC8" i="18"/>
  <c r="AC7" i="18"/>
  <c r="AC6" i="18"/>
  <c r="AC5" i="18"/>
  <c r="AC4" i="18"/>
  <c r="AQ19" i="18"/>
  <c r="AQ18" i="18"/>
  <c r="AQ17" i="18"/>
  <c r="AQ16" i="18"/>
  <c r="AQ15" i="18"/>
  <c r="AQ14" i="18"/>
  <c r="AQ13" i="18"/>
  <c r="AQ12" i="18"/>
  <c r="AQ11" i="18"/>
  <c r="AQ10" i="18"/>
  <c r="AQ9" i="18"/>
  <c r="AQ8" i="18"/>
  <c r="AQ7" i="18"/>
  <c r="AQ6" i="18"/>
  <c r="AQ5" i="18"/>
  <c r="AQ4" i="18"/>
  <c r="AI21" i="18"/>
  <c r="AI20" i="18"/>
  <c r="AI19" i="18"/>
  <c r="AI18" i="18"/>
  <c r="AI17" i="18"/>
  <c r="AI16" i="18"/>
  <c r="AI15" i="18"/>
  <c r="AI14" i="18"/>
  <c r="AI13" i="18"/>
  <c r="AI12" i="18"/>
  <c r="AI11" i="18"/>
  <c r="AI10" i="18"/>
  <c r="AI9" i="18"/>
  <c r="AI8" i="18"/>
  <c r="AI7" i="18"/>
  <c r="AI6" i="18"/>
  <c r="AI5" i="18"/>
  <c r="AI4" i="18"/>
  <c r="W31" i="18"/>
  <c r="W30" i="18"/>
  <c r="W29" i="18"/>
  <c r="W28" i="18"/>
  <c r="W27" i="18"/>
  <c r="W26" i="18"/>
  <c r="W25" i="18"/>
  <c r="W24" i="18"/>
  <c r="W23" i="18"/>
  <c r="W22" i="18"/>
  <c r="W21" i="18"/>
  <c r="W20" i="18"/>
  <c r="W19" i="18"/>
  <c r="W18" i="18"/>
  <c r="W17" i="18"/>
  <c r="W16" i="18"/>
  <c r="W15" i="18"/>
  <c r="W14" i="18"/>
  <c r="W13" i="18"/>
  <c r="W12" i="18"/>
  <c r="W11" i="18"/>
  <c r="W10" i="18"/>
  <c r="W9" i="18"/>
  <c r="W8" i="18"/>
  <c r="W7" i="18"/>
  <c r="W6" i="18"/>
  <c r="W5" i="18"/>
  <c r="W4" i="18"/>
  <c r="Q36" i="18"/>
  <c r="Q35" i="18"/>
  <c r="Q34" i="18"/>
  <c r="Q33" i="18"/>
  <c r="Q32" i="18"/>
  <c r="Q31" i="18"/>
  <c r="Q30" i="18"/>
  <c r="Q29" i="18"/>
  <c r="Q28" i="18"/>
  <c r="Q27" i="18"/>
  <c r="Q26" i="18"/>
  <c r="Q25" i="18"/>
  <c r="Q24" i="18"/>
  <c r="Q23" i="18"/>
  <c r="Q22" i="18"/>
  <c r="Q21" i="18"/>
  <c r="Q20" i="18"/>
  <c r="Q19" i="18"/>
  <c r="Q18" i="18"/>
  <c r="Q17" i="18"/>
  <c r="Q16" i="18"/>
  <c r="Q15" i="18"/>
  <c r="Q14" i="18"/>
  <c r="Q13" i="18"/>
  <c r="Q12" i="18"/>
  <c r="Q11" i="18"/>
  <c r="Q10" i="18"/>
  <c r="Q9" i="18"/>
  <c r="Q8" i="18"/>
  <c r="Q7" i="18"/>
  <c r="Q6" i="18"/>
  <c r="Q5" i="18"/>
  <c r="Q4" i="18"/>
  <c r="K41" i="18"/>
  <c r="K40" i="18"/>
  <c r="K39" i="18"/>
  <c r="K38" i="18"/>
  <c r="K37" i="18"/>
  <c r="K36" i="18"/>
  <c r="K35" i="18"/>
  <c r="K34" i="18"/>
  <c r="K33" i="18"/>
  <c r="K32" i="18"/>
  <c r="K31" i="18"/>
  <c r="K30" i="18"/>
  <c r="K29" i="18"/>
  <c r="K28" i="18"/>
  <c r="K27" i="18"/>
  <c r="K26" i="18"/>
  <c r="K25" i="18"/>
  <c r="K24" i="18"/>
  <c r="K23" i="18"/>
  <c r="K22" i="18"/>
  <c r="E33" i="18"/>
  <c r="E32" i="18"/>
  <c r="F60" i="18"/>
  <c r="E35" i="18"/>
  <c r="F59" i="18"/>
  <c r="E31" i="18"/>
  <c r="F58" i="18"/>
  <c r="E29" i="18"/>
  <c r="F57" i="18"/>
  <c r="E25" i="18"/>
  <c r="F56" i="18"/>
  <c r="E22" i="18"/>
  <c r="F46" i="18" a="1"/>
  <c r="F46" i="18"/>
  <c r="K21" i="18"/>
  <c r="AK42" i="3"/>
  <c r="AL41" i="3"/>
  <c r="AK32" i="3"/>
  <c r="AL30" i="3"/>
  <c r="BJ27" i="16"/>
  <c r="BK27" i="16"/>
  <c r="BL27" i="16"/>
  <c r="BM27" i="16"/>
  <c r="BN27" i="16"/>
  <c r="BJ28" i="16"/>
  <c r="BK28" i="16"/>
  <c r="BL28" i="16"/>
  <c r="BM28" i="16"/>
  <c r="BN28" i="16"/>
  <c r="BJ29" i="16"/>
  <c r="BK29" i="16"/>
  <c r="BL29" i="16"/>
  <c r="BM29" i="16"/>
  <c r="BN29" i="16"/>
  <c r="BC33" i="16"/>
  <c r="BN32" i="16"/>
  <c r="BM32" i="16"/>
  <c r="BL32" i="16"/>
  <c r="BK32" i="16"/>
  <c r="BJ32" i="16"/>
  <c r="BI32" i="16"/>
  <c r="BH32" i="16"/>
  <c r="BG32" i="16"/>
  <c r="BF32" i="16"/>
  <c r="BE32" i="16"/>
  <c r="BD32" i="16"/>
  <c r="BC32" i="16"/>
  <c r="BB32" i="16"/>
  <c r="BA32" i="16"/>
  <c r="AZ32" i="16"/>
  <c r="AY32" i="16"/>
  <c r="BN31" i="16"/>
  <c r="BM31" i="16"/>
  <c r="BL31" i="16"/>
  <c r="BK31" i="16"/>
  <c r="BJ31" i="16"/>
  <c r="BI31" i="16"/>
  <c r="BH31" i="16"/>
  <c r="BG31" i="16"/>
  <c r="BF31" i="16"/>
  <c r="BE31" i="16"/>
  <c r="BD31" i="16"/>
  <c r="BC31" i="16"/>
  <c r="BB31" i="16"/>
  <c r="BA31" i="16"/>
  <c r="AZ31" i="16"/>
  <c r="AY31" i="16"/>
  <c r="AX31" i="16"/>
  <c r="AW31" i="16"/>
  <c r="BN30" i="16"/>
  <c r="BM30" i="16"/>
  <c r="BL30" i="16"/>
  <c r="BK30" i="16"/>
  <c r="BJ30" i="16"/>
  <c r="BI30" i="16"/>
  <c r="BH30" i="16"/>
  <c r="BG30" i="16"/>
  <c r="BF30" i="16"/>
  <c r="BE30" i="16"/>
  <c r="BD30" i="16"/>
  <c r="BC30" i="16"/>
  <c r="BB30" i="16"/>
  <c r="BA30" i="16"/>
  <c r="AZ30" i="16"/>
  <c r="BI29" i="16"/>
  <c r="BH29" i="16"/>
  <c r="BG29" i="16"/>
  <c r="BF29" i="16"/>
  <c r="BE29" i="16"/>
  <c r="BD29" i="16"/>
  <c r="BC29" i="16"/>
  <c r="BB29" i="16"/>
  <c r="BA29" i="16"/>
  <c r="AZ29" i="16"/>
  <c r="BI28" i="16"/>
  <c r="BH28" i="16"/>
  <c r="BG28" i="16"/>
  <c r="BF28" i="16"/>
  <c r="BE28" i="16"/>
  <c r="BD28" i="16"/>
  <c r="BC28" i="16"/>
  <c r="BB28" i="16"/>
  <c r="BA28" i="16"/>
  <c r="AZ28" i="16"/>
  <c r="BI27" i="16"/>
  <c r="BH27" i="16"/>
  <c r="BG27" i="16"/>
  <c r="BF27" i="16"/>
  <c r="BE27" i="16"/>
  <c r="BD27" i="16"/>
  <c r="BC27" i="16"/>
  <c r="BB27" i="16"/>
  <c r="BO29" i="16"/>
  <c r="E34" i="18"/>
  <c r="K4" i="18"/>
  <c r="K5" i="18"/>
  <c r="E14" i="18"/>
  <c r="E15" i="18"/>
  <c r="E16" i="18"/>
  <c r="E17" i="18"/>
  <c r="E18" i="18"/>
  <c r="K6" i="18"/>
  <c r="E19" i="18"/>
  <c r="K7" i="18"/>
  <c r="E20" i="18"/>
  <c r="K8" i="18"/>
  <c r="E21" i="18"/>
  <c r="K9" i="18"/>
  <c r="K10" i="18"/>
  <c r="E23" i="18"/>
  <c r="K11" i="18"/>
  <c r="E4" i="18"/>
  <c r="E24" i="18"/>
  <c r="K12" i="18"/>
  <c r="E5" i="18"/>
  <c r="K13" i="18"/>
  <c r="E6" i="18"/>
  <c r="E26" i="18"/>
  <c r="K14" i="18"/>
  <c r="E7" i="18"/>
  <c r="E27" i="18"/>
  <c r="K15" i="18"/>
  <c r="E8" i="18"/>
  <c r="E28" i="18"/>
  <c r="K16" i="18"/>
  <c r="E9" i="18"/>
  <c r="K17" i="18"/>
  <c r="E10" i="18"/>
  <c r="E30" i="18"/>
  <c r="K18" i="18"/>
  <c r="E11" i="18"/>
  <c r="K19" i="18"/>
  <c r="E12" i="18"/>
  <c r="K20" i="18"/>
  <c r="E13" i="18"/>
  <c r="BO32" i="16"/>
  <c r="BO28" i="16"/>
  <c r="BO27" i="16"/>
  <c r="AL36" i="3"/>
  <c r="AL37" i="3"/>
  <c r="AL38" i="3"/>
  <c r="AL39" i="3"/>
  <c r="AL40" i="3"/>
  <c r="AL25" i="3"/>
  <c r="AL26" i="3"/>
  <c r="AL27" i="3"/>
  <c r="AL28" i="3"/>
  <c r="AL29" i="3"/>
  <c r="AL31" i="3"/>
  <c r="BO30" i="16"/>
  <c r="BO31" i="16"/>
  <c r="I52" i="18"/>
  <c r="H52" i="18"/>
  <c r="AL42" i="3"/>
  <c r="AL32" i="3"/>
  <c r="B41" i="13"/>
  <c r="K9" i="12"/>
  <c r="K8" i="12"/>
  <c r="K7" i="12"/>
  <c r="K6" i="12"/>
  <c r="K5" i="12"/>
  <c r="K4" i="12"/>
  <c r="AR164" i="3"/>
  <c r="AR163" i="3"/>
  <c r="AR162" i="3"/>
  <c r="AR161" i="3"/>
  <c r="AR158" i="3"/>
  <c r="AR157" i="3"/>
  <c r="AR156" i="3"/>
  <c r="AR155" i="3"/>
  <c r="AR152" i="3"/>
  <c r="AR151" i="3"/>
  <c r="AR150" i="3"/>
  <c r="AR149" i="3"/>
  <c r="AR148" i="3"/>
  <c r="AQ165" i="3"/>
  <c r="AP165" i="3"/>
  <c r="AO165" i="3"/>
  <c r="AN165" i="3"/>
  <c r="AM165" i="3"/>
  <c r="AQ159" i="3"/>
  <c r="AP159" i="3"/>
  <c r="AO159" i="3"/>
  <c r="AN159" i="3"/>
  <c r="AM159" i="3"/>
  <c r="AQ153" i="3"/>
  <c r="AP153" i="3"/>
  <c r="AO153" i="3"/>
  <c r="AN153" i="3"/>
  <c r="AM153" i="3"/>
  <c r="AP166" i="3"/>
  <c r="AR165" i="3"/>
  <c r="AM166" i="3"/>
  <c r="AN166" i="3"/>
  <c r="AO166" i="3"/>
  <c r="AQ166" i="3"/>
  <c r="AR159" i="3"/>
  <c r="AR153" i="3"/>
  <c r="AG28" i="3"/>
  <c r="AR166" i="3"/>
  <c r="Z64" i="25"/>
  <c r="Z60" i="25"/>
  <c r="AD44" i="25"/>
  <c r="U50" i="25"/>
  <c r="U65" i="25"/>
  <c r="AD45" i="25"/>
  <c r="AD46" i="25"/>
  <c r="W46" i="25"/>
  <c r="W61" i="25"/>
  <c r="X46" i="25"/>
  <c r="X61" i="25"/>
  <c r="Y46" i="25"/>
  <c r="Y61" i="25"/>
  <c r="V50" i="25"/>
  <c r="V65" i="25"/>
  <c r="W50" i="25"/>
  <c r="W65" i="25"/>
  <c r="T46" i="25"/>
  <c r="T61" i="25"/>
  <c r="X50" i="25"/>
  <c r="X65" i="25"/>
  <c r="U46" i="25"/>
  <c r="U61" i="25"/>
  <c r="Y50" i="25"/>
  <c r="Y65" i="25"/>
  <c r="V46" i="25"/>
  <c r="V61" i="25"/>
  <c r="T50" i="25"/>
  <c r="T65" i="25"/>
  <c r="Y38" i="25"/>
  <c r="X38" i="25"/>
  <c r="W38" i="25"/>
  <c r="V38" i="25"/>
  <c r="U38" i="25"/>
  <c r="T38" i="25"/>
  <c r="Y36" i="25"/>
  <c r="X36" i="25"/>
  <c r="W36" i="25"/>
  <c r="V36" i="25"/>
  <c r="U36" i="25"/>
  <c r="T36" i="25"/>
  <c r="S36" i="25"/>
  <c r="Y34" i="25"/>
  <c r="X34" i="25"/>
  <c r="W34" i="25"/>
  <c r="V34" i="25"/>
  <c r="U34" i="25"/>
  <c r="Y33" i="25"/>
  <c r="X33" i="25"/>
  <c r="W33" i="25"/>
  <c r="V33" i="25"/>
  <c r="U33" i="25"/>
  <c r="T33" i="25"/>
  <c r="S33" i="25"/>
  <c r="Z24" i="25"/>
  <c r="AC23" i="25"/>
  <c r="AC25" i="25"/>
  <c r="Y27" i="25"/>
  <c r="U27" i="25"/>
  <c r="U37" i="25"/>
  <c r="V27" i="25"/>
  <c r="V37" i="25"/>
  <c r="W27" i="25"/>
  <c r="W37" i="25"/>
  <c r="X27" i="25"/>
  <c r="X37" i="25"/>
  <c r="Y37" i="25"/>
  <c r="Z27" i="25"/>
  <c r="AM32" i="3"/>
  <c r="AN25" i="3"/>
  <c r="AN31" i="3"/>
  <c r="AN30" i="3"/>
  <c r="AN29" i="3"/>
  <c r="AN28" i="3"/>
  <c r="AN27" i="3"/>
  <c r="AN26" i="3"/>
  <c r="AN32" i="3"/>
  <c r="CB29" i="24"/>
  <c r="G7" i="13"/>
  <c r="AM42" i="3"/>
  <c r="AN41" i="3"/>
  <c r="AK46" i="3"/>
  <c r="AL48" i="3"/>
  <c r="AL47" i="3"/>
  <c r="AL51" i="3"/>
  <c r="AL50" i="3"/>
  <c r="AL49" i="3"/>
  <c r="AN36" i="3"/>
  <c r="AN37" i="3"/>
  <c r="AN38" i="3"/>
  <c r="AN39" i="3"/>
  <c r="AN40" i="3"/>
  <c r="AN42" i="3"/>
  <c r="P80" i="13"/>
  <c r="P79" i="13"/>
  <c r="G24" i="12"/>
  <c r="F77" i="13"/>
  <c r="J77" i="13"/>
  <c r="G23" i="12"/>
  <c r="G26" i="12"/>
  <c r="G77" i="13"/>
  <c r="K77" i="13"/>
  <c r="L77" i="13"/>
  <c r="G76" i="13"/>
  <c r="K76" i="13"/>
  <c r="F78" i="13"/>
  <c r="G25" i="12"/>
  <c r="F76" i="13"/>
  <c r="J76" i="13"/>
  <c r="K79" i="13"/>
  <c r="L76" i="13"/>
  <c r="AH247" i="3"/>
  <c r="AH233" i="3"/>
  <c r="AH18" i="25"/>
  <c r="AG18" i="25"/>
  <c r="AF18" i="25"/>
  <c r="AE18" i="25"/>
  <c r="AD18" i="25"/>
  <c r="AC18" i="25"/>
  <c r="AH17" i="25"/>
  <c r="AG17" i="25"/>
  <c r="AF17" i="25"/>
  <c r="AE17" i="25"/>
  <c r="AD17" i="25"/>
  <c r="AC17" i="25"/>
  <c r="AH258" i="3"/>
  <c r="AD258" i="3"/>
  <c r="AH244" i="3"/>
  <c r="AO245" i="3"/>
  <c r="AO238" i="3"/>
  <c r="AO239" i="3"/>
  <c r="AO240" i="3"/>
  <c r="AO235" i="3"/>
  <c r="AO244" i="3"/>
  <c r="AO243" i="3"/>
  <c r="AO246" i="3"/>
  <c r="AO242" i="3"/>
  <c r="AO236" i="3"/>
  <c r="AO241" i="3"/>
  <c r="AO237" i="3"/>
  <c r="AO233" i="3"/>
  <c r="AO232" i="3"/>
  <c r="AO234" i="3"/>
  <c r="AH232" i="3"/>
  <c r="AH234" i="3"/>
  <c r="AH237" i="3"/>
  <c r="AH240" i="3"/>
  <c r="AI228" i="3"/>
  <c r="AH228" i="3"/>
  <c r="AG228" i="3"/>
  <c r="AF228" i="3"/>
  <c r="AE228" i="3"/>
  <c r="AD228" i="3"/>
  <c r="K21" i="12"/>
  <c r="K20" i="12"/>
  <c r="K19" i="12"/>
  <c r="K18" i="12"/>
  <c r="K17" i="12"/>
  <c r="K16" i="12"/>
  <c r="K15" i="12"/>
  <c r="K14" i="12"/>
  <c r="K13" i="12"/>
  <c r="K12" i="12"/>
  <c r="K11" i="12"/>
  <c r="K10" i="12"/>
  <c r="G3" i="12"/>
  <c r="AP144" i="23"/>
  <c r="AP784" i="23"/>
  <c r="AQ784" i="23"/>
  <c r="AP150" i="23"/>
  <c r="AP169" i="23"/>
  <c r="AP465" i="23"/>
  <c r="AP579" i="23"/>
  <c r="AP600" i="23"/>
  <c r="AP563" i="23"/>
  <c r="AP768" i="23"/>
  <c r="AQ768" i="23"/>
  <c r="AP166" i="23"/>
  <c r="AP794" i="23"/>
  <c r="AQ794" i="23"/>
  <c r="AP514" i="23"/>
  <c r="AP762" i="23"/>
  <c r="AQ762" i="23"/>
  <c r="AP782" i="23"/>
  <c r="AQ782" i="23"/>
  <c r="AP198" i="23"/>
  <c r="AP325" i="23"/>
  <c r="AP865" i="23"/>
  <c r="AQ865" i="23"/>
  <c r="AP473" i="23"/>
  <c r="AP57" i="23"/>
  <c r="AP242" i="23"/>
  <c r="AP311" i="23"/>
  <c r="AP685" i="23"/>
  <c r="AP731" i="23"/>
  <c r="AQ731" i="23"/>
  <c r="AP620" i="23"/>
  <c r="AP743" i="23"/>
  <c r="AQ743" i="23"/>
  <c r="AP117" i="23"/>
  <c r="AP267" i="23"/>
  <c r="AP834" i="23"/>
  <c r="AQ834" i="23"/>
  <c r="AP814" i="23"/>
  <c r="AQ814" i="23"/>
  <c r="AP107" i="23"/>
  <c r="AP326" i="23"/>
  <c r="AP238" i="23"/>
  <c r="AP584" i="23"/>
  <c r="AP53" i="23"/>
  <c r="AP644" i="23"/>
  <c r="AP332" i="23"/>
  <c r="AP512" i="23"/>
  <c r="AP452" i="23"/>
  <c r="AP295" i="23"/>
  <c r="AP331" i="23"/>
  <c r="AP660" i="23"/>
  <c r="AP763" i="23"/>
  <c r="AQ763" i="23"/>
  <c r="AP560" i="23"/>
  <c r="AP561" i="23"/>
  <c r="AP854" i="23"/>
  <c r="AQ854" i="23"/>
  <c r="AP156" i="23"/>
  <c r="AP707" i="23"/>
  <c r="AQ707" i="23"/>
  <c r="AP566" i="23"/>
  <c r="AP378" i="23"/>
  <c r="AP424" i="23"/>
  <c r="AP404" i="23"/>
  <c r="AP664" i="23"/>
  <c r="AP555" i="23"/>
  <c r="AP585" i="23"/>
  <c r="AP752" i="23"/>
  <c r="AQ752" i="23"/>
  <c r="AP357" i="23"/>
  <c r="AP393" i="23"/>
  <c r="AP680" i="23"/>
  <c r="AP106" i="23"/>
  <c r="AP617" i="23"/>
  <c r="AP481" i="23"/>
  <c r="AP82" i="23"/>
  <c r="AP216" i="23"/>
  <c r="AP626" i="23"/>
  <c r="AP686" i="23"/>
  <c r="AP478" i="23"/>
  <c r="AP171" i="23"/>
  <c r="AP489" i="23"/>
  <c r="AP193" i="23"/>
  <c r="AP558" i="23"/>
  <c r="AP732" i="23"/>
  <c r="AQ732" i="23"/>
  <c r="AP830" i="23"/>
  <c r="AQ830" i="23"/>
  <c r="AP434" i="23"/>
  <c r="AP611" i="23"/>
  <c r="AP800" i="23"/>
  <c r="AQ800" i="23"/>
  <c r="AP200" i="23"/>
  <c r="AP668" i="23"/>
  <c r="AP822" i="23"/>
  <c r="AQ822" i="23"/>
  <c r="AP222" i="23"/>
  <c r="AP256" i="23"/>
  <c r="AP174" i="23"/>
  <c r="AP786" i="23"/>
  <c r="AQ786" i="23"/>
  <c r="AP678" i="23"/>
  <c r="AP645" i="23"/>
  <c r="AP498" i="23"/>
  <c r="AP59" i="23"/>
  <c r="AP819" i="23"/>
  <c r="AQ819" i="23"/>
  <c r="AP432" i="23"/>
  <c r="AP650" i="23"/>
  <c r="AP757" i="23"/>
  <c r="AQ757" i="23"/>
  <c r="AP820" i="23"/>
  <c r="AQ820" i="23"/>
  <c r="AP501" i="23"/>
  <c r="AP111" i="23"/>
  <c r="AP674" i="23"/>
  <c r="AP815" i="23"/>
  <c r="AQ815" i="23"/>
  <c r="AP211" i="23"/>
  <c r="AP543" i="23"/>
  <c r="AP366" i="23"/>
  <c r="AP94" i="23"/>
  <c r="AP296" i="23"/>
  <c r="AP737" i="23"/>
  <c r="AQ737" i="23"/>
  <c r="AP116" i="23"/>
  <c r="AP45" i="23"/>
  <c r="AP504" i="23"/>
  <c r="AP859" i="23"/>
  <c r="AQ859" i="23"/>
  <c r="AP712" i="23"/>
  <c r="AQ712" i="23"/>
  <c r="AP148" i="23"/>
  <c r="AP100" i="23"/>
  <c r="AP66" i="23"/>
  <c r="AP308" i="23"/>
  <c r="AP420" i="23"/>
  <c r="AP596" i="23"/>
  <c r="AP421" i="23"/>
  <c r="AP718" i="23"/>
  <c r="AQ718" i="23"/>
  <c r="AP130" i="23"/>
  <c r="AP699" i="23"/>
  <c r="AQ699" i="23"/>
  <c r="AP115" i="23"/>
  <c r="AP808" i="23"/>
  <c r="AQ808" i="23"/>
  <c r="AP233" i="23"/>
  <c r="AP160" i="23"/>
  <c r="AP162" i="23"/>
  <c r="AP448" i="23"/>
  <c r="AP682" i="23"/>
  <c r="AP636" i="23"/>
  <c r="AP661" i="23"/>
  <c r="AP738" i="23"/>
  <c r="AQ738" i="23"/>
  <c r="AP210" i="23"/>
  <c r="AP6" i="23"/>
  <c r="AP359" i="23"/>
  <c r="AP433" i="23"/>
  <c r="AP812" i="23"/>
  <c r="AQ812" i="23"/>
  <c r="AP860" i="23"/>
  <c r="AQ860" i="23"/>
  <c r="AP301" i="23"/>
  <c r="AP468" i="23"/>
  <c r="AP15" i="23"/>
  <c r="AP656" i="23"/>
  <c r="AP741" i="23"/>
  <c r="AQ741" i="23"/>
  <c r="AP758" i="23"/>
  <c r="AQ758" i="23"/>
  <c r="AP250" i="23"/>
  <c r="AP615" i="23"/>
  <c r="AP649" i="23"/>
  <c r="AP10" i="23"/>
  <c r="AP7" i="23"/>
  <c r="AP347" i="23"/>
  <c r="AP588" i="23"/>
  <c r="AP415" i="23"/>
  <c r="AP676" i="23"/>
  <c r="AP282" i="23"/>
  <c r="AP778" i="23"/>
  <c r="AQ778" i="23"/>
  <c r="AP610" i="23"/>
  <c r="AP218" i="23"/>
  <c r="AP405" i="23"/>
  <c r="AP713" i="23"/>
  <c r="AQ713" i="23"/>
  <c r="AP73" i="23"/>
  <c r="AP646" i="23"/>
  <c r="AP823" i="23"/>
  <c r="AQ823" i="23"/>
  <c r="AP33" i="23"/>
  <c r="AP225" i="23"/>
  <c r="AP85" i="23"/>
  <c r="AP810" i="23"/>
  <c r="AQ810" i="23"/>
  <c r="AP149" i="23"/>
  <c r="AP801" i="23"/>
  <c r="AQ801" i="23"/>
  <c r="AP128" i="23"/>
  <c r="AP182" i="23"/>
  <c r="AP175" i="23"/>
  <c r="AP796" i="23"/>
  <c r="AQ796" i="23"/>
  <c r="AP447" i="23"/>
  <c r="AP480" i="23"/>
  <c r="AP770" i="23"/>
  <c r="AQ770" i="23"/>
  <c r="AP61" i="23"/>
  <c r="AP284" i="23"/>
  <c r="AP724" i="23"/>
  <c r="AQ724" i="23"/>
  <c r="AP706" i="23"/>
  <c r="AQ706" i="23"/>
  <c r="AP319" i="23"/>
  <c r="AP503" i="23"/>
  <c r="AP767" i="23"/>
  <c r="AQ767" i="23"/>
  <c r="AP16" i="23"/>
  <c r="AP546" i="23"/>
  <c r="AP12" i="23"/>
  <c r="AP71" i="23"/>
  <c r="AP237" i="23"/>
  <c r="AP3" i="23"/>
  <c r="AP428" i="23"/>
  <c r="AP342" i="23"/>
  <c r="AP422" i="23"/>
  <c r="AP816" i="23"/>
  <c r="AQ816" i="23"/>
  <c r="AP507" i="23"/>
  <c r="AP587" i="23"/>
  <c r="AP870" i="23"/>
  <c r="AQ870" i="23"/>
  <c r="AP89" i="23"/>
  <c r="AP230" i="23"/>
  <c r="AP511" i="23"/>
  <c r="AP43" i="23"/>
  <c r="AP508" i="23"/>
  <c r="AP602" i="23"/>
  <c r="AP683" i="23"/>
  <c r="AP841" i="23"/>
  <c r="AQ841" i="23"/>
  <c r="AP607" i="23"/>
  <c r="AP740" i="23"/>
  <c r="AQ740" i="23"/>
  <c r="AP153" i="23"/>
  <c r="AP773" i="23"/>
  <c r="AQ773" i="23"/>
  <c r="AP243" i="23"/>
  <c r="AP93" i="23"/>
  <c r="AP849" i="23"/>
  <c r="AQ849" i="23"/>
  <c r="AP63" i="23"/>
  <c r="AP688" i="23"/>
  <c r="AP842" i="23"/>
  <c r="AQ842" i="23"/>
  <c r="AP840" i="23"/>
  <c r="AQ840" i="23"/>
  <c r="AP862" i="23"/>
  <c r="AQ862" i="23"/>
  <c r="AP466" i="23"/>
  <c r="AP491" i="23"/>
  <c r="AP429" i="23"/>
  <c r="AP54" i="23"/>
  <c r="AP309" i="23"/>
  <c r="AP170" i="23"/>
  <c r="AP411" i="23"/>
  <c r="AP343" i="23"/>
  <c r="AP667" i="23"/>
  <c r="AP62" i="23"/>
  <c r="AP86" i="23"/>
  <c r="AP783" i="23"/>
  <c r="AQ783" i="23"/>
  <c r="AP635" i="23"/>
  <c r="AP369" i="23"/>
  <c r="AP590" i="23"/>
  <c r="AP606" i="23"/>
  <c r="AP490" i="23"/>
  <c r="AP383" i="23"/>
  <c r="AP723" i="23"/>
  <c r="AQ723" i="23"/>
  <c r="AP226" i="23"/>
  <c r="AP402" i="23"/>
  <c r="AP334" i="23"/>
  <c r="AP122" i="23"/>
  <c r="AP554" i="23"/>
  <c r="AP670" i="23"/>
  <c r="AP677" i="23"/>
  <c r="AP789" i="23"/>
  <c r="AQ789" i="23"/>
  <c r="AP403" i="23"/>
  <c r="AP827" i="23"/>
  <c r="AQ827" i="23"/>
  <c r="AP286" i="23"/>
  <c r="AP662" i="23"/>
  <c r="AP354" i="23"/>
  <c r="AP234" i="23"/>
  <c r="AP399" i="23"/>
  <c r="AP91" i="23"/>
  <c r="AP253" i="23"/>
  <c r="AP872" i="23"/>
  <c r="AQ872" i="23"/>
  <c r="AP463" i="23"/>
  <c r="AP701" i="23"/>
  <c r="AQ701" i="23"/>
  <c r="AP734" i="23"/>
  <c r="AQ734" i="23"/>
  <c r="AP659" i="23"/>
  <c r="AP384" i="23"/>
  <c r="AP705" i="23"/>
  <c r="AQ705" i="23"/>
  <c r="AP839" i="23"/>
  <c r="AQ839" i="23"/>
  <c r="AP574" i="23"/>
  <c r="AP852" i="23"/>
  <c r="AQ852" i="23"/>
  <c r="AP722" i="23"/>
  <c r="AQ722" i="23"/>
  <c r="AP793" i="23"/>
  <c r="AQ793" i="23"/>
  <c r="AP42" i="23"/>
  <c r="AP637" i="23"/>
  <c r="AP65" i="23"/>
  <c r="AP609" i="23"/>
  <c r="AP314" i="23"/>
  <c r="AP457" i="23"/>
  <c r="AP714" i="23"/>
  <c r="AQ714" i="23"/>
  <c r="AP630" i="23"/>
  <c r="AP143" i="23"/>
  <c r="AP26" i="23"/>
  <c r="AP556" i="23"/>
  <c r="AP576" i="23"/>
  <c r="AP776" i="23"/>
  <c r="AQ776" i="23"/>
  <c r="AP126" i="23"/>
  <c r="AP807" i="23"/>
  <c r="AQ807" i="23"/>
  <c r="AP18" i="23"/>
  <c r="AP108" i="23"/>
  <c r="AP628" i="23"/>
  <c r="AP255" i="23"/>
  <c r="AP533" i="23"/>
  <c r="AP134" i="23"/>
  <c r="AP8" i="23"/>
  <c r="AP534" i="23"/>
  <c r="AP178" i="23"/>
  <c r="AP409" i="23"/>
  <c r="AP818" i="23"/>
  <c r="AQ818" i="23"/>
  <c r="AP83" i="23"/>
  <c r="AP790" i="23"/>
  <c r="AQ790" i="23"/>
  <c r="AP172" i="23"/>
  <c r="AP855" i="23"/>
  <c r="AQ855" i="23"/>
  <c r="AP697" i="23"/>
  <c r="AQ697" i="23"/>
  <c r="AP739" i="23"/>
  <c r="AQ739" i="23"/>
  <c r="AP727" i="23"/>
  <c r="AQ727" i="23"/>
  <c r="AP397" i="23"/>
  <c r="AP625" i="23"/>
  <c r="AP165" i="23"/>
  <c r="AP647" i="23"/>
  <c r="AP612" i="23"/>
  <c r="AP449" i="23"/>
  <c r="AP526" i="23"/>
  <c r="AP829" i="23"/>
  <c r="AQ829" i="23"/>
  <c r="AP847" i="23"/>
  <c r="AQ847" i="23"/>
  <c r="AP4" i="23"/>
  <c r="AP141" i="23"/>
  <c r="AP446" i="23"/>
  <c r="AP765" i="23"/>
  <c r="AQ765" i="23"/>
  <c r="AP194" i="23"/>
  <c r="AP20" i="23"/>
  <c r="AP396" i="23"/>
  <c r="AP24" i="23"/>
  <c r="AP338" i="23"/>
  <c r="AP523" i="23"/>
  <c r="AP456" i="23"/>
  <c r="AP151" i="23"/>
  <c r="AP565" i="23"/>
  <c r="AP241" i="23"/>
  <c r="AP750" i="23"/>
  <c r="AQ750" i="23"/>
  <c r="AP747" i="23"/>
  <c r="AQ747" i="23"/>
  <c r="AP22" i="23"/>
  <c r="AP138" i="23"/>
  <c r="AP187" i="23"/>
  <c r="AP380" i="23"/>
  <c r="AP361" i="23"/>
  <c r="AP482" i="23"/>
  <c r="AP36" i="23"/>
  <c r="AP377" i="23"/>
  <c r="AP112" i="23"/>
  <c r="AP92" i="23"/>
  <c r="AP811" i="23"/>
  <c r="AQ811" i="23"/>
  <c r="AP858" i="23"/>
  <c r="AQ858" i="23"/>
  <c r="AP788" i="23"/>
  <c r="AQ788" i="23"/>
  <c r="AP709" i="23"/>
  <c r="AQ709" i="23"/>
  <c r="AP643" i="23"/>
  <c r="AP580" i="23"/>
  <c r="AP515" i="23"/>
  <c r="AP459" i="23"/>
  <c r="AP401" i="23"/>
  <c r="AP346" i="23"/>
  <c r="AP298" i="23"/>
  <c r="AP245" i="23"/>
  <c r="AP191" i="23"/>
  <c r="AP125" i="23"/>
  <c r="AP76" i="23"/>
  <c r="AP14" i="23"/>
  <c r="AP717" i="23"/>
  <c r="AQ717" i="23"/>
  <c r="AP509" i="23"/>
  <c r="AP279" i="23"/>
  <c r="AP131" i="23"/>
  <c r="AP836" i="23"/>
  <c r="AQ836" i="23"/>
  <c r="AP40" i="23"/>
  <c r="AP857" i="23"/>
  <c r="AQ857" i="23"/>
  <c r="AP787" i="23"/>
  <c r="AQ787" i="23"/>
  <c r="AP708" i="23"/>
  <c r="AQ708" i="23"/>
  <c r="AP640" i="23"/>
  <c r="AP578" i="23"/>
  <c r="AP505" i="23"/>
  <c r="AP458" i="23"/>
  <c r="AP400" i="23"/>
  <c r="AP345" i="23"/>
  <c r="AP297" i="23"/>
  <c r="AP244" i="23"/>
  <c r="AP189" i="23"/>
  <c r="AP124" i="23"/>
  <c r="AP67" i="23"/>
  <c r="AP9" i="23"/>
  <c r="AP711" i="23"/>
  <c r="AQ711" i="23"/>
  <c r="AP477" i="23"/>
  <c r="AP277" i="23"/>
  <c r="AP129" i="23"/>
  <c r="AP749" i="23"/>
  <c r="AQ749" i="23"/>
  <c r="AP167" i="23"/>
  <c r="AP72" i="23"/>
  <c r="AP856" i="23"/>
  <c r="AQ856" i="23"/>
  <c r="AP775" i="23"/>
  <c r="AQ775" i="23"/>
  <c r="AP704" i="23"/>
  <c r="AQ704" i="23"/>
  <c r="AP632" i="23"/>
  <c r="AP573" i="23"/>
  <c r="AP502" i="23"/>
  <c r="AP453" i="23"/>
  <c r="AP398" i="23"/>
  <c r="AP344" i="23"/>
  <c r="AP293" i="23"/>
  <c r="AP236" i="23"/>
  <c r="AP186" i="23"/>
  <c r="AP123" i="23"/>
  <c r="AP64" i="23"/>
  <c r="AP861" i="23"/>
  <c r="AQ861" i="23"/>
  <c r="AP710" i="23"/>
  <c r="AQ710" i="23"/>
  <c r="AP476" i="23"/>
  <c r="AP276" i="23"/>
  <c r="AP102" i="23"/>
  <c r="AP693" i="23"/>
  <c r="AQ693" i="23"/>
  <c r="AP214" i="23"/>
  <c r="AP431" i="23"/>
  <c r="AP850" i="23"/>
  <c r="AQ850" i="23"/>
  <c r="AP774" i="23"/>
  <c r="AQ774" i="23"/>
  <c r="AP702" i="23"/>
  <c r="AQ702" i="23"/>
  <c r="AP631" i="23"/>
  <c r="AP572" i="23"/>
  <c r="AP500" i="23"/>
  <c r="AP451" i="23"/>
  <c r="AP395" i="23"/>
  <c r="AP340" i="23"/>
  <c r="AP291" i="23"/>
  <c r="AP235" i="23"/>
  <c r="AP185" i="23"/>
  <c r="AP120" i="23"/>
  <c r="AP60" i="23"/>
  <c r="AP851" i="23"/>
  <c r="AQ851" i="23"/>
  <c r="AP665" i="23"/>
  <c r="AP462" i="23"/>
  <c r="AP272" i="23"/>
  <c r="AP101" i="23"/>
  <c r="AP848" i="23"/>
  <c r="AQ848" i="23"/>
  <c r="AP759" i="23"/>
  <c r="AQ759" i="23"/>
  <c r="AP698" i="23"/>
  <c r="AQ698" i="23"/>
  <c r="AP629" i="23"/>
  <c r="AP571" i="23"/>
  <c r="AP499" i="23"/>
  <c r="AP450" i="23"/>
  <c r="AP394" i="23"/>
  <c r="AP339" i="23"/>
  <c r="AP290" i="23"/>
  <c r="AP232" i="23"/>
  <c r="AP184" i="23"/>
  <c r="AP119" i="23"/>
  <c r="AP56" i="23"/>
  <c r="AP832" i="23"/>
  <c r="AQ832" i="23"/>
  <c r="AP657" i="23"/>
  <c r="AP461" i="23"/>
  <c r="AP270" i="23"/>
  <c r="AP97" i="23"/>
  <c r="AP616" i="23"/>
  <c r="AP845" i="23"/>
  <c r="AQ845" i="23"/>
  <c r="AP755" i="23"/>
  <c r="AQ755" i="23"/>
  <c r="AP696" i="23"/>
  <c r="AQ696" i="23"/>
  <c r="AP624" i="23"/>
  <c r="AP570" i="23"/>
  <c r="AP497" i="23"/>
  <c r="AP442" i="23"/>
  <c r="AP392" i="23"/>
  <c r="AP336" i="23"/>
  <c r="AP289" i="23"/>
  <c r="AP231" i="23"/>
  <c r="AP183" i="23"/>
  <c r="AP118" i="23"/>
  <c r="AP55" i="23"/>
  <c r="AP831" i="23"/>
  <c r="AQ831" i="23"/>
  <c r="AP652" i="23"/>
  <c r="AP441" i="23"/>
  <c r="AP269" i="23"/>
  <c r="AP96" i="23"/>
  <c r="AP838" i="23"/>
  <c r="AQ838" i="23"/>
  <c r="AP754" i="23"/>
  <c r="AQ754" i="23"/>
  <c r="AP695" i="23"/>
  <c r="AQ695" i="23"/>
  <c r="AP622" i="23"/>
  <c r="AP569" i="23"/>
  <c r="AP496" i="23"/>
  <c r="AP438" i="23"/>
  <c r="AP390" i="23"/>
  <c r="AP328" i="23"/>
  <c r="AP285" i="23"/>
  <c r="AP229" i="23"/>
  <c r="AP179" i="23"/>
  <c r="AP114" i="23"/>
  <c r="AP46" i="23"/>
  <c r="AP821" i="23"/>
  <c r="AQ821" i="23"/>
  <c r="AP642" i="23"/>
  <c r="AP440" i="23"/>
  <c r="AP228" i="23"/>
  <c r="AP75" i="23"/>
  <c r="AP493" i="23"/>
  <c r="AP837" i="23"/>
  <c r="AQ837" i="23"/>
  <c r="AP751" i="23"/>
  <c r="AQ751" i="23"/>
  <c r="AP694" i="23"/>
  <c r="AQ694" i="23"/>
  <c r="AP618" i="23"/>
  <c r="AP568" i="23"/>
  <c r="AP495" i="23"/>
  <c r="AP437" i="23"/>
  <c r="AP388" i="23"/>
  <c r="AP327" i="23"/>
  <c r="AP275" i="23"/>
  <c r="AP215" i="23"/>
  <c r="AP168" i="23"/>
  <c r="AP109" i="23"/>
  <c r="AP44" i="23"/>
  <c r="AP792" i="23"/>
  <c r="AQ792" i="23"/>
  <c r="AP621" i="23"/>
  <c r="AP439" i="23"/>
  <c r="AP227" i="23"/>
  <c r="AP74" i="23"/>
  <c r="AP567" i="23"/>
  <c r="AP436" i="23"/>
  <c r="AP387" i="23"/>
  <c r="AP324" i="23"/>
  <c r="AP273" i="23"/>
  <c r="AP105" i="23"/>
  <c r="AP791" i="23"/>
  <c r="AQ791" i="23"/>
  <c r="AP577" i="23"/>
  <c r="AP224" i="23"/>
  <c r="AP825" i="23"/>
  <c r="AQ825" i="23"/>
  <c r="AP744" i="23"/>
  <c r="AQ744" i="23"/>
  <c r="AP684" i="23"/>
  <c r="AP604" i="23"/>
  <c r="AP545" i="23"/>
  <c r="AP487" i="23"/>
  <c r="AP423" i="23"/>
  <c r="AP373" i="23"/>
  <c r="AP318" i="23"/>
  <c r="AP259" i="23"/>
  <c r="AP208" i="23"/>
  <c r="AP161" i="23"/>
  <c r="AP98" i="23"/>
  <c r="AP34" i="23"/>
  <c r="AP779" i="23"/>
  <c r="AQ779" i="23"/>
  <c r="AP551" i="23"/>
  <c r="AP375" i="23"/>
  <c r="AP219" i="23"/>
  <c r="AP51" i="23"/>
  <c r="AP835" i="23"/>
  <c r="AQ835" i="23"/>
  <c r="AP692" i="23"/>
  <c r="AP548" i="23"/>
  <c r="AP427" i="23"/>
  <c r="AP323" i="23"/>
  <c r="AP212" i="23"/>
  <c r="AP104" i="23"/>
  <c r="AP781" i="23"/>
  <c r="AQ781" i="23"/>
  <c r="AP379" i="23"/>
  <c r="AP69" i="23"/>
  <c r="AP522" i="23"/>
  <c r="AP605" i="23"/>
  <c r="AP38" i="23"/>
  <c r="AP833" i="23"/>
  <c r="AQ833" i="23"/>
  <c r="AP689" i="23"/>
  <c r="AP547" i="23"/>
  <c r="AP426" i="23"/>
  <c r="AP320" i="23"/>
  <c r="AP209" i="23"/>
  <c r="AP103" i="23"/>
  <c r="AP780" i="23"/>
  <c r="AQ780" i="23"/>
  <c r="AP376" i="23"/>
  <c r="AP52" i="23"/>
  <c r="AP412" i="23"/>
  <c r="AP281" i="23"/>
  <c r="AP795" i="23"/>
  <c r="AQ795" i="23"/>
  <c r="AP720" i="23"/>
  <c r="AQ720" i="23"/>
  <c r="AP223" i="23"/>
  <c r="AP264" i="23"/>
  <c r="AP603" i="23"/>
  <c r="AP550" i="23"/>
  <c r="AP824" i="23"/>
  <c r="AQ824" i="23"/>
  <c r="AP673" i="23"/>
  <c r="AP544" i="23"/>
  <c r="AP419" i="23"/>
  <c r="AP317" i="23"/>
  <c r="AP207" i="23"/>
  <c r="AP95" i="23"/>
  <c r="AP777" i="23"/>
  <c r="AQ777" i="23"/>
  <c r="AP371" i="23"/>
  <c r="AP50" i="23"/>
  <c r="AP651" i="23"/>
  <c r="AP648" i="23"/>
  <c r="AP280" i="23"/>
  <c r="AP748" i="23"/>
  <c r="AQ748" i="23"/>
  <c r="AP39" i="23"/>
  <c r="AP745" i="23"/>
  <c r="AQ745" i="23"/>
  <c r="AP552" i="23"/>
  <c r="AP742" i="23"/>
  <c r="AQ742" i="23"/>
  <c r="AP181" i="23"/>
  <c r="AP813" i="23"/>
  <c r="AQ813" i="23"/>
  <c r="AP672" i="23"/>
  <c r="AP542" i="23"/>
  <c r="AP418" i="23"/>
  <c r="AP315" i="23"/>
  <c r="AP206" i="23"/>
  <c r="AP90" i="23"/>
  <c r="AP772" i="23"/>
  <c r="AQ772" i="23"/>
  <c r="AP360" i="23"/>
  <c r="AP49" i="23"/>
  <c r="AP516" i="23"/>
  <c r="AP488" i="23"/>
  <c r="AP258" i="23"/>
  <c r="AP805" i="23"/>
  <c r="AQ805" i="23"/>
  <c r="AP671" i="23"/>
  <c r="AP541" i="23"/>
  <c r="AP417" i="23"/>
  <c r="AP312" i="23"/>
  <c r="AP205" i="23"/>
  <c r="AP88" i="23"/>
  <c r="AP771" i="23"/>
  <c r="AQ771" i="23"/>
  <c r="AP341" i="23"/>
  <c r="AP19" i="23"/>
  <c r="AP79" i="23"/>
  <c r="AP199" i="23"/>
  <c r="AP385" i="23"/>
  <c r="AP485" i="23"/>
  <c r="AP804" i="23"/>
  <c r="AQ804" i="23"/>
  <c r="AP669" i="23"/>
  <c r="AP536" i="23"/>
  <c r="AP416" i="23"/>
  <c r="AP310" i="23"/>
  <c r="AP204" i="23"/>
  <c r="AP84" i="23"/>
  <c r="AP769" i="23"/>
  <c r="AQ769" i="23"/>
  <c r="AP329" i="23"/>
  <c r="AP5" i="23"/>
  <c r="AP201" i="23"/>
  <c r="AP299" i="23"/>
  <c r="AP492" i="23"/>
  <c r="AP221" i="23"/>
  <c r="AP370" i="23"/>
  <c r="AP803" i="23"/>
  <c r="AQ803" i="23"/>
  <c r="AP658" i="23"/>
  <c r="AP525" i="23"/>
  <c r="AP414" i="23"/>
  <c r="AP306" i="23"/>
  <c r="AP203" i="23"/>
  <c r="AP81" i="23"/>
  <c r="AP761" i="23"/>
  <c r="AQ761" i="23"/>
  <c r="AP321" i="23"/>
  <c r="AP300" i="23"/>
  <c r="AP410" i="23"/>
  <c r="AP266" i="23"/>
  <c r="AP163" i="23"/>
  <c r="AP32" i="23"/>
  <c r="AP799" i="23"/>
  <c r="AQ799" i="23"/>
  <c r="AP655" i="23"/>
  <c r="AP524" i="23"/>
  <c r="AP413" i="23"/>
  <c r="AP304" i="23"/>
  <c r="AP202" i="23"/>
  <c r="AP80" i="23"/>
  <c r="AP736" i="23"/>
  <c r="AQ736" i="23"/>
  <c r="AP294" i="23"/>
  <c r="AP721" i="23"/>
  <c r="AQ721" i="23"/>
  <c r="AP77" i="23"/>
  <c r="AP614" i="23"/>
  <c r="AP164" i="23"/>
  <c r="AP562" i="23"/>
  <c r="AP798" i="23"/>
  <c r="AQ798" i="23"/>
  <c r="AP374" i="23"/>
  <c r="AP159" i="23"/>
  <c r="AP735" i="23"/>
  <c r="AQ735" i="23"/>
  <c r="AP460" i="23"/>
  <c r="AP136" i="23"/>
  <c r="AP146" i="23"/>
  <c r="AP725" i="23"/>
  <c r="AQ725" i="23"/>
  <c r="AP599" i="23"/>
  <c r="AP257" i="23"/>
  <c r="AP597" i="23"/>
  <c r="AP529" i="23"/>
  <c r="AP591" i="23"/>
  <c r="AP589" i="23"/>
  <c r="AP177" i="23"/>
  <c r="AP157" i="23"/>
  <c r="AP137" i="23"/>
  <c r="AP730" i="23"/>
  <c r="AQ730" i="23"/>
  <c r="AP368" i="23"/>
  <c r="AP135" i="23"/>
  <c r="AP140" i="23"/>
  <c r="AP29" i="23"/>
  <c r="AP27" i="23"/>
  <c r="AP598" i="23"/>
  <c r="AP251" i="23"/>
  <c r="AP519" i="23"/>
  <c r="AP472" i="23"/>
  <c r="AP729" i="23"/>
  <c r="AQ729" i="23"/>
  <c r="AP367" i="23"/>
  <c r="AP31" i="23"/>
  <c r="AP132" i="23"/>
  <c r="AP353" i="23"/>
  <c r="AP28" i="23"/>
  <c r="AP350" i="23"/>
  <c r="AP25" i="23"/>
  <c r="AP254" i="23"/>
  <c r="AP595" i="23"/>
  <c r="AP483" i="23"/>
  <c r="AP475" i="23"/>
  <c r="AP147" i="23"/>
  <c r="AP863" i="23"/>
  <c r="AQ863" i="23"/>
  <c r="AP728" i="23"/>
  <c r="AQ728" i="23"/>
  <c r="AP363" i="23"/>
  <c r="AP30" i="23"/>
  <c r="AP349" i="23"/>
  <c r="AP521" i="23"/>
  <c r="AP17" i="23"/>
  <c r="AP252" i="23"/>
  <c r="AP527" i="23"/>
  <c r="AP484" i="23"/>
  <c r="AP155" i="23"/>
  <c r="AP145" i="23"/>
  <c r="AP719" i="23"/>
  <c r="AQ719" i="23"/>
  <c r="AP351" i="23"/>
  <c r="AP528" i="23"/>
  <c r="AP249" i="23"/>
  <c r="AP152" i="23"/>
  <c r="AP715" i="23"/>
  <c r="AQ715" i="23"/>
  <c r="AP549" i="23"/>
  <c r="AP592" i="23"/>
  <c r="AP247" i="23"/>
  <c r="AP510" i="23"/>
  <c r="AP864" i="23"/>
  <c r="AQ864" i="23"/>
  <c r="AP246" i="23"/>
  <c r="AP158" i="23"/>
  <c r="AP180" i="23"/>
  <c r="AP871" i="23"/>
  <c r="AQ871" i="23"/>
  <c r="AP467" i="23"/>
  <c r="AP464" i="23"/>
  <c r="AP195" i="23"/>
  <c r="AP785" i="23"/>
  <c r="AQ785" i="23"/>
  <c r="AP613" i="23"/>
  <c r="AP372" i="23"/>
  <c r="AP530" i="23"/>
  <c r="AP248" i="23"/>
  <c r="AP330" i="23"/>
  <c r="AP99" i="23"/>
  <c r="AP213" i="23"/>
  <c r="AP48" i="23"/>
  <c r="AP623" i="23"/>
  <c r="AP407" i="23"/>
  <c r="AP41" i="23"/>
  <c r="AP23" i="23"/>
  <c r="AP746" i="23"/>
  <c r="AQ746" i="23"/>
  <c r="AP582" i="23"/>
  <c r="AP826" i="23"/>
  <c r="AQ826" i="23"/>
  <c r="AP716" i="23"/>
  <c r="AQ716" i="23"/>
  <c r="AP337" i="23"/>
  <c r="AP486" i="23"/>
  <c r="AP197" i="23"/>
  <c r="AP188" i="23"/>
  <c r="AP679" i="23"/>
  <c r="AP313" i="23"/>
  <c r="AP139" i="23"/>
  <c r="AP538" i="23"/>
  <c r="AP58" i="23"/>
  <c r="AP867" i="23"/>
  <c r="AQ867" i="23"/>
  <c r="AP445" i="23"/>
  <c r="AP594" i="23"/>
  <c r="AP386" i="23"/>
  <c r="AP391" i="23"/>
  <c r="AP190" i="23"/>
  <c r="AP430" i="23"/>
  <c r="AP142" i="23"/>
  <c r="AP663" i="23"/>
  <c r="AP666" i="23"/>
  <c r="AP121" i="23"/>
  <c r="AP68" i="23"/>
  <c r="AP846" i="23"/>
  <c r="AQ846" i="23"/>
  <c r="AP634" i="23"/>
  <c r="AP154" i="23"/>
  <c r="AP756" i="23"/>
  <c r="AQ756" i="23"/>
  <c r="AP557" i="23"/>
  <c r="AP506" i="23"/>
  <c r="AP217" i="23"/>
  <c r="AP381" i="23"/>
  <c r="AP764" i="23"/>
  <c r="AQ764" i="23"/>
  <c r="AP513" i="23"/>
  <c r="AP444" i="23"/>
  <c r="AP700" i="23"/>
  <c r="AQ700" i="23"/>
  <c r="AP333" i="23"/>
  <c r="AP364" i="23"/>
  <c r="AP518" i="23"/>
  <c r="AP675" i="23"/>
  <c r="AP531" i="23"/>
  <c r="AP469" i="23"/>
  <c r="AP265" i="23"/>
  <c r="AP494" i="23"/>
  <c r="AP240" i="23"/>
  <c r="AP703" i="23"/>
  <c r="AQ703" i="23"/>
  <c r="AP766" i="23"/>
  <c r="AQ766" i="23"/>
  <c r="AP601" i="23"/>
  <c r="AP408" i="23"/>
  <c r="AP307" i="23"/>
  <c r="AP471" i="23"/>
  <c r="AP539" i="23"/>
  <c r="AP335" i="23"/>
  <c r="AP619" i="23"/>
  <c r="AP733" i="23"/>
  <c r="AQ733" i="23"/>
  <c r="AP292" i="23"/>
  <c r="AP753" i="23"/>
  <c r="AQ753" i="23"/>
  <c r="AP691" i="23"/>
  <c r="AP470" i="23"/>
  <c r="AP283" i="23"/>
  <c r="AP21" i="23"/>
  <c r="AP843" i="23"/>
  <c r="AQ843" i="23"/>
  <c r="AP288" i="23"/>
  <c r="AP262" i="23"/>
  <c r="AP726" i="23"/>
  <c r="AQ726" i="23"/>
  <c r="AP220" i="23"/>
  <c r="AP455" i="23"/>
  <c r="AP176" i="23"/>
  <c r="AP274" i="23"/>
  <c r="AP797" i="23"/>
  <c r="AQ797" i="23"/>
  <c r="AP127" i="23"/>
  <c r="AP517" i="23"/>
  <c r="AP575" i="23"/>
  <c r="AP389" i="23"/>
  <c r="AP113" i="23"/>
  <c r="AP639" i="23"/>
  <c r="AP35" i="23"/>
  <c r="AP559" i="23"/>
  <c r="AP11" i="23"/>
  <c r="AP13" i="23"/>
  <c r="AP352" i="23"/>
  <c r="AP173" i="23"/>
  <c r="AP844" i="23"/>
  <c r="AQ844" i="23"/>
  <c r="AP537" i="23"/>
  <c r="AP382" i="23"/>
  <c r="AP802" i="23"/>
  <c r="AQ802" i="23"/>
  <c r="AP443" i="23"/>
  <c r="AP348" i="23"/>
  <c r="AP362" i="23"/>
  <c r="AP828" i="23"/>
  <c r="AQ828" i="23"/>
  <c r="AP581" i="23"/>
  <c r="AP37" i="23"/>
  <c r="AP196" i="23"/>
  <c r="AP322" i="23"/>
  <c r="AP817" i="23"/>
  <c r="AQ817" i="23"/>
  <c r="AP287" i="23"/>
  <c r="AP78" i="23"/>
  <c r="AP239" i="23"/>
  <c r="AP535" i="23"/>
  <c r="AP133" i="23"/>
  <c r="AP192" i="23"/>
  <c r="AP47" i="23"/>
  <c r="AP564" i="23"/>
  <c r="AP305" i="23"/>
  <c r="AP520" i="23"/>
  <c r="AP70" i="23"/>
  <c r="AP532" i="23"/>
  <c r="AP435" i="23"/>
  <c r="AP268" i="23"/>
  <c r="AP260" i="23"/>
  <c r="AP263" i="23"/>
  <c r="AP654" i="23"/>
  <c r="AP868" i="23"/>
  <c r="AQ868" i="23"/>
  <c r="AP866" i="23"/>
  <c r="AQ866" i="23"/>
  <c r="AP261" i="23"/>
  <c r="AP454" i="23"/>
  <c r="AP583" i="23"/>
  <c r="AP316" i="23"/>
  <c r="AP406" i="23"/>
  <c r="AP586" i="23"/>
  <c r="AP627" i="23"/>
  <c r="AP278" i="23"/>
  <c r="AP809" i="23"/>
  <c r="AQ809" i="23"/>
  <c r="AP425" i="23"/>
  <c r="AP633" i="23"/>
  <c r="AP479" i="23"/>
  <c r="AP553" i="23"/>
  <c r="AP853" i="23"/>
  <c r="AQ853" i="23"/>
  <c r="AP365" i="23"/>
  <c r="AP593" i="23"/>
  <c r="AP355" i="23"/>
  <c r="AP608" i="23"/>
  <c r="AP653" i="23"/>
  <c r="AP271" i="23"/>
  <c r="AP540" i="23"/>
  <c r="AP303" i="23"/>
  <c r="AP760" i="23"/>
  <c r="AQ760" i="23"/>
  <c r="AP302" i="23"/>
  <c r="AP87" i="23"/>
  <c r="AP681" i="23"/>
  <c r="AP474" i="23"/>
  <c r="AP638" i="23"/>
  <c r="AP356" i="23"/>
  <c r="AP806" i="23"/>
  <c r="AQ806" i="23"/>
  <c r="AP641" i="23"/>
  <c r="AP687" i="23"/>
  <c r="AP358" i="23"/>
  <c r="AP869" i="23"/>
  <c r="AQ869" i="23"/>
  <c r="AP110" i="23"/>
  <c r="AP690" i="23"/>
  <c r="T73" i="13"/>
  <c r="P77" i="13"/>
  <c r="Q77" i="13"/>
  <c r="R77" i="13"/>
  <c r="S77" i="13"/>
  <c r="T77" i="13"/>
  <c r="U77" i="13"/>
  <c r="V77" i="13"/>
  <c r="Q73" i="13"/>
  <c r="S73" i="13"/>
  <c r="R73" i="13"/>
  <c r="U73" i="13"/>
  <c r="V73" i="13"/>
  <c r="D78" i="13"/>
  <c r="J78" i="13"/>
  <c r="C78" i="13"/>
  <c r="P73" i="13"/>
  <c r="G17" i="12"/>
  <c r="L78" i="13"/>
  <c r="J79" i="13"/>
  <c r="L79" i="13"/>
  <c r="CB49" i="24"/>
  <c r="CA49" i="24"/>
  <c r="BZ49" i="24"/>
  <c r="BY49" i="24"/>
  <c r="BX49" i="24"/>
  <c r="BW49" i="24"/>
  <c r="BV49" i="24"/>
  <c r="BU49" i="24"/>
  <c r="BT49" i="24"/>
  <c r="BS49" i="24"/>
  <c r="BR49" i="24"/>
  <c r="BQ49" i="24"/>
  <c r="BP49" i="24"/>
  <c r="BO49" i="24"/>
  <c r="BN49" i="24"/>
  <c r="BM49" i="24"/>
  <c r="BL49" i="24"/>
  <c r="BK49" i="24"/>
  <c r="BJ49" i="24"/>
  <c r="BI49" i="24"/>
  <c r="CB45" i="24"/>
  <c r="CA45" i="24"/>
  <c r="BZ45" i="24"/>
  <c r="BY45" i="24"/>
  <c r="BX45" i="24"/>
  <c r="BW45" i="24"/>
  <c r="BV45" i="24"/>
  <c r="BU45" i="24"/>
  <c r="BT45" i="24"/>
  <c r="BS45" i="24"/>
  <c r="BR45" i="24"/>
  <c r="BQ45" i="24"/>
  <c r="BP45" i="24"/>
  <c r="BO45" i="24"/>
  <c r="BN45" i="24"/>
  <c r="BM45" i="24"/>
  <c r="BL45" i="24"/>
  <c r="BK45" i="24"/>
  <c r="BJ45" i="24"/>
  <c r="BI45" i="24"/>
  <c r="CB41" i="24"/>
  <c r="CA41" i="24"/>
  <c r="BZ41" i="24"/>
  <c r="BY41" i="24"/>
  <c r="BX41" i="24"/>
  <c r="BW41" i="24"/>
  <c r="BV41" i="24"/>
  <c r="BU41" i="24"/>
  <c r="BT41" i="24"/>
  <c r="BS41" i="24"/>
  <c r="BR41" i="24"/>
  <c r="BQ41" i="24"/>
  <c r="BP41" i="24"/>
  <c r="BO41" i="24"/>
  <c r="BN41" i="24"/>
  <c r="BM41" i="24"/>
  <c r="BL41" i="24"/>
  <c r="BK41" i="24"/>
  <c r="BJ41" i="24"/>
  <c r="BI41" i="24"/>
  <c r="CB37" i="24"/>
  <c r="CA37" i="24"/>
  <c r="BZ37" i="24"/>
  <c r="BY37" i="24"/>
  <c r="BX37" i="24"/>
  <c r="BW37" i="24"/>
  <c r="BV37" i="24"/>
  <c r="BU37" i="24"/>
  <c r="BT37" i="24"/>
  <c r="BS37" i="24"/>
  <c r="BR37" i="24"/>
  <c r="BQ37" i="24"/>
  <c r="BP37" i="24"/>
  <c r="BO37" i="24"/>
  <c r="BN37" i="24"/>
  <c r="BM37" i="24"/>
  <c r="BL37" i="24"/>
  <c r="BK37" i="24"/>
  <c r="BJ37" i="24"/>
  <c r="BI37" i="24"/>
  <c r="CB33" i="24"/>
  <c r="CA33" i="24"/>
  <c r="BZ33" i="24"/>
  <c r="BY33" i="24"/>
  <c r="BX33" i="24"/>
  <c r="BW33" i="24"/>
  <c r="BV33" i="24"/>
  <c r="BU33" i="24"/>
  <c r="BT33" i="24"/>
  <c r="BS33" i="24"/>
  <c r="BR33" i="24"/>
  <c r="BQ33" i="24"/>
  <c r="BP33" i="24"/>
  <c r="BO33" i="24"/>
  <c r="BN33" i="24"/>
  <c r="BM33" i="24"/>
  <c r="BL33" i="24"/>
  <c r="BK33" i="24"/>
  <c r="BJ33" i="24"/>
  <c r="BI33" i="24"/>
  <c r="BH49" i="24"/>
  <c r="BH45" i="24"/>
  <c r="BH41" i="24"/>
  <c r="D12" i="12"/>
  <c r="D11" i="12"/>
  <c r="D10" i="12"/>
  <c r="D9" i="12"/>
  <c r="D8" i="12"/>
  <c r="D7" i="12"/>
  <c r="D6" i="12"/>
  <c r="D5" i="12"/>
  <c r="D4" i="12"/>
  <c r="D3" i="12"/>
  <c r="AH14" i="25"/>
  <c r="AG14" i="25"/>
  <c r="AF14" i="25"/>
  <c r="AE14" i="25"/>
  <c r="AD14" i="25"/>
  <c r="AC14" i="25"/>
  <c r="AH13" i="25"/>
  <c r="AG13" i="25"/>
  <c r="AF13" i="25"/>
  <c r="AE13" i="25"/>
  <c r="AD13" i="25"/>
  <c r="AC13" i="25"/>
  <c r="AH10" i="25"/>
  <c r="AG10" i="25"/>
  <c r="AF10" i="25"/>
  <c r="AE10" i="25"/>
  <c r="AD10" i="25"/>
  <c r="AC10" i="25"/>
  <c r="AH9" i="25"/>
  <c r="AG9" i="25"/>
  <c r="AF9" i="25"/>
  <c r="AE9" i="25"/>
  <c r="AD9" i="25"/>
  <c r="AC9" i="25"/>
  <c r="AH6" i="25"/>
  <c r="AG6" i="25"/>
  <c r="AF6" i="25"/>
  <c r="AE6" i="25"/>
  <c r="AD6" i="25"/>
  <c r="AH5" i="25"/>
  <c r="AG5" i="25"/>
  <c r="AF5" i="25"/>
  <c r="AE5" i="25"/>
  <c r="AD5" i="25"/>
  <c r="AC6" i="25"/>
  <c r="AC5" i="25"/>
  <c r="P76" i="13"/>
  <c r="P75" i="13"/>
  <c r="P72" i="13"/>
  <c r="P71" i="13"/>
  <c r="AD96" i="25"/>
  <c r="AD95" i="25"/>
  <c r="AD106" i="25"/>
  <c r="AD115" i="25"/>
  <c r="AB95" i="25"/>
  <c r="AB106" i="25"/>
  <c r="AC96" i="25"/>
  <c r="AB96" i="25"/>
  <c r="AC95" i="25"/>
  <c r="Q79" i="13"/>
  <c r="R79" i="13"/>
  <c r="S79" i="13"/>
  <c r="T79" i="13"/>
  <c r="U79" i="13"/>
  <c r="V79" i="13"/>
  <c r="Q80" i="13"/>
  <c r="R80" i="13"/>
  <c r="S80" i="13"/>
  <c r="T80" i="13"/>
  <c r="U80" i="13"/>
  <c r="V80" i="13"/>
  <c r="Q76" i="13"/>
  <c r="R76" i="13"/>
  <c r="S76" i="13"/>
  <c r="T76" i="13"/>
  <c r="U76" i="13"/>
  <c r="V76" i="13"/>
  <c r="M78" i="13"/>
  <c r="M77" i="13"/>
  <c r="M76" i="13"/>
  <c r="Q71" i="13"/>
  <c r="Q75" i="13"/>
  <c r="Q72" i="13"/>
  <c r="AC106" i="25"/>
  <c r="AB116" i="25"/>
  <c r="AC116" i="25"/>
  <c r="P78" i="13"/>
  <c r="Q78" i="13"/>
  <c r="R78" i="13"/>
  <c r="S78" i="13"/>
  <c r="T78" i="13"/>
  <c r="U78" i="13"/>
  <c r="V78" i="13"/>
  <c r="Q74" i="13"/>
  <c r="P74" i="13"/>
  <c r="Q70" i="13"/>
  <c r="P70" i="13"/>
  <c r="R75" i="13"/>
  <c r="R74" i="13"/>
  <c r="R71" i="13"/>
  <c r="R72" i="13"/>
  <c r="S75" i="13"/>
  <c r="S74" i="13"/>
  <c r="AB115" i="25"/>
  <c r="AC115" i="25"/>
  <c r="R70" i="13"/>
  <c r="S71" i="13"/>
  <c r="T75" i="13"/>
  <c r="T74" i="13"/>
  <c r="S72" i="13"/>
  <c r="S70" i="13"/>
  <c r="T71" i="13"/>
  <c r="T72" i="13"/>
  <c r="U75" i="13"/>
  <c r="U74" i="13"/>
  <c r="T70" i="13"/>
  <c r="U71" i="13"/>
  <c r="V75" i="13"/>
  <c r="V74" i="13"/>
  <c r="U72" i="13"/>
  <c r="U70" i="13"/>
  <c r="V71" i="13"/>
  <c r="V72" i="13"/>
  <c r="V70" i="13"/>
  <c r="L49" i="25"/>
  <c r="K49" i="25"/>
  <c r="L48" i="25"/>
  <c r="K48" i="25"/>
  <c r="C44" i="25"/>
  <c r="C43" i="25"/>
  <c r="H17" i="25"/>
  <c r="G17" i="25"/>
  <c r="I16" i="25"/>
  <c r="I17" i="25"/>
  <c r="K15" i="25"/>
  <c r="K14" i="25"/>
  <c r="K13" i="25"/>
  <c r="K12" i="25"/>
  <c r="K11" i="25"/>
  <c r="K10" i="25"/>
  <c r="K9" i="25"/>
  <c r="K8" i="25"/>
  <c r="K7" i="25"/>
  <c r="K6" i="25"/>
  <c r="L85" i="13"/>
  <c r="L88" i="13"/>
  <c r="L87" i="13"/>
  <c r="H86" i="13"/>
  <c r="I86" i="13"/>
  <c r="J86" i="13"/>
  <c r="K86" i="13"/>
  <c r="Y91" i="13"/>
  <c r="X91" i="13"/>
  <c r="W91" i="13"/>
  <c r="Y90" i="13"/>
  <c r="X90" i="13"/>
  <c r="W90" i="13"/>
  <c r="V90" i="13"/>
  <c r="U90" i="13"/>
  <c r="T90" i="13"/>
  <c r="S90" i="13"/>
  <c r="R90" i="13"/>
  <c r="Q90" i="13"/>
  <c r="P90" i="13"/>
  <c r="Y86" i="13"/>
  <c r="V86" i="13"/>
  <c r="X86" i="13"/>
  <c r="W86" i="13"/>
  <c r="S86" i="13"/>
  <c r="T86" i="13"/>
  <c r="U86" i="13"/>
  <c r="Q86" i="13"/>
  <c r="R86" i="13"/>
  <c r="P86" i="13"/>
  <c r="G86" i="13"/>
  <c r="L86" i="13"/>
  <c r="E86" i="13"/>
  <c r="D86" i="13"/>
  <c r="C86" i="13"/>
  <c r="B86" i="13"/>
  <c r="Z90" i="13"/>
  <c r="X88" i="13"/>
  <c r="X87" i="13"/>
  <c r="W88" i="13"/>
  <c r="W87" i="13"/>
  <c r="V88" i="13"/>
  <c r="Y88" i="13"/>
  <c r="Y87" i="13"/>
  <c r="Z86" i="13"/>
  <c r="Z91" i="13"/>
  <c r="F86" i="13"/>
  <c r="AA90" i="13"/>
  <c r="AA91" i="13"/>
  <c r="Z88" i="13"/>
  <c r="AA86" i="13"/>
  <c r="Z87" i="13"/>
  <c r="BH37" i="24"/>
  <c r="BH33" i="24"/>
  <c r="CA29" i="24"/>
  <c r="BZ29" i="24"/>
  <c r="BY29" i="24"/>
  <c r="BX29" i="24"/>
  <c r="BW29" i="24"/>
  <c r="BV29" i="24"/>
  <c r="BU29" i="24"/>
  <c r="BT29" i="24"/>
  <c r="BS29" i="24"/>
  <c r="BR29" i="24"/>
  <c r="BQ29" i="24"/>
  <c r="BP29" i="24"/>
  <c r="BO29" i="24"/>
  <c r="BN29" i="24"/>
  <c r="BM29" i="24"/>
  <c r="BL29" i="24"/>
  <c r="BK29" i="24"/>
  <c r="BJ29" i="24"/>
  <c r="BI29" i="24"/>
  <c r="BH29" i="24"/>
  <c r="J27" i="13"/>
  <c r="J17" i="13"/>
  <c r="J7" i="13"/>
  <c r="AA88" i="13"/>
  <c r="AA87" i="13"/>
  <c r="BA28" i="24"/>
  <c r="BA29" i="24"/>
  <c r="AZ28" i="24"/>
  <c r="AY28" i="24"/>
  <c r="AY29" i="24"/>
  <c r="AX28" i="24"/>
  <c r="AX30" i="24"/>
  <c r="BB22" i="24"/>
  <c r="BA22" i="24"/>
  <c r="AZ22" i="24"/>
  <c r="AZ23" i="24"/>
  <c r="AY22" i="24"/>
  <c r="AY25" i="24"/>
  <c r="AX22" i="24"/>
  <c r="AX23" i="24"/>
  <c r="AW22" i="24"/>
  <c r="AW23" i="24"/>
  <c r="AV22" i="24"/>
  <c r="AV25" i="24"/>
  <c r="AU22" i="24"/>
  <c r="AU26" i="24"/>
  <c r="AT22" i="24"/>
  <c r="AT25" i="24"/>
  <c r="AS22" i="24"/>
  <c r="AS27" i="24"/>
  <c r="AR22" i="24"/>
  <c r="BB16" i="24"/>
  <c r="BA16" i="24"/>
  <c r="BA20" i="24"/>
  <c r="AZ16" i="24"/>
  <c r="AZ17" i="24"/>
  <c r="AY16" i="24"/>
  <c r="AY21" i="24"/>
  <c r="AX16" i="24"/>
  <c r="AX17" i="24"/>
  <c r="AW16" i="24"/>
  <c r="AW19" i="24"/>
  <c r="AV16" i="24"/>
  <c r="AV19" i="24"/>
  <c r="AU16" i="24"/>
  <c r="AU20" i="24"/>
  <c r="AT16" i="24"/>
  <c r="AT18" i="24"/>
  <c r="AS16" i="24"/>
  <c r="AR16" i="24"/>
  <c r="AR19" i="24"/>
  <c r="BA10" i="24"/>
  <c r="AZ10" i="24"/>
  <c r="AY10" i="24"/>
  <c r="AX10" i="24"/>
  <c r="AW10" i="24"/>
  <c r="AV10" i="24"/>
  <c r="AU10" i="24"/>
  <c r="AT10" i="24"/>
  <c r="AS10" i="24"/>
  <c r="AR10" i="24"/>
  <c r="BB4" i="24"/>
  <c r="BB7" i="24"/>
  <c r="BA4" i="24"/>
  <c r="BA8" i="24"/>
  <c r="AZ4" i="24"/>
  <c r="AZ5" i="24"/>
  <c r="AY4" i="24"/>
  <c r="AY5" i="24"/>
  <c r="AX4" i="24"/>
  <c r="AX5" i="24"/>
  <c r="AW4" i="24"/>
  <c r="AW5" i="24"/>
  <c r="AV4" i="24"/>
  <c r="AV5" i="24"/>
  <c r="AU4" i="24"/>
  <c r="AU5" i="24"/>
  <c r="AT4" i="24"/>
  <c r="AT6" i="24"/>
  <c r="AS4" i="24"/>
  <c r="AS6" i="24"/>
  <c r="AR4" i="24"/>
  <c r="AR8" i="24"/>
  <c r="AY34" i="24"/>
  <c r="AU34" i="24"/>
  <c r="AV34" i="24"/>
  <c r="AX34" i="24"/>
  <c r="AT34" i="24"/>
  <c r="AW34" i="24"/>
  <c r="AS34" i="24"/>
  <c r="AZ34" i="24"/>
  <c r="AR38" i="24"/>
  <c r="AR32" i="24"/>
  <c r="AR34" i="24"/>
  <c r="BA34" i="24"/>
  <c r="BB20" i="24"/>
  <c r="BB34" i="24"/>
  <c r="BE5" i="24"/>
  <c r="AW21" i="24"/>
  <c r="AR11" i="24"/>
  <c r="AR13" i="24"/>
  <c r="AR12" i="24"/>
  <c r="AR15" i="24"/>
  <c r="AR40" i="24"/>
  <c r="AR14" i="24"/>
  <c r="AT14" i="24"/>
  <c r="AT13" i="24"/>
  <c r="AT40" i="24"/>
  <c r="AT12" i="24"/>
  <c r="AT15" i="24"/>
  <c r="AV14" i="24"/>
  <c r="AV40" i="24"/>
  <c r="AV12" i="24"/>
  <c r="AV15" i="24"/>
  <c r="AV13" i="24"/>
  <c r="AS11" i="24"/>
  <c r="AS13" i="24"/>
  <c r="AS40" i="24"/>
  <c r="AS14" i="24"/>
  <c r="AS12" i="24"/>
  <c r="AS15" i="24"/>
  <c r="AY12" i="24"/>
  <c r="AY13" i="24"/>
  <c r="AY14" i="24"/>
  <c r="AY15" i="24"/>
  <c r="AY40" i="24"/>
  <c r="AU40" i="24"/>
  <c r="AU12" i="24"/>
  <c r="AU14" i="24"/>
  <c r="AU13" i="24"/>
  <c r="AU15" i="24"/>
  <c r="AW12" i="24"/>
  <c r="AW15" i="24"/>
  <c r="AW40" i="24"/>
  <c r="AW14" i="24"/>
  <c r="AW13" i="24"/>
  <c r="AX12" i="24"/>
  <c r="AX13" i="24"/>
  <c r="AX15" i="24"/>
  <c r="AX40" i="24"/>
  <c r="AX14" i="24"/>
  <c r="AZ11" i="24"/>
  <c r="AZ14" i="24"/>
  <c r="AZ15" i="24"/>
  <c r="AZ13" i="24"/>
  <c r="AZ40" i="24"/>
  <c r="AZ12" i="24"/>
  <c r="BA15" i="24"/>
  <c r="BA13" i="24"/>
  <c r="BA40" i="24"/>
  <c r="BA12" i="24"/>
  <c r="BA14" i="24"/>
  <c r="BB24" i="24"/>
  <c r="BB40" i="24"/>
  <c r="BA38" i="24"/>
  <c r="AX21" i="24"/>
  <c r="AY19" i="24"/>
  <c r="AY17" i="24"/>
  <c r="AU36" i="24"/>
  <c r="AU18" i="24"/>
  <c r="AT27" i="24"/>
  <c r="AU17" i="24"/>
  <c r="AX6" i="24"/>
  <c r="BA7" i="24"/>
  <c r="AW18" i="24"/>
  <c r="AX18" i="24"/>
  <c r="BB33" i="24"/>
  <c r="AW6" i="24"/>
  <c r="AX9" i="24"/>
  <c r="AU6" i="24"/>
  <c r="AX7" i="24"/>
  <c r="AU27" i="24"/>
  <c r="AU19" i="24"/>
  <c r="AT36" i="24"/>
  <c r="AV17" i="24"/>
  <c r="BA37" i="24"/>
  <c r="AW7" i="24"/>
  <c r="AV18" i="24"/>
  <c r="AY18" i="24"/>
  <c r="AY9" i="24"/>
  <c r="AZ9" i="24"/>
  <c r="BB11" i="24"/>
  <c r="AX29" i="24"/>
  <c r="AY30" i="24"/>
  <c r="AU35" i="24"/>
  <c r="AX20" i="24"/>
  <c r="AU24" i="24"/>
  <c r="AR6" i="24"/>
  <c r="AY33" i="24"/>
  <c r="AY20" i="24"/>
  <c r="AT26" i="24"/>
  <c r="AU32" i="24"/>
  <c r="AT23" i="24"/>
  <c r="AU23" i="24"/>
  <c r="AV20" i="24"/>
  <c r="AU21" i="24"/>
  <c r="AU37" i="24"/>
  <c r="AT32" i="24"/>
  <c r="AT5" i="24"/>
  <c r="AR20" i="24"/>
  <c r="AT24" i="24"/>
  <c r="AV21" i="24"/>
  <c r="AZ20" i="24"/>
  <c r="AZ37" i="24"/>
  <c r="AV23" i="24"/>
  <c r="BB6" i="24"/>
  <c r="AY38" i="24"/>
  <c r="AX36" i="24"/>
  <c r="AX26" i="24"/>
  <c r="AY23" i="24"/>
  <c r="BA21" i="24"/>
  <c r="AU39" i="24"/>
  <c r="AU38" i="24"/>
  <c r="BA39" i="24"/>
  <c r="BB21" i="24"/>
  <c r="AX24" i="24"/>
  <c r="AX27" i="24"/>
  <c r="AT41" i="24"/>
  <c r="AZ19" i="24"/>
  <c r="AW25" i="24"/>
  <c r="BA17" i="24"/>
  <c r="AV26" i="24"/>
  <c r="AZ26" i="24"/>
  <c r="AS32" i="24"/>
  <c r="BA30" i="24"/>
  <c r="AU41" i="24"/>
  <c r="AZ25" i="24"/>
  <c r="AY37" i="24"/>
  <c r="BB17" i="24"/>
  <c r="AY26" i="24"/>
  <c r="AT39" i="24"/>
  <c r="AW8" i="24"/>
  <c r="AY24" i="24"/>
  <c r="AY27" i="24"/>
  <c r="AZ8" i="24"/>
  <c r="AU11" i="24"/>
  <c r="AZ24" i="24"/>
  <c r="AZ27" i="24"/>
  <c r="AT42" i="24"/>
  <c r="AX25" i="24"/>
  <c r="AZ38" i="24"/>
  <c r="AT11" i="24"/>
  <c r="AZ33" i="24"/>
  <c r="AU42" i="24"/>
  <c r="AV37" i="24"/>
  <c r="AW26" i="24"/>
  <c r="AT38" i="24"/>
  <c r="AR33" i="24"/>
  <c r="AT37" i="24"/>
  <c r="AW9" i="24"/>
  <c r="BA11" i="24"/>
  <c r="AX19" i="24"/>
  <c r="AU25" i="24"/>
  <c r="BA33" i="24"/>
  <c r="AR25" i="24"/>
  <c r="AR27" i="24"/>
  <c r="AR26" i="24"/>
  <c r="AR37" i="24"/>
  <c r="AR31" i="24"/>
  <c r="AR24" i="24"/>
  <c r="AR23" i="24"/>
  <c r="AR39" i="24"/>
  <c r="AV33" i="24"/>
  <c r="AV42" i="24"/>
  <c r="AV38" i="24"/>
  <c r="AV11" i="24"/>
  <c r="AV31" i="24"/>
  <c r="AV39" i="24"/>
  <c r="AV35" i="24"/>
  <c r="AV41" i="24"/>
  <c r="AV36" i="24"/>
  <c r="AV32" i="24"/>
  <c r="AS25" i="24"/>
  <c r="AS26" i="24"/>
  <c r="AS42" i="24"/>
  <c r="AS37" i="24"/>
  <c r="AS38" i="24"/>
  <c r="AS23" i="24"/>
  <c r="AS39" i="24"/>
  <c r="AS24" i="24"/>
  <c r="AS41" i="24"/>
  <c r="AW38" i="24"/>
  <c r="AW11" i="24"/>
  <c r="AW42" i="24"/>
  <c r="AW37" i="24"/>
  <c r="AW35" i="24"/>
  <c r="AW39" i="24"/>
  <c r="AW31" i="24"/>
  <c r="AW33" i="24"/>
  <c r="AW32" i="24"/>
  <c r="AW41" i="24"/>
  <c r="AW36" i="24"/>
  <c r="AY39" i="24"/>
  <c r="AY41" i="24"/>
  <c r="AY31" i="24"/>
  <c r="AY11" i="24"/>
  <c r="AU9" i="24"/>
  <c r="AU8" i="24"/>
  <c r="AY36" i="24"/>
  <c r="AS7" i="24"/>
  <c r="AS8" i="24"/>
  <c r="AS9" i="24"/>
  <c r="AS5" i="24"/>
  <c r="AZ39" i="24"/>
  <c r="AZ42" i="24"/>
  <c r="AZ32" i="24"/>
  <c r="AZ36" i="24"/>
  <c r="AT7" i="24"/>
  <c r="AT9" i="24"/>
  <c r="AT8" i="24"/>
  <c r="AV9" i="24"/>
  <c r="AV8" i="24"/>
  <c r="AV7" i="24"/>
  <c r="AV6" i="24"/>
  <c r="AR18" i="24"/>
  <c r="AR17" i="24"/>
  <c r="AR35" i="24"/>
  <c r="BA23" i="24"/>
  <c r="BA26" i="24"/>
  <c r="BA25" i="24"/>
  <c r="BA24" i="24"/>
  <c r="BA41" i="24"/>
  <c r="BA27" i="24"/>
  <c r="AX42" i="24"/>
  <c r="AX37" i="24"/>
  <c r="AX39" i="24"/>
  <c r="AX35" i="24"/>
  <c r="AX41" i="24"/>
  <c r="AX33" i="24"/>
  <c r="AX31" i="24"/>
  <c r="AX11" i="24"/>
  <c r="AT19" i="24"/>
  <c r="AT17" i="24"/>
  <c r="AT35" i="24"/>
  <c r="AT33" i="24"/>
  <c r="AT21" i="24"/>
  <c r="AT31" i="24"/>
  <c r="AY32" i="24"/>
  <c r="AZ7" i="24"/>
  <c r="AZ6" i="24"/>
  <c r="AZ41" i="24"/>
  <c r="BA9" i="24"/>
  <c r="BA6" i="24"/>
  <c r="BA5" i="24"/>
  <c r="AR21" i="24"/>
  <c r="AR9" i="24"/>
  <c r="AR5" i="24"/>
  <c r="AS19" i="24"/>
  <c r="AS18" i="24"/>
  <c r="AS17" i="24"/>
  <c r="AS21" i="24"/>
  <c r="AS35" i="24"/>
  <c r="AS33" i="24"/>
  <c r="BB25" i="24"/>
  <c r="BB37" i="24"/>
  <c r="BB38" i="24"/>
  <c r="BB27" i="24"/>
  <c r="BB41" i="24"/>
  <c r="BB26" i="24"/>
  <c r="AX32" i="24"/>
  <c r="BB9" i="24"/>
  <c r="BB5" i="24"/>
  <c r="AZ29" i="24"/>
  <c r="AZ30" i="24"/>
  <c r="AY35" i="24"/>
  <c r="AS20" i="24"/>
  <c r="BB23" i="24"/>
  <c r="AZ31" i="24"/>
  <c r="AZ35" i="24"/>
  <c r="BA42" i="24"/>
  <c r="AR7" i="24"/>
  <c r="BA18" i="24"/>
  <c r="BA19" i="24"/>
  <c r="AT20" i="24"/>
  <c r="BA31" i="24"/>
  <c r="BA35" i="24"/>
  <c r="BB42" i="24"/>
  <c r="AS31" i="24"/>
  <c r="AY42" i="24"/>
  <c r="BB8" i="24"/>
  <c r="AU7" i="24"/>
  <c r="BB32" i="24"/>
  <c r="BB35" i="24"/>
  <c r="BB19" i="24"/>
  <c r="BB18" i="24"/>
  <c r="BB31" i="24"/>
  <c r="AX38" i="24"/>
  <c r="BA36" i="24"/>
  <c r="BB36" i="24"/>
  <c r="BB39" i="24"/>
  <c r="AR42" i="24"/>
  <c r="AY8" i="24"/>
  <c r="AY6" i="24"/>
  <c r="BA32" i="24"/>
  <c r="AV24" i="24"/>
  <c r="AV27" i="24"/>
  <c r="AY7" i="24"/>
  <c r="AW24" i="24"/>
  <c r="AW27" i="24"/>
  <c r="AW20" i="24"/>
  <c r="AW17" i="24"/>
  <c r="AR36" i="24"/>
  <c r="AS36" i="24"/>
  <c r="AZ21" i="24"/>
  <c r="AZ18" i="24"/>
  <c r="AR41" i="24"/>
  <c r="AU31" i="24"/>
  <c r="AU33" i="24"/>
  <c r="AX8" i="24"/>
  <c r="BE35" i="24"/>
  <c r="BE8" i="24"/>
  <c r="BE38" i="24"/>
  <c r="BE32" i="24"/>
  <c r="AQ692" i="23"/>
  <c r="AQ691" i="23"/>
  <c r="AQ690" i="23"/>
  <c r="AQ689" i="23"/>
  <c r="AQ688" i="23"/>
  <c r="AQ687" i="23"/>
  <c r="AQ686" i="23"/>
  <c r="AQ685" i="23"/>
  <c r="AQ684" i="23"/>
  <c r="AQ683" i="23"/>
  <c r="AQ682" i="23"/>
  <c r="AQ681" i="23"/>
  <c r="AQ680" i="23"/>
  <c r="AQ679" i="23"/>
  <c r="AQ678" i="23"/>
  <c r="AQ677" i="23"/>
  <c r="AQ676" i="23"/>
  <c r="AQ675" i="23"/>
  <c r="AQ674" i="23"/>
  <c r="AQ673" i="23"/>
  <c r="AQ672" i="23"/>
  <c r="AQ671" i="23"/>
  <c r="AQ670" i="23"/>
  <c r="AQ669" i="23"/>
  <c r="AQ668" i="23"/>
  <c r="AQ667" i="23"/>
  <c r="AQ666" i="23"/>
  <c r="AQ665" i="23"/>
  <c r="AQ664" i="23"/>
  <c r="AQ663" i="23"/>
  <c r="AQ662" i="23"/>
  <c r="AQ661" i="23"/>
  <c r="AQ660" i="23"/>
  <c r="AQ659" i="23"/>
  <c r="AQ658" i="23"/>
  <c r="AQ657" i="23"/>
  <c r="AQ656" i="23"/>
  <c r="AQ655" i="23"/>
  <c r="AQ654" i="23"/>
  <c r="AQ653" i="23"/>
  <c r="AQ652" i="23"/>
  <c r="AQ651" i="23"/>
  <c r="AQ650" i="23"/>
  <c r="AQ649" i="23"/>
  <c r="AQ648" i="23"/>
  <c r="AQ647" i="23"/>
  <c r="AQ646" i="23"/>
  <c r="AQ645" i="23"/>
  <c r="AQ644" i="23"/>
  <c r="AQ643" i="23"/>
  <c r="AQ642" i="23"/>
  <c r="AQ641" i="23"/>
  <c r="AQ640" i="23"/>
  <c r="AQ639" i="23"/>
  <c r="AQ638" i="23"/>
  <c r="AQ637" i="23"/>
  <c r="AQ636" i="23"/>
  <c r="AQ635" i="23"/>
  <c r="AQ634" i="23"/>
  <c r="AQ633" i="23"/>
  <c r="AQ632" i="23"/>
  <c r="AQ631" i="23"/>
  <c r="AQ630" i="23"/>
  <c r="AQ629" i="23"/>
  <c r="AQ628" i="23"/>
  <c r="AQ627" i="23"/>
  <c r="AQ626" i="23"/>
  <c r="AQ625" i="23"/>
  <c r="AQ624" i="23"/>
  <c r="AQ623" i="23"/>
  <c r="AQ622" i="23"/>
  <c r="AQ621" i="23"/>
  <c r="AQ620" i="23"/>
  <c r="AQ619" i="23"/>
  <c r="AQ618" i="23"/>
  <c r="AQ617" i="23"/>
  <c r="AQ616" i="23"/>
  <c r="AQ615" i="23"/>
  <c r="AQ614" i="23"/>
  <c r="AQ613" i="23"/>
  <c r="AQ612" i="23"/>
  <c r="AQ611" i="23"/>
  <c r="AQ610" i="23"/>
  <c r="AQ609" i="23"/>
  <c r="AQ608" i="23"/>
  <c r="AQ607" i="23"/>
  <c r="AQ606" i="23"/>
  <c r="AQ605" i="23"/>
  <c r="AQ604" i="23"/>
  <c r="AQ603" i="23"/>
  <c r="AQ602" i="23"/>
  <c r="AQ601" i="23"/>
  <c r="AQ600" i="23"/>
  <c r="AQ599" i="23"/>
  <c r="AQ598" i="23"/>
  <c r="AQ597" i="23"/>
  <c r="AQ596" i="23"/>
  <c r="AQ595" i="23"/>
  <c r="AQ594" i="23"/>
  <c r="AQ593" i="23"/>
  <c r="AQ592" i="23"/>
  <c r="AQ591" i="23"/>
  <c r="AQ590" i="23"/>
  <c r="AQ589" i="23"/>
  <c r="AQ588" i="23"/>
  <c r="AQ587" i="23"/>
  <c r="AQ586" i="23"/>
  <c r="AQ585" i="23"/>
  <c r="AQ584" i="23"/>
  <c r="AQ583" i="23"/>
  <c r="AQ582" i="23"/>
  <c r="AQ581" i="23"/>
  <c r="AQ580" i="23"/>
  <c r="AQ579" i="23"/>
  <c r="AQ578" i="23"/>
  <c r="AQ577" i="23"/>
  <c r="AQ576" i="23"/>
  <c r="AQ575" i="23"/>
  <c r="AQ574" i="23"/>
  <c r="AQ573" i="23"/>
  <c r="AQ572" i="23"/>
  <c r="AQ571" i="23"/>
  <c r="AQ570" i="23"/>
  <c r="AQ569" i="23"/>
  <c r="AQ568" i="23"/>
  <c r="AQ567" i="23"/>
  <c r="AQ566" i="23"/>
  <c r="AQ565" i="23"/>
  <c r="AQ564" i="23"/>
  <c r="AQ563" i="23"/>
  <c r="AQ562" i="23"/>
  <c r="AQ561" i="23"/>
  <c r="AQ560" i="23"/>
  <c r="AQ559" i="23"/>
  <c r="AQ558" i="23"/>
  <c r="AQ557" i="23"/>
  <c r="AQ556" i="23"/>
  <c r="AQ555" i="23"/>
  <c r="AQ554" i="23"/>
  <c r="AQ553" i="23"/>
  <c r="AQ552" i="23"/>
  <c r="AQ551" i="23"/>
  <c r="AQ550" i="23"/>
  <c r="AQ549" i="23"/>
  <c r="AQ548" i="23"/>
  <c r="AQ547" i="23"/>
  <c r="AQ546" i="23"/>
  <c r="AQ545" i="23"/>
  <c r="AQ544" i="23"/>
  <c r="AQ543" i="23"/>
  <c r="AQ542" i="23"/>
  <c r="AQ541" i="23"/>
  <c r="AQ540" i="23"/>
  <c r="AQ539" i="23"/>
  <c r="AQ538" i="23"/>
  <c r="AQ537" i="23"/>
  <c r="AQ536" i="23"/>
  <c r="AQ535" i="23"/>
  <c r="AQ534" i="23"/>
  <c r="AQ533" i="23"/>
  <c r="AQ532" i="23"/>
  <c r="AQ531" i="23"/>
  <c r="AQ530" i="23"/>
  <c r="AQ529" i="23"/>
  <c r="AQ528" i="23"/>
  <c r="AQ527" i="23"/>
  <c r="AQ526" i="23"/>
  <c r="AQ525" i="23"/>
  <c r="AQ524" i="23"/>
  <c r="AQ523" i="23"/>
  <c r="AQ522" i="23"/>
  <c r="AQ521" i="23"/>
  <c r="AQ520" i="23"/>
  <c r="AQ519" i="23"/>
  <c r="AQ518" i="23"/>
  <c r="AQ517" i="23"/>
  <c r="AQ516" i="23"/>
  <c r="AQ515" i="23"/>
  <c r="AQ514" i="23"/>
  <c r="AQ513" i="23"/>
  <c r="AQ512" i="23"/>
  <c r="AQ511" i="23"/>
  <c r="AQ510" i="23"/>
  <c r="AQ509" i="23"/>
  <c r="AQ508" i="23"/>
  <c r="AQ507" i="23"/>
  <c r="AQ506" i="23"/>
  <c r="AQ505" i="23"/>
  <c r="AQ504" i="23"/>
  <c r="AQ503" i="23"/>
  <c r="AQ502" i="23"/>
  <c r="AQ501" i="23"/>
  <c r="AQ500" i="23"/>
  <c r="AQ499" i="23"/>
  <c r="AQ498" i="23"/>
  <c r="AQ497" i="23"/>
  <c r="AQ496" i="23"/>
  <c r="AQ495" i="23"/>
  <c r="AQ494" i="23"/>
  <c r="AQ493" i="23"/>
  <c r="AQ492" i="23"/>
  <c r="AQ491" i="23"/>
  <c r="AQ490" i="23"/>
  <c r="AQ489" i="23"/>
  <c r="AQ488" i="23"/>
  <c r="AQ487" i="23"/>
  <c r="AQ486" i="23"/>
  <c r="AQ485" i="23"/>
  <c r="AQ484" i="23"/>
  <c r="AQ483" i="23"/>
  <c r="AQ482" i="23"/>
  <c r="AQ481" i="23"/>
  <c r="AQ480" i="23"/>
  <c r="AQ479" i="23"/>
  <c r="AQ478" i="23"/>
  <c r="AQ477" i="23"/>
  <c r="AQ476" i="23"/>
  <c r="AQ475" i="23"/>
  <c r="AQ474" i="23"/>
  <c r="AQ473" i="23"/>
  <c r="AQ472" i="23"/>
  <c r="AQ471" i="23"/>
  <c r="AQ470" i="23"/>
  <c r="AQ469" i="23"/>
  <c r="AQ468" i="23"/>
  <c r="AQ467" i="23"/>
  <c r="AQ466" i="23"/>
  <c r="AQ465" i="23"/>
  <c r="AQ464" i="23"/>
  <c r="AQ463" i="23"/>
  <c r="AQ462" i="23"/>
  <c r="AQ461" i="23"/>
  <c r="AQ460" i="23"/>
  <c r="AQ459" i="23"/>
  <c r="AQ458" i="23"/>
  <c r="AQ457" i="23"/>
  <c r="AQ456" i="23"/>
  <c r="AQ455" i="23"/>
  <c r="AQ454" i="23"/>
  <c r="AQ453" i="23"/>
  <c r="AQ452" i="23"/>
  <c r="AQ451" i="23"/>
  <c r="AQ450" i="23"/>
  <c r="AQ449" i="23"/>
  <c r="AQ448" i="23"/>
  <c r="AQ447" i="23"/>
  <c r="AQ446" i="23"/>
  <c r="AQ445" i="23"/>
  <c r="AQ444" i="23"/>
  <c r="AQ443" i="23"/>
  <c r="AQ442" i="23"/>
  <c r="AQ441" i="23"/>
  <c r="AQ440" i="23"/>
  <c r="AQ439" i="23"/>
  <c r="AQ438" i="23"/>
  <c r="AQ437" i="23"/>
  <c r="AQ436" i="23"/>
  <c r="AQ435" i="23"/>
  <c r="AQ434" i="23"/>
  <c r="AQ433" i="23"/>
  <c r="AQ432" i="23"/>
  <c r="AQ431" i="23"/>
  <c r="AQ430" i="23"/>
  <c r="AQ429" i="23"/>
  <c r="AQ428" i="23"/>
  <c r="AQ427" i="23"/>
  <c r="AQ426" i="23"/>
  <c r="AQ425" i="23"/>
  <c r="AQ424" i="23"/>
  <c r="AQ423" i="23"/>
  <c r="AQ422" i="23"/>
  <c r="AQ421" i="23"/>
  <c r="AQ420" i="23"/>
  <c r="AQ419" i="23"/>
  <c r="AQ418" i="23"/>
  <c r="AQ417" i="23"/>
  <c r="AQ416" i="23"/>
  <c r="AQ415" i="23"/>
  <c r="AQ414" i="23"/>
  <c r="AQ413" i="23"/>
  <c r="AQ412" i="23"/>
  <c r="AQ411" i="23"/>
  <c r="AQ410" i="23"/>
  <c r="AQ409" i="23"/>
  <c r="AQ408" i="23"/>
  <c r="AQ407" i="23"/>
  <c r="AQ406" i="23"/>
  <c r="AQ405" i="23"/>
  <c r="AQ404" i="23"/>
  <c r="AQ403" i="23"/>
  <c r="AQ402" i="23"/>
  <c r="AQ401" i="23"/>
  <c r="AQ400" i="23"/>
  <c r="AQ399" i="23"/>
  <c r="AQ398" i="23"/>
  <c r="AQ397" i="23"/>
  <c r="AQ396" i="23"/>
  <c r="AQ395" i="23"/>
  <c r="AQ394" i="23"/>
  <c r="AQ393" i="23"/>
  <c r="AQ392" i="23"/>
  <c r="AQ391" i="23"/>
  <c r="AQ390" i="23"/>
  <c r="AQ389" i="23"/>
  <c r="AQ388" i="23"/>
  <c r="AQ387" i="23"/>
  <c r="AQ386" i="23"/>
  <c r="AQ385" i="23"/>
  <c r="AQ384" i="23"/>
  <c r="AQ383" i="23"/>
  <c r="AQ382" i="23"/>
  <c r="AQ381" i="23"/>
  <c r="AQ380" i="23"/>
  <c r="AQ379" i="23"/>
  <c r="AQ378" i="23"/>
  <c r="AQ377" i="23"/>
  <c r="AQ376" i="23"/>
  <c r="AQ375" i="23"/>
  <c r="AQ374" i="23"/>
  <c r="AQ373" i="23"/>
  <c r="AQ372" i="23"/>
  <c r="AQ371" i="23"/>
  <c r="AQ370" i="23"/>
  <c r="AQ369" i="23"/>
  <c r="AQ368" i="23"/>
  <c r="AQ367" i="23"/>
  <c r="AQ366" i="23"/>
  <c r="AQ365" i="23"/>
  <c r="AQ364" i="23"/>
  <c r="AQ363" i="23"/>
  <c r="AQ362" i="23"/>
  <c r="AQ361" i="23"/>
  <c r="AQ360" i="23"/>
  <c r="AQ359" i="23"/>
  <c r="AQ358" i="23"/>
  <c r="AQ357" i="23"/>
  <c r="AQ356" i="23"/>
  <c r="AQ355" i="23"/>
  <c r="AQ354" i="23"/>
  <c r="AQ353" i="23"/>
  <c r="AQ352" i="23"/>
  <c r="AQ351" i="23"/>
  <c r="AQ350" i="23"/>
  <c r="AQ349" i="23"/>
  <c r="AQ348" i="23"/>
  <c r="AQ347" i="23"/>
  <c r="AQ346" i="23"/>
  <c r="AQ345" i="23"/>
  <c r="AQ344" i="23"/>
  <c r="AQ343" i="23"/>
  <c r="AQ342" i="23"/>
  <c r="AQ341" i="23"/>
  <c r="AQ340" i="23"/>
  <c r="AQ339" i="23"/>
  <c r="AQ338" i="23"/>
  <c r="AQ337" i="23"/>
  <c r="AQ336" i="23"/>
  <c r="AQ335" i="23"/>
  <c r="AQ334" i="23"/>
  <c r="AQ333" i="23"/>
  <c r="AQ332" i="23"/>
  <c r="AQ331" i="23"/>
  <c r="AQ330" i="23"/>
  <c r="AQ329" i="23"/>
  <c r="AQ328" i="23"/>
  <c r="AQ327" i="23"/>
  <c r="AQ326" i="23"/>
  <c r="AQ325" i="23"/>
  <c r="AQ324" i="23"/>
  <c r="AQ323" i="23"/>
  <c r="AQ322" i="23"/>
  <c r="AQ321" i="23"/>
  <c r="AQ320" i="23"/>
  <c r="AQ319" i="23"/>
  <c r="AQ318" i="23"/>
  <c r="AQ317" i="23"/>
  <c r="AQ316" i="23"/>
  <c r="AQ315" i="23"/>
  <c r="AQ314" i="23"/>
  <c r="AQ313" i="23"/>
  <c r="AQ312" i="23"/>
  <c r="AQ311" i="23"/>
  <c r="AQ310" i="23"/>
  <c r="AQ309" i="23"/>
  <c r="AQ308" i="23"/>
  <c r="AQ307" i="23"/>
  <c r="AQ306" i="23"/>
  <c r="AQ305" i="23"/>
  <c r="AQ304" i="23"/>
  <c r="AQ303" i="23"/>
  <c r="AQ302" i="23"/>
  <c r="AQ301" i="23"/>
  <c r="AQ300" i="23"/>
  <c r="AQ299" i="23"/>
  <c r="AQ298" i="23"/>
  <c r="AQ297" i="23"/>
  <c r="AQ296" i="23"/>
  <c r="AQ295" i="23"/>
  <c r="AQ294" i="23"/>
  <c r="AQ293" i="23"/>
  <c r="AQ292" i="23"/>
  <c r="AQ291" i="23"/>
  <c r="AQ290" i="23"/>
  <c r="AQ289" i="23"/>
  <c r="AQ288" i="23"/>
  <c r="AQ287" i="23"/>
  <c r="AQ286" i="23"/>
  <c r="AQ285" i="23"/>
  <c r="AQ284" i="23"/>
  <c r="AQ283" i="23"/>
  <c r="AQ282" i="23"/>
  <c r="AQ281" i="23"/>
  <c r="AQ280" i="23"/>
  <c r="AQ279" i="23"/>
  <c r="AQ278" i="23"/>
  <c r="AQ277" i="23"/>
  <c r="AQ276" i="23"/>
  <c r="AQ275" i="23"/>
  <c r="AQ274" i="23"/>
  <c r="AQ273" i="23"/>
  <c r="AQ272" i="23"/>
  <c r="AQ271" i="23"/>
  <c r="AQ270" i="23"/>
  <c r="AQ269" i="23"/>
  <c r="AQ268" i="23"/>
  <c r="AQ267" i="23"/>
  <c r="AQ266" i="23"/>
  <c r="AQ265" i="23"/>
  <c r="AQ264" i="23"/>
  <c r="AQ263" i="23"/>
  <c r="AQ262" i="23"/>
  <c r="AQ261" i="23"/>
  <c r="AQ260" i="23"/>
  <c r="AQ259" i="23"/>
  <c r="AQ258" i="23"/>
  <c r="AQ257" i="23"/>
  <c r="AQ256" i="23"/>
  <c r="AQ255" i="23"/>
  <c r="AQ254" i="23"/>
  <c r="AQ253" i="23"/>
  <c r="AQ252" i="23"/>
  <c r="AQ251" i="23"/>
  <c r="AQ250" i="23"/>
  <c r="AQ249" i="23"/>
  <c r="AQ248" i="23"/>
  <c r="AQ247" i="23"/>
  <c r="AQ246" i="23"/>
  <c r="AQ245" i="23"/>
  <c r="AQ244" i="23"/>
  <c r="AQ243" i="23"/>
  <c r="AQ242" i="23"/>
  <c r="AQ241" i="23"/>
  <c r="AQ240" i="23"/>
  <c r="AQ239" i="23"/>
  <c r="AQ238" i="23"/>
  <c r="AQ237" i="23"/>
  <c r="AQ236" i="23"/>
  <c r="AQ235" i="23"/>
  <c r="AQ234" i="23"/>
  <c r="AQ233" i="23"/>
  <c r="AQ232" i="23"/>
  <c r="AQ231" i="23"/>
  <c r="AQ230" i="23"/>
  <c r="AQ229" i="23"/>
  <c r="AQ228" i="23"/>
  <c r="AQ227" i="23"/>
  <c r="AQ226" i="23"/>
  <c r="AQ225" i="23"/>
  <c r="AQ224" i="23"/>
  <c r="AQ223" i="23"/>
  <c r="AQ222" i="23"/>
  <c r="AQ221" i="23"/>
  <c r="AQ220" i="23"/>
  <c r="AQ219" i="23"/>
  <c r="AQ218" i="23"/>
  <c r="AQ217" i="23"/>
  <c r="AQ216" i="23"/>
  <c r="AQ215" i="23"/>
  <c r="AQ214" i="23"/>
  <c r="AQ213" i="23"/>
  <c r="AQ212" i="23"/>
  <c r="AQ211" i="23"/>
  <c r="AQ210" i="23"/>
  <c r="AQ209" i="23"/>
  <c r="AQ208" i="23"/>
  <c r="AQ207" i="23"/>
  <c r="AQ206" i="23"/>
  <c r="AQ205" i="23"/>
  <c r="AQ204" i="23"/>
  <c r="AQ203" i="23"/>
  <c r="AQ202" i="23"/>
  <c r="AQ201" i="23"/>
  <c r="AQ200" i="23"/>
  <c r="AQ199" i="23"/>
  <c r="AQ198" i="23"/>
  <c r="AQ197" i="23"/>
  <c r="AQ196" i="23"/>
  <c r="AQ195" i="23"/>
  <c r="AQ194" i="23"/>
  <c r="AQ193" i="23"/>
  <c r="AQ192" i="23"/>
  <c r="AQ191" i="23"/>
  <c r="AQ190" i="23"/>
  <c r="AQ189" i="23"/>
  <c r="AQ188" i="23"/>
  <c r="AQ187" i="23"/>
  <c r="AQ186" i="23"/>
  <c r="AQ185" i="23"/>
  <c r="AQ184" i="23"/>
  <c r="AQ183" i="23"/>
  <c r="AQ182" i="23"/>
  <c r="AQ181" i="23"/>
  <c r="AQ180" i="23"/>
  <c r="AQ179" i="23"/>
  <c r="AQ178" i="23"/>
  <c r="AQ177" i="23"/>
  <c r="AQ176" i="23"/>
  <c r="AQ175" i="23"/>
  <c r="AQ174" i="23"/>
  <c r="AQ173" i="23"/>
  <c r="AQ172" i="23"/>
  <c r="AQ171" i="23"/>
  <c r="AQ170" i="23"/>
  <c r="AQ169" i="23"/>
  <c r="AQ168" i="23"/>
  <c r="AQ167" i="23"/>
  <c r="AQ166" i="23"/>
  <c r="AQ165" i="23"/>
  <c r="AQ164" i="23"/>
  <c r="AQ163" i="23"/>
  <c r="AQ162" i="23"/>
  <c r="AQ161" i="23"/>
  <c r="AQ160" i="23"/>
  <c r="AQ159" i="23"/>
  <c r="AQ158" i="23"/>
  <c r="AQ157" i="23"/>
  <c r="AQ156" i="23"/>
  <c r="AQ155" i="23"/>
  <c r="AQ154" i="23"/>
  <c r="AQ153" i="23"/>
  <c r="AQ152" i="23"/>
  <c r="AQ151" i="23"/>
  <c r="AQ150" i="23"/>
  <c r="AQ149" i="23"/>
  <c r="AQ148" i="23"/>
  <c r="AQ147" i="23"/>
  <c r="AQ146" i="23"/>
  <c r="AQ145" i="23"/>
  <c r="AQ144" i="23"/>
  <c r="AQ143" i="23"/>
  <c r="AQ142" i="23"/>
  <c r="AQ141" i="23"/>
  <c r="AQ140" i="23"/>
  <c r="AQ139" i="23"/>
  <c r="AQ138" i="23"/>
  <c r="AQ137" i="23"/>
  <c r="AQ136" i="23"/>
  <c r="AQ135" i="23"/>
  <c r="AQ134" i="23"/>
  <c r="AQ133" i="23"/>
  <c r="AQ132" i="23"/>
  <c r="AQ131" i="23"/>
  <c r="AQ130" i="23"/>
  <c r="AQ129" i="23"/>
  <c r="AQ128" i="23"/>
  <c r="AQ127" i="23"/>
  <c r="AQ126" i="23"/>
  <c r="AQ125" i="23"/>
  <c r="AQ124" i="23"/>
  <c r="AQ123" i="23"/>
  <c r="AQ122" i="23"/>
  <c r="AQ121" i="23"/>
  <c r="AQ120" i="23"/>
  <c r="AQ119" i="23"/>
  <c r="AQ118" i="23"/>
  <c r="AQ117" i="23"/>
  <c r="AQ116" i="23"/>
  <c r="AQ115" i="23"/>
  <c r="AQ114" i="23"/>
  <c r="AQ113" i="23"/>
  <c r="AQ112" i="23"/>
  <c r="AQ111" i="23"/>
  <c r="AQ110" i="23"/>
  <c r="AQ109" i="23"/>
  <c r="AQ108" i="23"/>
  <c r="AQ107" i="23"/>
  <c r="AQ106" i="23"/>
  <c r="AQ105" i="23"/>
  <c r="AQ104" i="23"/>
  <c r="AQ103" i="23"/>
  <c r="AQ102" i="23"/>
  <c r="AQ101" i="23"/>
  <c r="AQ100" i="23"/>
  <c r="AQ99" i="23"/>
  <c r="AQ98" i="23"/>
  <c r="AQ97" i="23"/>
  <c r="AQ96" i="23"/>
  <c r="AQ95" i="23"/>
  <c r="AQ94" i="23"/>
  <c r="AQ93" i="23"/>
  <c r="AQ92" i="23"/>
  <c r="AQ91" i="23"/>
  <c r="AQ90" i="23"/>
  <c r="AQ89" i="23"/>
  <c r="AQ88" i="23"/>
  <c r="AQ87" i="23"/>
  <c r="AQ86" i="23"/>
  <c r="AQ85" i="23"/>
  <c r="AQ84" i="23"/>
  <c r="AQ83" i="23"/>
  <c r="AQ82" i="23"/>
  <c r="AQ81" i="23"/>
  <c r="AQ80" i="23"/>
  <c r="AQ79" i="23"/>
  <c r="AQ78" i="23"/>
  <c r="AQ77" i="23"/>
  <c r="AQ76" i="23"/>
  <c r="AQ75" i="23"/>
  <c r="AQ74" i="23"/>
  <c r="AQ73" i="23"/>
  <c r="AQ72" i="23"/>
  <c r="AQ71" i="23"/>
  <c r="AQ70" i="23"/>
  <c r="AQ69" i="23"/>
  <c r="AQ68" i="23"/>
  <c r="AQ67" i="23"/>
  <c r="AQ66" i="23"/>
  <c r="AQ65" i="23"/>
  <c r="AQ64" i="23"/>
  <c r="AQ63" i="23"/>
  <c r="AQ62" i="23"/>
  <c r="AQ61" i="23"/>
  <c r="AQ60" i="23"/>
  <c r="AQ59" i="23"/>
  <c r="AQ58" i="23"/>
  <c r="AQ57" i="23"/>
  <c r="AQ56" i="23"/>
  <c r="AQ55" i="23"/>
  <c r="AQ54" i="23"/>
  <c r="AQ53" i="23"/>
  <c r="AQ52" i="23"/>
  <c r="AQ51" i="23"/>
  <c r="AQ50" i="23"/>
  <c r="AQ49" i="23"/>
  <c r="AQ48" i="23"/>
  <c r="AQ47" i="23"/>
  <c r="AQ46" i="23"/>
  <c r="AQ45" i="23"/>
  <c r="AQ44" i="23"/>
  <c r="AQ43" i="23"/>
  <c r="AQ42" i="23"/>
  <c r="AQ41" i="23"/>
  <c r="AQ40" i="23"/>
  <c r="AQ39" i="23"/>
  <c r="AQ38" i="23"/>
  <c r="AQ37" i="23"/>
  <c r="AQ36" i="23"/>
  <c r="AQ35" i="23"/>
  <c r="AQ34" i="23"/>
  <c r="AQ33" i="23"/>
  <c r="AQ32" i="23"/>
  <c r="AQ31" i="23"/>
  <c r="AQ30" i="23"/>
  <c r="AQ29" i="23"/>
  <c r="AQ28" i="23"/>
  <c r="AQ27" i="23"/>
  <c r="AQ26" i="23"/>
  <c r="AQ25" i="23"/>
  <c r="AQ24" i="23"/>
  <c r="AQ23" i="23"/>
  <c r="AQ22" i="23"/>
  <c r="AQ21" i="23"/>
  <c r="AQ20" i="23"/>
  <c r="AQ19" i="23"/>
  <c r="AQ18" i="23"/>
  <c r="AQ17" i="23"/>
  <c r="AQ16" i="23"/>
  <c r="AQ15" i="23"/>
  <c r="AQ14" i="23"/>
  <c r="AQ13" i="23"/>
  <c r="AQ12" i="23"/>
  <c r="AQ11" i="23"/>
  <c r="AQ10" i="23"/>
  <c r="AQ9" i="23"/>
  <c r="AQ8" i="23"/>
  <c r="AQ7" i="23"/>
  <c r="AQ6" i="23"/>
  <c r="AQ5" i="23"/>
  <c r="AQ4" i="23"/>
  <c r="AQ3" i="23"/>
  <c r="G6" i="12"/>
  <c r="G5" i="12"/>
  <c r="G4" i="12"/>
  <c r="G13" i="12"/>
  <c r="G19" i="12"/>
  <c r="G12" i="12"/>
  <c r="BB54" i="3"/>
  <c r="BB53" i="3"/>
  <c r="BB52" i="3"/>
  <c r="BB51" i="3"/>
  <c r="BB50" i="3"/>
  <c r="BB49" i="3"/>
  <c r="AN7" i="23"/>
  <c r="AN764" i="23"/>
  <c r="AN731" i="23"/>
  <c r="AN668" i="23"/>
  <c r="AN466" i="23"/>
  <c r="AN433" i="23"/>
  <c r="AN404" i="23"/>
  <c r="AN369" i="23"/>
  <c r="AN333" i="23"/>
  <c r="AN305" i="23"/>
  <c r="AN239" i="23"/>
  <c r="AN59" i="23"/>
  <c r="AN852" i="23"/>
  <c r="AN608" i="23"/>
  <c r="AN480" i="23"/>
  <c r="AN151" i="23"/>
  <c r="AN70" i="23"/>
  <c r="AN844" i="23"/>
  <c r="AN762" i="23"/>
  <c r="AN667" i="23"/>
  <c r="AN630" i="23"/>
  <c r="AN594" i="23"/>
  <c r="AN535" i="23"/>
  <c r="AN465" i="23"/>
  <c r="AN332" i="23"/>
  <c r="AN265" i="23"/>
  <c r="AN237" i="23"/>
  <c r="AN58" i="23"/>
  <c r="AN479" i="23"/>
  <c r="AN359" i="23"/>
  <c r="AN150" i="23"/>
  <c r="AN801" i="23"/>
  <c r="AN760" i="23"/>
  <c r="AN593" i="23"/>
  <c r="AN533" i="23"/>
  <c r="AN494" i="23"/>
  <c r="AN331" i="23"/>
  <c r="AN302" i="23"/>
  <c r="AN166" i="23"/>
  <c r="AN93" i="23"/>
  <c r="AN57" i="23"/>
  <c r="AN841" i="23"/>
  <c r="AN357" i="23"/>
  <c r="AN225" i="23"/>
  <c r="AN149" i="23"/>
  <c r="AN68" i="23"/>
  <c r="AN626" i="23"/>
  <c r="AN425" i="23"/>
  <c r="AN365" i="23"/>
  <c r="AN330" i="23"/>
  <c r="AN301" i="23"/>
  <c r="AN200" i="23"/>
  <c r="AN165" i="23"/>
  <c r="AN840" i="23"/>
  <c r="AN560" i="23"/>
  <c r="AN352" i="23"/>
  <c r="AN66" i="23"/>
  <c r="AN757" i="23"/>
  <c r="AN727" i="23"/>
  <c r="AN654" i="23"/>
  <c r="AN625" i="23"/>
  <c r="AN565" i="23"/>
  <c r="AN364" i="23"/>
  <c r="AN233" i="23"/>
  <c r="AN89" i="23"/>
  <c r="AN712" i="23"/>
  <c r="AN559" i="23"/>
  <c r="AN141" i="23"/>
  <c r="AN61" i="23"/>
  <c r="AN872" i="23"/>
  <c r="AN726" i="23"/>
  <c r="AN691" i="23"/>
  <c r="AN653" i="23"/>
  <c r="AN590" i="23"/>
  <c r="AN564" i="23"/>
  <c r="AN491" i="23"/>
  <c r="AN422" i="23"/>
  <c r="AN195" i="23"/>
  <c r="AN54" i="23"/>
  <c r="AN222" i="23"/>
  <c r="AN793" i="23"/>
  <c r="AN690" i="23"/>
  <c r="AN558" i="23"/>
  <c r="AN518" i="23"/>
  <c r="AN490" i="23"/>
  <c r="AN420" i="23"/>
  <c r="AN393" i="23"/>
  <c r="AN355" i="23"/>
  <c r="AN325" i="23"/>
  <c r="AN255" i="23"/>
  <c r="AN194" i="23"/>
  <c r="AN162" i="23"/>
  <c r="AN122" i="23"/>
  <c r="AN85" i="23"/>
  <c r="AN53" i="23"/>
  <c r="AN24" i="23"/>
  <c r="AN830" i="23"/>
  <c r="AN322" i="23"/>
  <c r="AN869" i="23"/>
  <c r="AN827" i="23"/>
  <c r="AN790" i="23"/>
  <c r="AN753" i="23"/>
  <c r="AN724" i="23"/>
  <c r="AN650" i="23"/>
  <c r="AN587" i="23"/>
  <c r="AN555" i="23"/>
  <c r="AN489" i="23"/>
  <c r="AN452" i="23"/>
  <c r="AN230" i="23"/>
  <c r="AN193" i="23"/>
  <c r="AN48" i="23"/>
  <c r="AN23" i="23"/>
  <c r="AN829" i="23"/>
  <c r="AN682" i="23"/>
  <c r="AN220" i="23"/>
  <c r="AN867" i="23"/>
  <c r="AN789" i="23"/>
  <c r="AN752" i="23"/>
  <c r="AN723" i="23"/>
  <c r="AN685" i="23"/>
  <c r="AN649" i="23"/>
  <c r="AN617" i="23"/>
  <c r="AN586" i="23"/>
  <c r="AN554" i="23"/>
  <c r="AN391" i="23"/>
  <c r="AN253" i="23"/>
  <c r="AN83" i="23"/>
  <c r="AN47" i="23"/>
  <c r="AN18" i="23"/>
  <c r="AN828" i="23"/>
  <c r="AN666" i="23"/>
  <c r="AN295" i="23"/>
  <c r="AN865" i="23"/>
  <c r="AN585" i="23"/>
  <c r="AN553" i="23"/>
  <c r="AN513" i="23"/>
  <c r="AN292" i="23"/>
  <c r="AN190" i="23"/>
  <c r="AN82" i="23"/>
  <c r="AN532" i="23"/>
  <c r="AN432" i="23"/>
  <c r="AN218" i="23"/>
  <c r="AN22" i="23"/>
  <c r="AN823" i="23"/>
  <c r="AN683" i="23"/>
  <c r="AN646" i="23"/>
  <c r="AN615" i="23"/>
  <c r="AN584" i="23"/>
  <c r="AN512" i="23"/>
  <c r="AN449" i="23"/>
  <c r="AN389" i="23"/>
  <c r="AN319" i="23"/>
  <c r="AN117" i="23"/>
  <c r="AN45" i="23"/>
  <c r="AN664" i="23"/>
  <c r="AN531" i="23"/>
  <c r="AN192" i="23"/>
  <c r="AN819" i="23"/>
  <c r="AN785" i="23"/>
  <c r="AN713" i="23"/>
  <c r="AN679" i="23"/>
  <c r="AN644" i="23"/>
  <c r="AN583" i="23"/>
  <c r="AN511" i="23"/>
  <c r="AN445" i="23"/>
  <c r="AN347" i="23"/>
  <c r="AN213" i="23"/>
  <c r="AN188" i="23"/>
  <c r="AN153" i="23"/>
  <c r="AN115" i="23"/>
  <c r="AN13" i="23"/>
  <c r="AN530" i="23"/>
  <c r="AN430" i="23"/>
  <c r="AN99" i="23"/>
  <c r="AN6" i="23"/>
  <c r="AN859" i="23"/>
  <c r="AN815" i="23"/>
  <c r="AN784" i="23"/>
  <c r="AN677" i="23"/>
  <c r="AN613" i="23"/>
  <c r="AN582" i="23"/>
  <c r="AN546" i="23"/>
  <c r="AN444" i="23"/>
  <c r="AN248" i="23"/>
  <c r="AN187" i="23"/>
  <c r="AN148" i="23"/>
  <c r="AN12" i="23"/>
  <c r="AN429" i="23"/>
  <c r="AN783" i="23"/>
  <c r="AN675" i="23"/>
  <c r="AN606" i="23"/>
  <c r="AN581" i="23"/>
  <c r="AN504" i="23"/>
  <c r="AN443" i="23"/>
  <c r="AN386" i="23"/>
  <c r="AN211" i="23"/>
  <c r="AN112" i="23"/>
  <c r="AN11" i="23"/>
  <c r="AN381" i="23"/>
  <c r="AN4" i="23"/>
  <c r="AN812" i="23"/>
  <c r="AN705" i="23"/>
  <c r="AN674" i="23"/>
  <c r="AN639" i="23"/>
  <c r="AN473" i="23"/>
  <c r="AN411" i="23"/>
  <c r="AN313" i="23"/>
  <c r="AN284" i="23"/>
  <c r="AN111" i="23"/>
  <c r="AN10" i="23"/>
  <c r="AN641" i="23"/>
  <c r="AN380" i="23"/>
  <c r="AN175" i="23"/>
  <c r="AN92" i="23"/>
  <c r="AN811" i="23"/>
  <c r="AN740" i="23"/>
  <c r="AN638" i="23"/>
  <c r="AN579" i="23"/>
  <c r="AN501" i="23"/>
  <c r="AN384" i="23"/>
  <c r="AN283" i="23"/>
  <c r="AN144" i="23"/>
  <c r="AN73" i="23"/>
  <c r="AN37" i="23"/>
  <c r="AN172" i="23"/>
  <c r="AN91" i="23"/>
  <c r="AN855" i="23"/>
  <c r="AN810" i="23"/>
  <c r="AN773" i="23"/>
  <c r="AN739" i="23"/>
  <c r="AN635" i="23"/>
  <c r="AN471" i="23"/>
  <c r="AN409" i="23"/>
  <c r="AN382" i="23"/>
  <c r="AN311" i="23"/>
  <c r="AN143" i="23"/>
  <c r="AN106" i="23"/>
  <c r="AN35" i="23"/>
  <c r="AN8" i="23"/>
  <c r="AN619" i="23"/>
  <c r="AN520" i="23"/>
  <c r="AN271" i="23"/>
  <c r="AN170" i="23"/>
  <c r="AN809" i="23"/>
  <c r="AN768" i="23"/>
  <c r="AN700" i="23"/>
  <c r="AN634" i="23"/>
  <c r="AN539" i="23"/>
  <c r="AN470" i="23"/>
  <c r="AN408" i="23"/>
  <c r="AN338" i="23"/>
  <c r="AN274" i="23"/>
  <c r="AN243" i="23"/>
  <c r="AN142" i="23"/>
  <c r="AN65" i="23"/>
  <c r="AN612" i="23"/>
  <c r="AN169" i="23"/>
  <c r="AN849" i="23"/>
  <c r="AN808" i="23"/>
  <c r="AN766" i="23"/>
  <c r="AN733" i="23"/>
  <c r="AN699" i="23"/>
  <c r="AN670" i="23"/>
  <c r="AN633" i="23"/>
  <c r="AN538" i="23"/>
  <c r="AN498" i="23"/>
  <c r="AN469" i="23"/>
  <c r="AN435" i="23"/>
  <c r="AN407" i="23"/>
  <c r="AN309" i="23"/>
  <c r="AN242" i="23"/>
  <c r="AN173" i="23"/>
  <c r="AN139" i="23"/>
  <c r="AN33" i="23"/>
  <c r="AN611" i="23"/>
  <c r="AN372" i="23"/>
  <c r="AN765" i="23"/>
  <c r="AN732" i="23"/>
  <c r="AN537" i="23"/>
  <c r="AN434" i="23"/>
  <c r="AN405" i="23"/>
  <c r="AN335" i="23"/>
  <c r="AN267" i="23"/>
  <c r="AN240" i="23"/>
  <c r="AN171" i="23"/>
  <c r="AN138" i="23"/>
  <c r="AN853" i="23"/>
  <c r="AN609" i="23"/>
  <c r="AN268" i="23"/>
  <c r="AN71" i="23"/>
  <c r="AN692" i="23"/>
  <c r="AN339" i="23"/>
  <c r="AN180" i="23"/>
  <c r="AN72" i="23"/>
  <c r="AN28" i="23"/>
  <c r="AN754" i="23"/>
  <c r="AN297" i="23"/>
  <c r="AN259" i="23"/>
  <c r="AN657" i="23"/>
  <c r="AN472" i="23"/>
  <c r="AN19" i="23"/>
  <c r="AN223" i="23"/>
  <c r="AN126" i="23"/>
  <c r="AN448" i="23"/>
  <c r="AN387" i="23"/>
  <c r="AN77" i="23"/>
  <c r="AN402" i="23"/>
  <c r="AN156" i="23"/>
  <c r="AN556" i="23"/>
  <c r="AN816" i="23"/>
  <c r="AN806" i="23"/>
  <c r="AN506" i="23"/>
  <c r="AN751" i="23"/>
  <c r="AN129" i="23"/>
  <c r="AN857" i="23"/>
  <c r="AN123" i="23"/>
  <c r="AN745" i="23"/>
  <c r="AN392" i="23"/>
  <c r="AN249" i="23"/>
  <c r="AN74" i="23"/>
  <c r="AN813" i="23"/>
  <c r="AN655" i="23"/>
  <c r="AN324" i="23"/>
  <c r="AN711" i="23"/>
  <c r="AN528" i="23"/>
  <c r="AN20" i="23"/>
  <c r="AN820" i="23"/>
  <c r="AN802" i="23"/>
  <c r="AN503" i="23"/>
  <c r="AN367" i="23"/>
  <c r="AN803" i="23"/>
  <c r="AN468" i="23"/>
  <c r="AN834" i="23"/>
  <c r="AN158" i="23"/>
  <c r="AN46" i="23"/>
  <c r="AN637" i="23"/>
  <c r="AN687" i="23"/>
  <c r="AN116" i="23"/>
  <c r="AN238" i="23"/>
  <c r="AN818" i="23"/>
  <c r="AN5" i="23"/>
  <c r="AN750" i="23"/>
  <c r="AN152" i="23"/>
  <c r="AN272" i="23"/>
  <c r="AN578" i="23"/>
  <c r="AN60" i="23"/>
  <c r="AN360" i="23"/>
  <c r="AN125" i="23"/>
  <c r="AN29" i="23"/>
  <c r="AN374" i="23"/>
  <c r="AN769" i="23"/>
  <c r="AN291" i="23"/>
  <c r="AN621" i="23"/>
  <c r="AN688" i="23"/>
  <c r="AN366" i="23"/>
  <c r="AN118" i="23"/>
  <c r="AN864" i="23"/>
  <c r="AN304" i="23"/>
  <c r="AN25" i="23"/>
  <c r="AN385" i="23"/>
  <c r="AN631" i="23"/>
  <c r="AN552" i="23"/>
  <c r="AN419" i="23"/>
  <c r="AN189" i="23"/>
  <c r="AN135" i="23"/>
  <c r="AN88" i="23"/>
  <c r="AN90" i="23"/>
  <c r="AN350" i="23"/>
  <c r="AN571" i="23"/>
  <c r="AN328" i="23"/>
  <c r="AN160" i="23"/>
  <c r="AN206" i="23"/>
  <c r="AN543" i="23"/>
  <c r="AN368" i="23"/>
  <c r="AN102" i="23"/>
  <c r="AN866" i="23"/>
  <c r="AN481" i="23"/>
  <c r="AN706" i="23"/>
  <c r="AN94" i="23"/>
  <c r="AN648" i="23"/>
  <c r="AN436" i="23"/>
  <c r="AN317" i="23"/>
  <c r="AN707" i="23"/>
  <c r="AN737" i="23"/>
  <c r="AN642" i="23"/>
  <c r="AN358" i="23"/>
  <c r="AN320" i="23"/>
  <c r="AN104" i="23"/>
  <c r="AN715" i="23"/>
  <c r="AN856" i="23"/>
  <c r="AN119" i="23"/>
  <c r="AN536" i="23"/>
  <c r="AN577" i="23"/>
  <c r="AN836" i="23"/>
  <c r="AN671" i="23"/>
  <c r="AN231" i="23"/>
  <c r="AN672" i="23"/>
  <c r="AN570" i="23"/>
  <c r="AN551" i="23"/>
  <c r="AN735" i="23"/>
  <c r="AN620" i="23"/>
  <c r="AN343" i="23"/>
  <c r="AN703" i="23"/>
  <c r="AN241" i="23"/>
  <c r="AN288" i="23"/>
  <c r="AN266" i="23"/>
  <c r="AN847" i="23"/>
  <c r="AN502" i="23"/>
  <c r="AN182" i="23"/>
  <c r="AN474" i="23"/>
  <c r="AN154" i="23"/>
  <c r="AN277" i="23"/>
  <c r="AN782" i="23"/>
  <c r="AN234" i="23"/>
  <c r="AN718" i="23"/>
  <c r="AN780" i="23"/>
  <c r="AN130" i="23"/>
  <c r="AN64" i="23"/>
  <c r="AN344" i="23"/>
  <c r="AN824" i="23"/>
  <c r="AN75" i="23"/>
  <c r="AN191" i="23"/>
  <c r="AN49" i="23"/>
  <c r="AN652" i="23"/>
  <c r="AN730" i="23"/>
  <c r="AN787" i="23"/>
  <c r="AN403" i="23"/>
  <c r="AN701" i="23"/>
  <c r="AN427" i="23"/>
  <c r="AN774" i="23"/>
  <c r="AN861" i="23"/>
  <c r="AN826" i="23"/>
  <c r="AN316" i="23"/>
  <c r="AN557" i="23"/>
  <c r="AN186" i="23"/>
  <c r="AN377" i="23"/>
  <c r="AN736" i="23"/>
  <c r="AN839" i="23"/>
  <c r="AN279" i="23"/>
  <c r="AN250" i="23"/>
  <c r="AN44" i="23"/>
  <c r="AN544" i="23"/>
  <c r="AN96" i="23"/>
  <c r="AN132" i="23"/>
  <c r="AN254" i="23"/>
  <c r="AN629" i="23"/>
  <c r="AN709" i="23"/>
  <c r="AN838" i="23"/>
  <c r="AN848" i="23"/>
  <c r="AN34" i="23"/>
  <c r="AN140" i="23"/>
  <c r="AN329" i="23"/>
  <c r="AN229" i="23"/>
  <c r="AN214" i="23"/>
  <c r="AN108" i="23"/>
  <c r="AN756" i="23"/>
  <c r="AN86" i="23"/>
  <c r="AN361" i="23"/>
  <c r="AN686" i="23"/>
  <c r="AN678" i="23"/>
  <c r="AN9" i="23"/>
  <c r="AN349" i="23"/>
  <c r="AN219" i="23"/>
  <c r="AN742" i="23"/>
  <c r="AN390" i="23"/>
  <c r="AN212" i="23"/>
  <c r="AN493" i="23"/>
  <c r="AN438" i="23"/>
  <c r="AN441" i="23"/>
  <c r="AN114" i="23"/>
  <c r="AN510" i="23"/>
  <c r="AN327" i="23"/>
  <c r="AN748" i="23"/>
  <c r="AN401" i="23"/>
  <c r="AN340" i="23"/>
  <c r="AN262" i="23"/>
  <c r="AN561" i="23"/>
  <c r="AN134" i="23"/>
  <c r="AN514" i="23"/>
  <c r="AN396" i="23"/>
  <c r="AN697" i="23"/>
  <c r="AN643" i="23"/>
  <c r="AN738" i="23"/>
  <c r="AN439" i="23"/>
  <c r="AN835" i="23"/>
  <c r="AN792" i="23"/>
  <c r="AN98" i="23"/>
  <c r="AN519" i="23"/>
  <c r="AN155" i="23"/>
  <c r="AN759" i="23"/>
  <c r="AN464" i="23"/>
  <c r="AN185" i="23"/>
  <c r="AN252" i="23"/>
  <c r="AN312" i="23"/>
  <c r="AN109" i="23"/>
  <c r="AN755" i="23"/>
  <c r="AN205" i="23"/>
  <c r="AN207" i="23"/>
  <c r="AN52" i="23"/>
  <c r="AN591" i="23"/>
  <c r="AN660" i="23"/>
  <c r="AN463" i="23"/>
  <c r="AN622" i="23"/>
  <c r="AN103" i="23"/>
  <c r="AN308" i="23"/>
  <c r="AN226" i="23"/>
  <c r="AN346" i="23"/>
  <c r="AN356" i="23"/>
  <c r="AN406" i="23"/>
  <c r="AN397" i="23"/>
  <c r="AN51" i="23"/>
  <c r="AN499" i="23"/>
  <c r="AN610" i="23"/>
  <c r="AN264" i="23"/>
  <c r="AN245" i="23"/>
  <c r="AN698" i="23"/>
  <c r="AN527" i="23"/>
  <c r="AN179" i="23"/>
  <c r="AN665" i="23"/>
  <c r="AN251" i="23"/>
  <c r="AN310" i="23"/>
  <c r="AN370" i="23"/>
  <c r="AN289" i="23"/>
  <c r="AN451" i="23"/>
  <c r="AN269" i="23"/>
  <c r="AN632" i="23"/>
  <c r="AN680" i="23"/>
  <c r="AN21" i="23"/>
  <c r="AN300" i="23"/>
  <c r="AN42" i="23"/>
  <c r="AN286" i="23"/>
  <c r="AN776" i="23"/>
  <c r="AN421" i="23"/>
  <c r="AN786" i="23"/>
  <c r="AN426" i="23"/>
  <c r="AN457" i="23"/>
  <c r="AN204" i="23"/>
  <c r="AN524" i="23"/>
  <c r="AN689" i="23"/>
  <c r="AN485" i="23"/>
  <c r="AN124" i="23"/>
  <c r="AN825" i="23"/>
  <c r="AN418" i="23"/>
  <c r="AN669" i="23"/>
  <c r="AN605" i="23"/>
  <c r="AN614" i="23"/>
  <c r="AN293" i="23"/>
  <c r="AN850" i="23"/>
  <c r="AN353" i="23"/>
  <c r="AN572" i="23"/>
  <c r="AN800" i="23"/>
  <c r="AN547" i="23"/>
  <c r="AN362" i="23"/>
  <c r="AN588" i="23"/>
  <c r="AN746" i="23"/>
  <c r="AN314" i="23"/>
  <c r="AN814" i="23"/>
  <c r="AN456" i="23"/>
  <c r="AN107" i="23"/>
  <c r="AN741" i="23"/>
  <c r="AN127" i="23"/>
  <c r="AN388" i="23"/>
  <c r="AN575" i="23"/>
  <c r="AN870" i="23"/>
  <c r="AN247" i="23"/>
  <c r="AN522" i="23"/>
  <c r="AN157" i="23"/>
  <c r="AN164" i="23"/>
  <c r="AN599" i="23"/>
  <c r="AN775" i="23"/>
  <c r="AN779" i="23"/>
  <c r="AN781" i="23"/>
  <c r="AN475" i="23"/>
  <c r="AN488" i="23"/>
  <c r="AN795" i="23"/>
  <c r="AN43" i="23"/>
  <c r="AN348" i="23"/>
  <c r="AN846" i="23"/>
  <c r="AN15" i="23"/>
  <c r="AN201" i="23"/>
  <c r="AN282" i="23"/>
  <c r="AN78" i="23"/>
  <c r="AN778" i="23"/>
  <c r="AN459" i="23"/>
  <c r="AN84" i="23"/>
  <c r="AN273" i="23"/>
  <c r="AN27" i="23"/>
  <c r="AN492" i="23"/>
  <c r="AN725" i="23"/>
  <c r="AN728" i="23"/>
  <c r="AN729" i="23"/>
  <c r="AN412" i="23"/>
  <c r="AN417" i="23"/>
  <c r="AN624" i="23"/>
  <c r="AN3" i="23"/>
  <c r="AN563" i="23"/>
  <c r="AN720" i="23"/>
  <c r="AN822" i="23"/>
  <c r="AN454" i="23"/>
  <c r="AN80" i="23"/>
  <c r="AN797" i="23"/>
  <c r="AN287" i="23"/>
  <c r="AN758" i="23"/>
  <c r="AN515" i="23"/>
  <c r="AN545" i="23"/>
  <c r="AN708" i="23"/>
  <c r="AN257" i="23"/>
  <c r="AN450" i="23"/>
  <c r="AN589" i="23"/>
  <c r="AN600" i="23"/>
  <c r="AN623" i="23"/>
  <c r="AN121" i="23"/>
  <c r="AN315" i="23"/>
  <c r="AN26" i="23"/>
  <c r="AN276" i="23"/>
  <c r="AN334" i="23"/>
  <c r="AN566" i="23"/>
  <c r="AN198" i="23"/>
  <c r="AN440" i="23"/>
  <c r="AN573" i="23"/>
  <c r="AN719" i="23"/>
  <c r="AN14" i="23"/>
  <c r="AN661" i="23"/>
  <c r="AN246" i="23"/>
  <c r="AN303" i="23"/>
  <c r="AN862" i="23"/>
  <c r="AN507" i="23"/>
  <c r="AN695" i="23"/>
  <c r="AN798" i="23"/>
  <c r="AN95" i="23"/>
  <c r="AN604" i="23"/>
  <c r="AN318" i="23"/>
  <c r="AN509" i="23"/>
  <c r="AN749" i="23"/>
  <c r="AN747" i="23"/>
  <c r="AN601" i="23"/>
  <c r="AN307" i="23"/>
  <c r="AN794" i="23"/>
  <c r="AN516" i="23"/>
  <c r="AN446" i="23"/>
  <c r="AN437" i="23"/>
  <c r="AN483" i="23"/>
  <c r="AN562" i="23"/>
  <c r="AN476" i="23"/>
  <c r="AN354" i="23"/>
  <c r="AN574" i="23"/>
  <c r="AN521" i="23"/>
  <c r="AN569" i="23"/>
  <c r="AN529" i="23"/>
  <c r="AN567" i="23"/>
  <c r="AN413" i="23"/>
  <c r="AN306" i="23"/>
  <c r="AN863" i="23"/>
  <c r="AN224" i="23"/>
  <c r="AN833" i="23"/>
  <c r="AN371" i="23"/>
  <c r="AN618" i="23"/>
  <c r="AN299" i="23"/>
  <c r="AN67" i="23"/>
  <c r="AN275" i="23"/>
  <c r="AN174" i="23"/>
  <c r="AN477" i="23"/>
  <c r="AN178" i="23"/>
  <c r="AN395" i="23"/>
  <c r="AN659" i="23"/>
  <c r="AN379" i="23"/>
  <c r="AN97" i="23"/>
  <c r="AN460" i="23"/>
  <c r="AN30" i="23"/>
  <c r="AN497" i="23"/>
  <c r="AN673" i="23"/>
  <c r="AN788" i="23"/>
  <c r="AN598" i="23"/>
  <c r="AN663" i="23"/>
  <c r="AN181" i="23"/>
  <c r="AN868" i="23"/>
  <c r="AN767" i="23"/>
  <c r="AN821" i="23"/>
  <c r="AN603" i="23"/>
  <c r="AN431" i="23"/>
  <c r="AN845" i="23"/>
  <c r="AN227" i="23"/>
  <c r="AN323" i="23"/>
  <c r="AN341" i="23"/>
  <c r="AN217" i="23"/>
  <c r="AN210" i="23"/>
  <c r="AN17" i="23"/>
  <c r="AN363" i="23"/>
  <c r="AN383" i="23"/>
  <c r="AN482" i="23"/>
  <c r="AN69" i="23"/>
  <c r="AN298" i="23"/>
  <c r="AN221" i="23"/>
  <c r="AN548" i="23"/>
  <c r="AN244" i="23"/>
  <c r="AN336" i="23"/>
  <c r="AN56" i="23"/>
  <c r="AN76" i="23"/>
  <c r="AN568" i="23"/>
  <c r="AN658" i="23"/>
  <c r="AN183" i="23"/>
  <c r="AN261" i="23"/>
  <c r="AN423" i="23"/>
  <c r="AN854" i="23"/>
  <c r="AN576" i="23"/>
  <c r="AN694" i="23"/>
  <c r="AN734" i="23"/>
  <c r="AN16" i="23"/>
  <c r="AN278" i="23"/>
  <c r="AN696" i="23"/>
  <c r="AN505" i="23"/>
  <c r="AN791" i="23"/>
  <c r="AN681" i="23"/>
  <c r="AN596" i="23"/>
  <c r="AN447" i="23"/>
  <c r="AN36" i="23"/>
  <c r="AN871" i="23"/>
  <c r="AN337" i="23"/>
  <c r="AN342" i="23"/>
  <c r="AN799" i="23"/>
  <c r="AN197" i="23"/>
  <c r="AN549" i="23"/>
  <c r="AN453" i="23"/>
  <c r="AN351" i="23"/>
  <c r="AN50" i="23"/>
  <c r="AN100" i="23"/>
  <c r="AN216" i="23"/>
  <c r="AN133" i="23"/>
  <c r="AN693" i="23"/>
  <c r="AN281" i="23"/>
  <c r="AN163" i="23"/>
  <c r="AN550" i="23"/>
  <c r="AN228" i="23"/>
  <c r="AN128" i="23"/>
  <c r="AN721" i="23"/>
  <c r="AN415" i="23"/>
  <c r="AN716" i="23"/>
  <c r="AN484" i="23"/>
  <c r="AN744" i="23"/>
  <c r="AN184" i="23"/>
  <c r="AN496" i="23"/>
  <c r="AN616" i="23"/>
  <c r="AN717" i="23"/>
  <c r="AN63" i="23"/>
  <c r="AN743" i="23"/>
  <c r="AN461" i="23"/>
  <c r="AN628" i="23"/>
  <c r="AN467" i="23"/>
  <c r="AN39" i="23"/>
  <c r="AN777" i="23"/>
  <c r="AN167" i="23"/>
  <c r="AN831" i="23"/>
  <c r="AN607" i="23"/>
  <c r="AN684" i="23"/>
  <c r="AN38" i="23"/>
  <c r="AN398" i="23"/>
  <c r="AN837" i="23"/>
  <c r="AN235" i="23"/>
  <c r="AN771" i="23"/>
  <c r="AN500" i="23"/>
  <c r="AN424" i="23"/>
  <c r="AN580" i="23"/>
  <c r="AN294" i="23"/>
  <c r="AN860" i="23"/>
  <c r="AN263" i="23"/>
  <c r="AN763" i="23"/>
  <c r="AN147" i="23"/>
  <c r="AN378" i="23"/>
  <c r="AN110" i="23"/>
  <c r="AN702" i="23"/>
  <c r="AN636" i="23"/>
  <c r="AN478" i="23"/>
  <c r="AN209" i="23"/>
  <c r="AN772" i="23"/>
  <c r="AN526" i="23"/>
  <c r="AN176" i="23"/>
  <c r="AN232" i="23"/>
  <c r="AN159" i="23"/>
  <c r="AN832" i="23"/>
  <c r="AN843" i="23"/>
  <c r="AN462" i="23"/>
  <c r="AN656" i="23"/>
  <c r="AN376" i="23"/>
  <c r="AN602" i="23"/>
  <c r="AN196" i="23"/>
  <c r="AN208" i="23"/>
  <c r="AN400" i="23"/>
  <c r="AN676" i="23"/>
  <c r="AN113" i="23"/>
  <c r="AN487" i="23"/>
  <c r="AN145" i="23"/>
  <c r="AN804" i="23"/>
  <c r="AN495" i="23"/>
  <c r="AN416" i="23"/>
  <c r="AN442" i="23"/>
  <c r="AN542" i="23"/>
  <c r="AN640" i="23"/>
  <c r="AN842" i="23"/>
  <c r="AN627" i="23"/>
  <c r="AN62" i="23"/>
  <c r="AN414" i="23"/>
  <c r="AN817" i="23"/>
  <c r="AN32" i="23"/>
  <c r="AN541" i="23"/>
  <c r="AN645" i="23"/>
  <c r="AN858" i="23"/>
  <c r="AN215" i="23"/>
  <c r="AN525" i="23"/>
  <c r="AN137" i="23"/>
  <c r="AN710" i="23"/>
  <c r="AN851" i="23"/>
  <c r="AN410" i="23"/>
  <c r="AN260" i="23"/>
  <c r="AN55" i="23"/>
  <c r="AN592" i="23"/>
  <c r="AN31" i="23"/>
  <c r="AN321" i="23"/>
  <c r="AN428" i="23"/>
  <c r="AN41" i="23"/>
  <c r="AN714" i="23"/>
  <c r="AN236" i="23"/>
  <c r="AN796" i="23"/>
  <c r="AN394" i="23"/>
  <c r="AN280" i="23"/>
  <c r="AN399" i="23"/>
  <c r="AN285" i="23"/>
  <c r="AN270" i="23"/>
  <c r="AN345" i="23"/>
  <c r="AN805" i="23"/>
  <c r="AN651" i="23"/>
  <c r="AN136" i="23"/>
  <c r="AN373" i="23"/>
  <c r="AN647" i="23"/>
  <c r="AN508" i="23"/>
  <c r="AN177" i="23"/>
  <c r="AN595" i="23"/>
  <c r="AN597" i="23"/>
  <c r="AN375" i="23"/>
  <c r="AN290" i="23"/>
  <c r="AN87" i="23"/>
  <c r="AN761" i="23"/>
  <c r="AN455" i="23"/>
  <c r="AN256" i="23"/>
  <c r="AN81" i="23"/>
  <c r="AN101" i="23"/>
  <c r="AN517" i="23"/>
  <c r="AN770" i="23"/>
  <c r="AN131" i="23"/>
  <c r="AN704" i="23"/>
  <c r="AN458" i="23"/>
  <c r="AN199" i="23"/>
  <c r="AN807" i="23"/>
  <c r="AN534" i="23"/>
  <c r="AN662" i="23"/>
  <c r="AN161" i="23"/>
  <c r="AN326" i="23"/>
  <c r="AN146" i="23"/>
  <c r="AN120" i="23"/>
  <c r="AN79" i="23"/>
  <c r="AN168" i="23"/>
  <c r="AN258" i="23"/>
  <c r="AN540" i="23"/>
  <c r="AN523" i="23"/>
  <c r="AN40" i="23"/>
  <c r="AN722" i="23"/>
  <c r="AN296" i="23"/>
  <c r="AN202" i="23"/>
  <c r="AN486" i="23"/>
  <c r="AN203" i="23"/>
  <c r="AN105" i="23"/>
  <c r="G21" i="12"/>
  <c r="G18" i="12"/>
  <c r="G14" i="12"/>
  <c r="G20" i="12"/>
  <c r="R25" i="13"/>
  <c r="P25" i="13"/>
  <c r="Q25" i="13"/>
  <c r="P30" i="13"/>
  <c r="X158" i="15"/>
  <c r="V25" i="13"/>
  <c r="S25" i="13"/>
  <c r="P29" i="13"/>
  <c r="P28" i="13"/>
  <c r="G15" i="12"/>
  <c r="V11" i="16"/>
  <c r="V21" i="16"/>
  <c r="AA11" i="16"/>
  <c r="Q11" i="16"/>
  <c r="Q21" i="16"/>
  <c r="L11" i="16"/>
  <c r="L21" i="16"/>
  <c r="AO714" i="23"/>
  <c r="AO843" i="23"/>
  <c r="AO799" i="23"/>
  <c r="AO741" i="23"/>
  <c r="AR741" i="23"/>
  <c r="AO824" i="23"/>
  <c r="AR824" i="23"/>
  <c r="AO735" i="23"/>
  <c r="AO818" i="23"/>
  <c r="AO766" i="23"/>
  <c r="AR766" i="23"/>
  <c r="AO812" i="23"/>
  <c r="AR812" i="23"/>
  <c r="AO790" i="23"/>
  <c r="AO793" i="23"/>
  <c r="AO832" i="23"/>
  <c r="AR832" i="23"/>
  <c r="AO771" i="23"/>
  <c r="AR771" i="23"/>
  <c r="AO744" i="23"/>
  <c r="AR744" i="23"/>
  <c r="AO808" i="23"/>
  <c r="AO713" i="23"/>
  <c r="AO827" i="23"/>
  <c r="AO842" i="23"/>
  <c r="AR842" i="23"/>
  <c r="AO821" i="23"/>
  <c r="AR821" i="23"/>
  <c r="AO794" i="23"/>
  <c r="AR794" i="23"/>
  <c r="AO822" i="23"/>
  <c r="AR822" i="23"/>
  <c r="AO846" i="23"/>
  <c r="AO839" i="23"/>
  <c r="AR839" i="23"/>
  <c r="AO706" i="23"/>
  <c r="AO732" i="23"/>
  <c r="AR732" i="23"/>
  <c r="AO849" i="23"/>
  <c r="AO785" i="23"/>
  <c r="AO723" i="23"/>
  <c r="AR723" i="23"/>
  <c r="AO869" i="23"/>
  <c r="AO727" i="23"/>
  <c r="AR727" i="23"/>
  <c r="AO762" i="23"/>
  <c r="AR762" i="23"/>
  <c r="AO837" i="23"/>
  <c r="AR837" i="23"/>
  <c r="AO716" i="23"/>
  <c r="AO871" i="23"/>
  <c r="AO767" i="23"/>
  <c r="AR767" i="23"/>
  <c r="AO720" i="23"/>
  <c r="AO814" i="23"/>
  <c r="AR814" i="23"/>
  <c r="AO736" i="23"/>
  <c r="AO864" i="23"/>
  <c r="AR864" i="23"/>
  <c r="AO745" i="23"/>
  <c r="AO765" i="23"/>
  <c r="AO784" i="23"/>
  <c r="AO819" i="23"/>
  <c r="AR819" i="23"/>
  <c r="AO752" i="23"/>
  <c r="AR752" i="23"/>
  <c r="AO757" i="23"/>
  <c r="AR757" i="23"/>
  <c r="AO844" i="23"/>
  <c r="AR844" i="23"/>
  <c r="AO868" i="23"/>
  <c r="AR868" i="23"/>
  <c r="AO698" i="23"/>
  <c r="AO755" i="23"/>
  <c r="AO756" i="23"/>
  <c r="AR756" i="23"/>
  <c r="AO780" i="23"/>
  <c r="AO866" i="23"/>
  <c r="AR866" i="23"/>
  <c r="AO754" i="23"/>
  <c r="AR754" i="23"/>
  <c r="AO815" i="23"/>
  <c r="AO789" i="23"/>
  <c r="AO830" i="23"/>
  <c r="AO721" i="23"/>
  <c r="AO833" i="23"/>
  <c r="AR833" i="23"/>
  <c r="AO747" i="23"/>
  <c r="AO795" i="23"/>
  <c r="AO746" i="23"/>
  <c r="AO718" i="23"/>
  <c r="AO857" i="23"/>
  <c r="AO740" i="23"/>
  <c r="AO859" i="23"/>
  <c r="AR859" i="23"/>
  <c r="AO867" i="23"/>
  <c r="AR867" i="23"/>
  <c r="AO772" i="23"/>
  <c r="AR772" i="23"/>
  <c r="AO749" i="23"/>
  <c r="AO786" i="23"/>
  <c r="AR786" i="23"/>
  <c r="AO836" i="23"/>
  <c r="AO811" i="23"/>
  <c r="AR811" i="23"/>
  <c r="AO863" i="23"/>
  <c r="AR863" i="23"/>
  <c r="AO748" i="23"/>
  <c r="AO782" i="23"/>
  <c r="AR782" i="23"/>
  <c r="AO834" i="23"/>
  <c r="AR834" i="23"/>
  <c r="AO751" i="23"/>
  <c r="AR751" i="23"/>
  <c r="AO840" i="23"/>
  <c r="AO807" i="23"/>
  <c r="AR807" i="23"/>
  <c r="AO804" i="23"/>
  <c r="AR804" i="23"/>
  <c r="AO831" i="23"/>
  <c r="AR831" i="23"/>
  <c r="AO791" i="23"/>
  <c r="AR791" i="23"/>
  <c r="AO788" i="23"/>
  <c r="AR788" i="23"/>
  <c r="AO781" i="23"/>
  <c r="AR781" i="23"/>
  <c r="AO776" i="23"/>
  <c r="AO826" i="23"/>
  <c r="AR826" i="23"/>
  <c r="AO865" i="23"/>
  <c r="AO829" i="23"/>
  <c r="AO760" i="23"/>
  <c r="AO852" i="23"/>
  <c r="AR852" i="23"/>
  <c r="AO851" i="23"/>
  <c r="AO729" i="23"/>
  <c r="AO779" i="23"/>
  <c r="AR779" i="23"/>
  <c r="AO800" i="23"/>
  <c r="AO861" i="23"/>
  <c r="AR861" i="23"/>
  <c r="AO769" i="23"/>
  <c r="AR769" i="23"/>
  <c r="AO803" i="23"/>
  <c r="AO806" i="23"/>
  <c r="AR806" i="23"/>
  <c r="AO801" i="23"/>
  <c r="AR801" i="23"/>
  <c r="AO710" i="23"/>
  <c r="AO702" i="23"/>
  <c r="AO777" i="23"/>
  <c r="AO696" i="23"/>
  <c r="AO728" i="23"/>
  <c r="AO775" i="23"/>
  <c r="AO759" i="23"/>
  <c r="AO774" i="23"/>
  <c r="AO856" i="23"/>
  <c r="AO816" i="23"/>
  <c r="AO726" i="23"/>
  <c r="AO704" i="23"/>
  <c r="AO805" i="23"/>
  <c r="AO693" i="23"/>
  <c r="AO798" i="23"/>
  <c r="AO725" i="23"/>
  <c r="AO848" i="23"/>
  <c r="AO715" i="23"/>
  <c r="AO739" i="23"/>
  <c r="AO828" i="23"/>
  <c r="AO872" i="23"/>
  <c r="AR872" i="23"/>
  <c r="AO695" i="23"/>
  <c r="AO850" i="23"/>
  <c r="AO838" i="23"/>
  <c r="AO701" i="23"/>
  <c r="AO802" i="23"/>
  <c r="AR802" i="23"/>
  <c r="AO773" i="23"/>
  <c r="AR773" i="23"/>
  <c r="AO783" i="23"/>
  <c r="AR783" i="23"/>
  <c r="AO770" i="23"/>
  <c r="AO734" i="23"/>
  <c r="AO709" i="23"/>
  <c r="AO847" i="23"/>
  <c r="AO820" i="23"/>
  <c r="AO853" i="23"/>
  <c r="AR853" i="23"/>
  <c r="AO810" i="23"/>
  <c r="AO858" i="23"/>
  <c r="AO763" i="23"/>
  <c r="AR763" i="23"/>
  <c r="AO694" i="23"/>
  <c r="AO862" i="23"/>
  <c r="AR862" i="23"/>
  <c r="AO708" i="23"/>
  <c r="AO792" i="23"/>
  <c r="AO787" i="23"/>
  <c r="AR787" i="23"/>
  <c r="AO855" i="23"/>
  <c r="AO722" i="23"/>
  <c r="AO743" i="23"/>
  <c r="AO835" i="23"/>
  <c r="AO730" i="23"/>
  <c r="AO700" i="23"/>
  <c r="AO712" i="23"/>
  <c r="AO860" i="23"/>
  <c r="AO854" i="23"/>
  <c r="AR854" i="23"/>
  <c r="AO870" i="23"/>
  <c r="AO742" i="23"/>
  <c r="AR742" i="23"/>
  <c r="AO737" i="23"/>
  <c r="AR737" i="23"/>
  <c r="AO711" i="23"/>
  <c r="AO768" i="23"/>
  <c r="AR768" i="23"/>
  <c r="AO717" i="23"/>
  <c r="AO758" i="23"/>
  <c r="AR758" i="23"/>
  <c r="AO778" i="23"/>
  <c r="AO738" i="23"/>
  <c r="AO703" i="23"/>
  <c r="AO707" i="23"/>
  <c r="AO809" i="23"/>
  <c r="AR809" i="23"/>
  <c r="AO823" i="23"/>
  <c r="AR823" i="23"/>
  <c r="AO796" i="23"/>
  <c r="AO817" i="23"/>
  <c r="AO825" i="23"/>
  <c r="AO750" i="23"/>
  <c r="AO699" i="23"/>
  <c r="AO724" i="23"/>
  <c r="AR724" i="23"/>
  <c r="AO731" i="23"/>
  <c r="AR731" i="23"/>
  <c r="AO761" i="23"/>
  <c r="AR761" i="23"/>
  <c r="AO845" i="23"/>
  <c r="AO719" i="23"/>
  <c r="AO797" i="23"/>
  <c r="AO697" i="23"/>
  <c r="AO813" i="23"/>
  <c r="AR813" i="23"/>
  <c r="AO733" i="23"/>
  <c r="AR733" i="23"/>
  <c r="AO705" i="23"/>
  <c r="AO753" i="23"/>
  <c r="AO841" i="23"/>
  <c r="AR841" i="23"/>
  <c r="AO764" i="23"/>
  <c r="AR764" i="23"/>
  <c r="AO223" i="23"/>
  <c r="AR223" i="23"/>
  <c r="AT223" i="23"/>
  <c r="AO662" i="23"/>
  <c r="AR662" i="23"/>
  <c r="AT662" i="23"/>
  <c r="AO328" i="23"/>
  <c r="AR328" i="23"/>
  <c r="AT328" i="23"/>
  <c r="AO278" i="23"/>
  <c r="AR278" i="23"/>
  <c r="AT278" i="23"/>
  <c r="AO400" i="23"/>
  <c r="AR400" i="23"/>
  <c r="AO519" i="23"/>
  <c r="AR519" i="23"/>
  <c r="AO93" i="23"/>
  <c r="AR93" i="23"/>
  <c r="AT93" i="23"/>
  <c r="AO574" i="23"/>
  <c r="AR574" i="23"/>
  <c r="AT574" i="23"/>
  <c r="AO107" i="23"/>
  <c r="AR107" i="23"/>
  <c r="AT107" i="23"/>
  <c r="AO119" i="23"/>
  <c r="AR119" i="23"/>
  <c r="AT119" i="23"/>
  <c r="AO349" i="23"/>
  <c r="AR349" i="23"/>
  <c r="AT349" i="23"/>
  <c r="AO376" i="23"/>
  <c r="AR376" i="23"/>
  <c r="AO567" i="23"/>
  <c r="AR567" i="23"/>
  <c r="AO526" i="23"/>
  <c r="AR526" i="23"/>
  <c r="AO234" i="23"/>
  <c r="AR234" i="23"/>
  <c r="AO606" i="23"/>
  <c r="AR606" i="23"/>
  <c r="AO177" i="23"/>
  <c r="AR177" i="23"/>
  <c r="AO264" i="23"/>
  <c r="AR264" i="23"/>
  <c r="AO7" i="23"/>
  <c r="AR7" i="23"/>
  <c r="AO196" i="23"/>
  <c r="AR196" i="23"/>
  <c r="AT196" i="23"/>
  <c r="AO385" i="23"/>
  <c r="AR385" i="23"/>
  <c r="AO85" i="23"/>
  <c r="AR85" i="23"/>
  <c r="AO664" i="23"/>
  <c r="AR664" i="23"/>
  <c r="AO435" i="23"/>
  <c r="AR435" i="23"/>
  <c r="AO97" i="23"/>
  <c r="AR97" i="23"/>
  <c r="AT97" i="23"/>
  <c r="AO109" i="23"/>
  <c r="AR109" i="23"/>
  <c r="AT109" i="23"/>
  <c r="AO255" i="23"/>
  <c r="AR255" i="23"/>
  <c r="AO591" i="23"/>
  <c r="AR591" i="23"/>
  <c r="AT591" i="23"/>
  <c r="AO40" i="23"/>
  <c r="AR40" i="23"/>
  <c r="AO20" i="23"/>
  <c r="AR20" i="23"/>
  <c r="AO139" i="23"/>
  <c r="AR139" i="23"/>
  <c r="AT139" i="23"/>
  <c r="AO447" i="23"/>
  <c r="AR447" i="23"/>
  <c r="AO527" i="23"/>
  <c r="AR527" i="23"/>
  <c r="AO395" i="23"/>
  <c r="AR395" i="23"/>
  <c r="AT395" i="23"/>
  <c r="AO552" i="23"/>
  <c r="AR552" i="23"/>
  <c r="AO440" i="23"/>
  <c r="AR440" i="23"/>
  <c r="AT440" i="23"/>
  <c r="AO161" i="23"/>
  <c r="AR161" i="23"/>
  <c r="AO443" i="23"/>
  <c r="AR443" i="23"/>
  <c r="AO690" i="23"/>
  <c r="AR690" i="23"/>
  <c r="AO601" i="23"/>
  <c r="AR601" i="23"/>
  <c r="AT601" i="23"/>
  <c r="AO383" i="23"/>
  <c r="AR383" i="23"/>
  <c r="AO150" i="23"/>
  <c r="AR150" i="23"/>
  <c r="AT150" i="23"/>
  <c r="AO499" i="23"/>
  <c r="AR499" i="23"/>
  <c r="AO45" i="23"/>
  <c r="AR45" i="23"/>
  <c r="AO585" i="23"/>
  <c r="AR585" i="23"/>
  <c r="AT585" i="23"/>
  <c r="AO691" i="23"/>
  <c r="AR691" i="23"/>
  <c r="AO357" i="23"/>
  <c r="AR357" i="23"/>
  <c r="AT357" i="23"/>
  <c r="AO268" i="23"/>
  <c r="AR268" i="23"/>
  <c r="AO377" i="23"/>
  <c r="AR377" i="23"/>
  <c r="AT377" i="23"/>
  <c r="AO635" i="23"/>
  <c r="AR635" i="23"/>
  <c r="AT635" i="23"/>
  <c r="AO452" i="23"/>
  <c r="AR452" i="23"/>
  <c r="AO159" i="23"/>
  <c r="AR159" i="23"/>
  <c r="AO538" i="23"/>
  <c r="AR538" i="23"/>
  <c r="AO191" i="23"/>
  <c r="AR191" i="23"/>
  <c r="AT191" i="23"/>
  <c r="AO558" i="23"/>
  <c r="AR558" i="23"/>
  <c r="AO275" i="23"/>
  <c r="AR275" i="23"/>
  <c r="AT275" i="23"/>
  <c r="AO625" i="23"/>
  <c r="AR625" i="23"/>
  <c r="AT625" i="23"/>
  <c r="AO289" i="23"/>
  <c r="AR289" i="23"/>
  <c r="AT289" i="23"/>
  <c r="AO127" i="23"/>
  <c r="AO19" i="23"/>
  <c r="AR19" i="23"/>
  <c r="AO480" i="23"/>
  <c r="AR480" i="23"/>
  <c r="AS480" i="23"/>
  <c r="AO113" i="23"/>
  <c r="AR113" i="23"/>
  <c r="AT113" i="23"/>
  <c r="AO41" i="23"/>
  <c r="AR41" i="23"/>
  <c r="AO13" i="23"/>
  <c r="AR13" i="23"/>
  <c r="AO5" i="23"/>
  <c r="AR5" i="23"/>
  <c r="AO21" i="23"/>
  <c r="AR21" i="23"/>
  <c r="AO642" i="23"/>
  <c r="AR642" i="23"/>
  <c r="AT642" i="23"/>
  <c r="AO658" i="23"/>
  <c r="AR658" i="23"/>
  <c r="AT658" i="23"/>
  <c r="AO309" i="23"/>
  <c r="AR309" i="23"/>
  <c r="AT309" i="23"/>
  <c r="AO403" i="23"/>
  <c r="AR403" i="23"/>
  <c r="AO203" i="23"/>
  <c r="AR203" i="23"/>
  <c r="AT203" i="23"/>
  <c r="AO189" i="23"/>
  <c r="AR189" i="23"/>
  <c r="AT189" i="23"/>
  <c r="AO141" i="23"/>
  <c r="AR141" i="23"/>
  <c r="AT141" i="23"/>
  <c r="AO539" i="23"/>
  <c r="AR539" i="23"/>
  <c r="AO460" i="23"/>
  <c r="AR460" i="23"/>
  <c r="AS460" i="23"/>
  <c r="AO290" i="23"/>
  <c r="AR290" i="23"/>
  <c r="AT290" i="23"/>
  <c r="AO597" i="23"/>
  <c r="AR597" i="23"/>
  <c r="AT597" i="23"/>
  <c r="AO266" i="23"/>
  <c r="AR266" i="23"/>
  <c r="AO163" i="23"/>
  <c r="AR163" i="23"/>
  <c r="AO540" i="23"/>
  <c r="AR540" i="23"/>
  <c r="AO62" i="23"/>
  <c r="AR62" i="23"/>
  <c r="AO560" i="23"/>
  <c r="AR560" i="23"/>
  <c r="AO577" i="23"/>
  <c r="AR577" i="23"/>
  <c r="AT577" i="23"/>
  <c r="AO434" i="23"/>
  <c r="AR434" i="23"/>
  <c r="AO588" i="23"/>
  <c r="AR588" i="23"/>
  <c r="AT588" i="23"/>
  <c r="AO442" i="23"/>
  <c r="AR442" i="23"/>
  <c r="AO188" i="23"/>
  <c r="AO9" i="23"/>
  <c r="AR9" i="23"/>
  <c r="AO665" i="23"/>
  <c r="AR665" i="23"/>
  <c r="AO58" i="23"/>
  <c r="AR58" i="23"/>
  <c r="AO429" i="23"/>
  <c r="AR429" i="23"/>
  <c r="AO411" i="23"/>
  <c r="AR411" i="23"/>
  <c r="AT411" i="23"/>
  <c r="AO514" i="23"/>
  <c r="AR514" i="23"/>
  <c r="AO647" i="23"/>
  <c r="AR647" i="23"/>
  <c r="AT647" i="23"/>
  <c r="AO286" i="23"/>
  <c r="AR286" i="23"/>
  <c r="AT286" i="23"/>
  <c r="AO500" i="23"/>
  <c r="AR500" i="23"/>
  <c r="AO571" i="23"/>
  <c r="AR571" i="23"/>
  <c r="AO621" i="23"/>
  <c r="AR621" i="23"/>
  <c r="AT621" i="23"/>
  <c r="AO232" i="23"/>
  <c r="AR232" i="23"/>
  <c r="AO337" i="23"/>
  <c r="AR337" i="23"/>
  <c r="AT337" i="23"/>
  <c r="AO10" i="23"/>
  <c r="AR10" i="23"/>
  <c r="AO131" i="23"/>
  <c r="AR131" i="23"/>
  <c r="AT131" i="23"/>
  <c r="AO298" i="23"/>
  <c r="AR298" i="23"/>
  <c r="AT298" i="23"/>
  <c r="AO373" i="23"/>
  <c r="AR373" i="23"/>
  <c r="AO185" i="23"/>
  <c r="AR185" i="23"/>
  <c r="AT185" i="23"/>
  <c r="AO95" i="23"/>
  <c r="AR95" i="23"/>
  <c r="AT95" i="23"/>
  <c r="AO381" i="23"/>
  <c r="AR381" i="23"/>
  <c r="AO570" i="23"/>
  <c r="AR570" i="23"/>
  <c r="AO28" i="23"/>
  <c r="AR28" i="23"/>
  <c r="AO48" i="23"/>
  <c r="AR48" i="23"/>
  <c r="AO70" i="23"/>
  <c r="AR70" i="23"/>
  <c r="AO114" i="23"/>
  <c r="AR114" i="23"/>
  <c r="AT114" i="23"/>
  <c r="AO76" i="23"/>
  <c r="AR76" i="23"/>
  <c r="AO209" i="23"/>
  <c r="AR209" i="23"/>
  <c r="AT209" i="23"/>
  <c r="AO197" i="23"/>
  <c r="AR197" i="23"/>
  <c r="AT197" i="23"/>
  <c r="AO678" i="23"/>
  <c r="AR678" i="23"/>
  <c r="AO594" i="23"/>
  <c r="AR594" i="23"/>
  <c r="AT594" i="23"/>
  <c r="AO18" i="23"/>
  <c r="AR18" i="23"/>
  <c r="AO256" i="23"/>
  <c r="AR256" i="23"/>
  <c r="AO622" i="23"/>
  <c r="AR622" i="23"/>
  <c r="AS622" i="23"/>
  <c r="AO133" i="23"/>
  <c r="AR133" i="23"/>
  <c r="AT133" i="23"/>
  <c r="AO646" i="23"/>
  <c r="AR646" i="23"/>
  <c r="AT646" i="23"/>
  <c r="AO559" i="23"/>
  <c r="AR559" i="23"/>
  <c r="AO648" i="23"/>
  <c r="AR648" i="23"/>
  <c r="AT648" i="23"/>
  <c r="AO250" i="23"/>
  <c r="AR250" i="23"/>
  <c r="AO263" i="23"/>
  <c r="AR263" i="23"/>
  <c r="AO116" i="23"/>
  <c r="AR116" i="23"/>
  <c r="AT116" i="23"/>
  <c r="AO243" i="23"/>
  <c r="AR243" i="23"/>
  <c r="AO417" i="23"/>
  <c r="AR417" i="23"/>
  <c r="AO236" i="23"/>
  <c r="AR236" i="23"/>
  <c r="AO247" i="23"/>
  <c r="AR247" i="23"/>
  <c r="AO153" i="23"/>
  <c r="AR153" i="23"/>
  <c r="AO333" i="23"/>
  <c r="AR333" i="23"/>
  <c r="AT333" i="23"/>
  <c r="AO145" i="23"/>
  <c r="AR145" i="23"/>
  <c r="AO633" i="23"/>
  <c r="AR633" i="23"/>
  <c r="AT633" i="23"/>
  <c r="AO654" i="23"/>
  <c r="AR654" i="23"/>
  <c r="AT654" i="23"/>
  <c r="AO482" i="23"/>
  <c r="AR482" i="23"/>
  <c r="AS482" i="23"/>
  <c r="AO393" i="23"/>
  <c r="AR393" i="23"/>
  <c r="AT393" i="23"/>
  <c r="AO65" i="23"/>
  <c r="AR65" i="23"/>
  <c r="AO183" i="23"/>
  <c r="AR183" i="23"/>
  <c r="AT183" i="23"/>
  <c r="AO335" i="23"/>
  <c r="AR335" i="23"/>
  <c r="AT335" i="23"/>
  <c r="AO638" i="23"/>
  <c r="AR638" i="23"/>
  <c r="AT638" i="23"/>
  <c r="AO53" i="23"/>
  <c r="AR53" i="23"/>
  <c r="AO537" i="23"/>
  <c r="AR537" i="23"/>
  <c r="AO599" i="23"/>
  <c r="AR599" i="23"/>
  <c r="AT599" i="23"/>
  <c r="AO149" i="23"/>
  <c r="AR149" i="23"/>
  <c r="AO111" i="23"/>
  <c r="AR111" i="23"/>
  <c r="AT111" i="23"/>
  <c r="AO288" i="23"/>
  <c r="AR288" i="23"/>
  <c r="AT288" i="23"/>
  <c r="AO169" i="23"/>
  <c r="AR169" i="23"/>
  <c r="AO350" i="23"/>
  <c r="AR350" i="23"/>
  <c r="AT350" i="23"/>
  <c r="AO270" i="23"/>
  <c r="AR270" i="23"/>
  <c r="AO479" i="23"/>
  <c r="AR479" i="23"/>
  <c r="AS479" i="23"/>
  <c r="AO379" i="23"/>
  <c r="AR379" i="23"/>
  <c r="AO614" i="23"/>
  <c r="AR614" i="23"/>
  <c r="AS614" i="23"/>
  <c r="AO258" i="23"/>
  <c r="AR258" i="23"/>
  <c r="AO551" i="23"/>
  <c r="AR551" i="23"/>
  <c r="AO355" i="23"/>
  <c r="AR355" i="23"/>
  <c r="AT355" i="23"/>
  <c r="AO468" i="23"/>
  <c r="AR468" i="23"/>
  <c r="AS468" i="23"/>
  <c r="AO623" i="23"/>
  <c r="AR623" i="23"/>
  <c r="AT623" i="23"/>
  <c r="AO388" i="23"/>
  <c r="AR388" i="23"/>
  <c r="AO663" i="23"/>
  <c r="AR663" i="23"/>
  <c r="AO17" i="23"/>
  <c r="AR17" i="23"/>
  <c r="AT17" i="23"/>
  <c r="AO299" i="23"/>
  <c r="AR299" i="23"/>
  <c r="AT299" i="23"/>
  <c r="AO174" i="23"/>
  <c r="AR174" i="23"/>
  <c r="AO33" i="23"/>
  <c r="AR33" i="23"/>
  <c r="AO217" i="23"/>
  <c r="AR217" i="23"/>
  <c r="AT217" i="23"/>
  <c r="AO408" i="23"/>
  <c r="AR408" i="23"/>
  <c r="AO326" i="23"/>
  <c r="AR326" i="23"/>
  <c r="AT326" i="23"/>
  <c r="AO415" i="23"/>
  <c r="AR415" i="23"/>
  <c r="AO475" i="23"/>
  <c r="AR475" i="23"/>
  <c r="AO547" i="23"/>
  <c r="AR547" i="23"/>
  <c r="AO123" i="23"/>
  <c r="AR123" i="23"/>
  <c r="AT123" i="23"/>
  <c r="AO643" i="23"/>
  <c r="AR643" i="23"/>
  <c r="AT643" i="23"/>
  <c r="AO436" i="23"/>
  <c r="AR436" i="23"/>
  <c r="AO631" i="23"/>
  <c r="AR631" i="23"/>
  <c r="AT631" i="23"/>
  <c r="AO226" i="23"/>
  <c r="AR226" i="23"/>
  <c r="AT226" i="23"/>
  <c r="AO287" i="23"/>
  <c r="AR287" i="23"/>
  <c r="AT287" i="23"/>
  <c r="AO389" i="23"/>
  <c r="AR389" i="23"/>
  <c r="AO60" i="23"/>
  <c r="AR60" i="23"/>
  <c r="AO295" i="23"/>
  <c r="AR295" i="23"/>
  <c r="AT295" i="23"/>
  <c r="AO578" i="23"/>
  <c r="AR578" i="23"/>
  <c r="AT578" i="23"/>
  <c r="AO201" i="23"/>
  <c r="AR201" i="23"/>
  <c r="AT201" i="23"/>
  <c r="AO636" i="23"/>
  <c r="AR636" i="23"/>
  <c r="AO320" i="23"/>
  <c r="AR320" i="23"/>
  <c r="AT320" i="23"/>
  <c r="AO329" i="23"/>
  <c r="AR329" i="23"/>
  <c r="AT329" i="23"/>
  <c r="AO235" i="23"/>
  <c r="AR235" i="23"/>
  <c r="AO674" i="23"/>
  <c r="AR674" i="23"/>
  <c r="AV19" i="16" a="1"/>
  <c r="AV19" i="16"/>
  <c r="AO634" i="23"/>
  <c r="AR634" i="23"/>
  <c r="AT634" i="23"/>
  <c r="AO639" i="23"/>
  <c r="AR639" i="23"/>
  <c r="AT639" i="23"/>
  <c r="AO57" i="23"/>
  <c r="AR57" i="23"/>
  <c r="AO575" i="23"/>
  <c r="AR575" i="23"/>
  <c r="AT575" i="23"/>
  <c r="AO15" i="23"/>
  <c r="AR15" i="23"/>
  <c r="AT15" i="23"/>
  <c r="AO518" i="23"/>
  <c r="AR518" i="23"/>
  <c r="AO272" i="23"/>
  <c r="AR272" i="23"/>
  <c r="AO313" i="23"/>
  <c r="AR313" i="23"/>
  <c r="AT313" i="23"/>
  <c r="AO211" i="23"/>
  <c r="AR211" i="23"/>
  <c r="AT211" i="23"/>
  <c r="AO292" i="23"/>
  <c r="AR292" i="23"/>
  <c r="AT292" i="23"/>
  <c r="AO557" i="23"/>
  <c r="AR557" i="23"/>
  <c r="AO251" i="23"/>
  <c r="AR251" i="23"/>
  <c r="AO394" i="23"/>
  <c r="AR394" i="23"/>
  <c r="AO676" i="23"/>
  <c r="AR676" i="23"/>
  <c r="AO414" i="23"/>
  <c r="AR414" i="23"/>
  <c r="AO501" i="23"/>
  <c r="AR501" i="23"/>
  <c r="AO422" i="23"/>
  <c r="AR422" i="23"/>
  <c r="AT422" i="23"/>
  <c r="AO649" i="23"/>
  <c r="AR649" i="23"/>
  <c r="AT649" i="23"/>
  <c r="AO130" i="23"/>
  <c r="AR130" i="23"/>
  <c r="AT130" i="23"/>
  <c r="AO170" i="23"/>
  <c r="AR170" i="23"/>
  <c r="AO399" i="23"/>
  <c r="AR399" i="23"/>
  <c r="AO219" i="23"/>
  <c r="AR219" i="23"/>
  <c r="AT219" i="23"/>
  <c r="AO476" i="23"/>
  <c r="AR476" i="23"/>
  <c r="AO384" i="23"/>
  <c r="AR384" i="23"/>
  <c r="AO484" i="23"/>
  <c r="AR484" i="23"/>
  <c r="AO152" i="23"/>
  <c r="AR152" i="23"/>
  <c r="AT152" i="23"/>
  <c r="AO325" i="23"/>
  <c r="AR325" i="23"/>
  <c r="AT325" i="23"/>
  <c r="AO229" i="23"/>
  <c r="AR229" i="23"/>
  <c r="AO274" i="23"/>
  <c r="AR274" i="23"/>
  <c r="AT274" i="23"/>
  <c r="AO396" i="23"/>
  <c r="AR396" i="23"/>
  <c r="AO306" i="23"/>
  <c r="AR306" i="23"/>
  <c r="AT306" i="23"/>
  <c r="AO472" i="23"/>
  <c r="AR472" i="23"/>
  <c r="AS472" i="23"/>
  <c r="AO279" i="23"/>
  <c r="AR279" i="23"/>
  <c r="AT279" i="23"/>
  <c r="AO195" i="23"/>
  <c r="AR195" i="23"/>
  <c r="AT195" i="23"/>
  <c r="AO427" i="23"/>
  <c r="AR427" i="23"/>
  <c r="AO302" i="23"/>
  <c r="AR302" i="23"/>
  <c r="AT302" i="23"/>
  <c r="AO413" i="23"/>
  <c r="AR413" i="23"/>
  <c r="AT413" i="23"/>
  <c r="AO215" i="23"/>
  <c r="AR215" i="23"/>
  <c r="AT215" i="23"/>
  <c r="AO405" i="23"/>
  <c r="AR405" i="23"/>
  <c r="AO34" i="23"/>
  <c r="AR34" i="23"/>
  <c r="AO461" i="23"/>
  <c r="AR461" i="23"/>
  <c r="AS461" i="23"/>
  <c r="AO481" i="23"/>
  <c r="AR481" i="23"/>
  <c r="AS481" i="23"/>
  <c r="AO568" i="23"/>
  <c r="AR568" i="23"/>
  <c r="AO629" i="23"/>
  <c r="AR629" i="23"/>
  <c r="AS629" i="23"/>
  <c r="AO323" i="23"/>
  <c r="AR323" i="23"/>
  <c r="AT323" i="23"/>
  <c r="AO212" i="23"/>
  <c r="AR212" i="23"/>
  <c r="AT212" i="23"/>
  <c r="AO32" i="23"/>
  <c r="AR32" i="23"/>
  <c r="AO81" i="23"/>
  <c r="AR81" i="23"/>
  <c r="AO543" i="23"/>
  <c r="AR543" i="23"/>
  <c r="AO321" i="23"/>
  <c r="AR321" i="23"/>
  <c r="AT321" i="23"/>
  <c r="AO660" i="23"/>
  <c r="AR660" i="23"/>
  <c r="AT660" i="23"/>
  <c r="AO253" i="23"/>
  <c r="AR253" i="23"/>
  <c r="AO332" i="23"/>
  <c r="AO31" i="23"/>
  <c r="AR31" i="23"/>
  <c r="AO488" i="23"/>
  <c r="AR488" i="23"/>
  <c r="AO322" i="23"/>
  <c r="AR322" i="23"/>
  <c r="AT322" i="23"/>
  <c r="AO303" i="23"/>
  <c r="AR303" i="23"/>
  <c r="AO530" i="23"/>
  <c r="AR530" i="23"/>
  <c r="AO154" i="23"/>
  <c r="AR154" i="23"/>
  <c r="AO193" i="23"/>
  <c r="AR193" i="23"/>
  <c r="AT193" i="23"/>
  <c r="AO242" i="23"/>
  <c r="AR242" i="23"/>
  <c r="AT242" i="23"/>
  <c r="AO610" i="23"/>
  <c r="AR610" i="23"/>
  <c r="AT610" i="23"/>
  <c r="AO546" i="23"/>
  <c r="AR546" i="23"/>
  <c r="AO446" i="23"/>
  <c r="AR446" i="23"/>
  <c r="AO671" i="23"/>
  <c r="AR671" i="23"/>
  <c r="AO444" i="23"/>
  <c r="AR444" i="23"/>
  <c r="AO455" i="23"/>
  <c r="AR455" i="23"/>
  <c r="AO412" i="23"/>
  <c r="AR412" i="23"/>
  <c r="AO607" i="23"/>
  <c r="AR607" i="23"/>
  <c r="AO689" i="23"/>
  <c r="AR689" i="23"/>
  <c r="AO330" i="23"/>
  <c r="AR330" i="23"/>
  <c r="AT330" i="23"/>
  <c r="AO555" i="23"/>
  <c r="AR555" i="23"/>
  <c r="AO627" i="23"/>
  <c r="AR627" i="23"/>
  <c r="AT627" i="23"/>
  <c r="AO433" i="23"/>
  <c r="AR433" i="23"/>
  <c r="AO655" i="23"/>
  <c r="AR655" i="23"/>
  <c r="AT655" i="23"/>
  <c r="AO675" i="23"/>
  <c r="AR675" i="23"/>
  <c r="AO609" i="23"/>
  <c r="AR609" i="23"/>
  <c r="AS609" i="23"/>
  <c r="AO450" i="23"/>
  <c r="AR450" i="23"/>
  <c r="AO371" i="23"/>
  <c r="AR371" i="23"/>
  <c r="AO96" i="23"/>
  <c r="AR96" i="23"/>
  <c r="AO115" i="23"/>
  <c r="AR115" i="23"/>
  <c r="AT115" i="23"/>
  <c r="AO84" i="23"/>
  <c r="AR84" i="23"/>
  <c r="AO677" i="23"/>
  <c r="AR677" i="23"/>
  <c r="AO346" i="23"/>
  <c r="AR346" i="23"/>
  <c r="AT346" i="23"/>
  <c r="AO341" i="23"/>
  <c r="AR341" i="23"/>
  <c r="AT341" i="23"/>
  <c r="AO489" i="23"/>
  <c r="AR489" i="23"/>
  <c r="AO138" i="23"/>
  <c r="AR138" i="23"/>
  <c r="AO338" i="23"/>
  <c r="AR338" i="23"/>
  <c r="AO158" i="23"/>
  <c r="AR158" i="23"/>
  <c r="AO358" i="23"/>
  <c r="AR358" i="23"/>
  <c r="AT358" i="23"/>
  <c r="AO120" i="23"/>
  <c r="AR120" i="23"/>
  <c r="AT120" i="23"/>
  <c r="AO485" i="23"/>
  <c r="AR485" i="23"/>
  <c r="AO204" i="23"/>
  <c r="AR204" i="23"/>
  <c r="AT204" i="23"/>
  <c r="AO166" i="23"/>
  <c r="AR166" i="23"/>
  <c r="AO628" i="23"/>
  <c r="AR628" i="23"/>
  <c r="AS628" i="23"/>
  <c r="AO344" i="23"/>
  <c r="AR344" i="23"/>
  <c r="AT344" i="23"/>
  <c r="AO397" i="23"/>
  <c r="AR397" i="23"/>
  <c r="AO216" i="23"/>
  <c r="AR216" i="23"/>
  <c r="AT216" i="23"/>
  <c r="AO605" i="23"/>
  <c r="AR605" i="23"/>
  <c r="AO369" i="23"/>
  <c r="AR369" i="23"/>
  <c r="AO77" i="23"/>
  <c r="AR77" i="23"/>
  <c r="AO206" i="23"/>
  <c r="AR206" i="23"/>
  <c r="AT206" i="23"/>
  <c r="AO487" i="23"/>
  <c r="AR487" i="23"/>
  <c r="AO117" i="23"/>
  <c r="AR117" i="23"/>
  <c r="AT117" i="23"/>
  <c r="AO228" i="23"/>
  <c r="AR228" i="23"/>
  <c r="AO507" i="23"/>
  <c r="AR507" i="23"/>
  <c r="AO318" i="23"/>
  <c r="AR318" i="23"/>
  <c r="AO82" i="23"/>
  <c r="AR82" i="23"/>
  <c r="AO592" i="23"/>
  <c r="AR592" i="23"/>
  <c r="AT592" i="23"/>
  <c r="AO102" i="23"/>
  <c r="AR102" i="23"/>
  <c r="AT102" i="23"/>
  <c r="AO612" i="23"/>
  <c r="AR612" i="23"/>
  <c r="AS612" i="23"/>
  <c r="AO44" i="23"/>
  <c r="AR44" i="23"/>
  <c r="AO88" i="23"/>
  <c r="AR88" i="23"/>
  <c r="AO110" i="23"/>
  <c r="AR110" i="23"/>
  <c r="AT110" i="23"/>
  <c r="AO669" i="23"/>
  <c r="AR669" i="23"/>
  <c r="AO668" i="23"/>
  <c r="AR668" i="23"/>
  <c r="AO135" i="23"/>
  <c r="AR135" i="23"/>
  <c r="AT135" i="23"/>
  <c r="AO26" i="23"/>
  <c r="AR26" i="23"/>
  <c r="AT26" i="23"/>
  <c r="AO624" i="23"/>
  <c r="AR624" i="23"/>
  <c r="AO282" i="23"/>
  <c r="AR282" i="23"/>
  <c r="AT282" i="23"/>
  <c r="AO650" i="23"/>
  <c r="AR650" i="23"/>
  <c r="AT650" i="23"/>
  <c r="AO35" i="23"/>
  <c r="AR35" i="23"/>
  <c r="AO59" i="23"/>
  <c r="AR59" i="23"/>
  <c r="AO528" i="23"/>
  <c r="AR528" i="23"/>
  <c r="AO129" i="23"/>
  <c r="AR129" i="23"/>
  <c r="AT129" i="23"/>
  <c r="AO336" i="23"/>
  <c r="AR336" i="23"/>
  <c r="AT336" i="23"/>
  <c r="AO151" i="23"/>
  <c r="AR151" i="23"/>
  <c r="AO581" i="23"/>
  <c r="AR581" i="23"/>
  <c r="AT581" i="23"/>
  <c r="AO425" i="23"/>
  <c r="AR425" i="23"/>
  <c r="AO4" i="23"/>
  <c r="AR4" i="23"/>
  <c r="AO24" i="23"/>
  <c r="AR24" i="23"/>
  <c r="AT24" i="23"/>
  <c r="AO126" i="23"/>
  <c r="AR126" i="23"/>
  <c r="AT126" i="23"/>
  <c r="AO90" i="23"/>
  <c r="AR90" i="23"/>
  <c r="AO192" i="23"/>
  <c r="AR192" i="23"/>
  <c r="AT192" i="23"/>
  <c r="AO343" i="23"/>
  <c r="AR343" i="23"/>
  <c r="AT343" i="23"/>
  <c r="AO457" i="23"/>
  <c r="AR457" i="23"/>
  <c r="AO125" i="23"/>
  <c r="AR125" i="23"/>
  <c r="AT125" i="23"/>
  <c r="AO103" i="23"/>
  <c r="AR103" i="23"/>
  <c r="AT103" i="23"/>
  <c r="AO252" i="23"/>
  <c r="AR252" i="23"/>
  <c r="AO679" i="23"/>
  <c r="AR679" i="23"/>
  <c r="AO353" i="23"/>
  <c r="AR353" i="23"/>
  <c r="AT353" i="23"/>
  <c r="AO356" i="23"/>
  <c r="AR356" i="23"/>
  <c r="AT356" i="23"/>
  <c r="AO572" i="23"/>
  <c r="AR572" i="23"/>
  <c r="AO86" i="23"/>
  <c r="AR86" i="23"/>
  <c r="AO106" i="23"/>
  <c r="AR106" i="23"/>
  <c r="AT106" i="23"/>
  <c r="AO391" i="23"/>
  <c r="AR391" i="23"/>
  <c r="AO199" i="23"/>
  <c r="AR199" i="23"/>
  <c r="AT199" i="23"/>
  <c r="AO456" i="23"/>
  <c r="AR456" i="23"/>
  <c r="AO620" i="23"/>
  <c r="AR620" i="23"/>
  <c r="AS620" i="23"/>
  <c r="AO210" i="23"/>
  <c r="AR210" i="23"/>
  <c r="AT210" i="23"/>
  <c r="AO439" i="23"/>
  <c r="AR439" i="23"/>
  <c r="AO207" i="23"/>
  <c r="AR207" i="23"/>
  <c r="AT207" i="23"/>
  <c r="AO644" i="23"/>
  <c r="AR644" i="23"/>
  <c r="AT644" i="23"/>
  <c r="AO424" i="23"/>
  <c r="AR424" i="23"/>
  <c r="AO43" i="23"/>
  <c r="AR43" i="23"/>
  <c r="AO549" i="23"/>
  <c r="AR549" i="23"/>
  <c r="AO301" i="23"/>
  <c r="AR301" i="23"/>
  <c r="AT301" i="23"/>
  <c r="AO221" i="23"/>
  <c r="AR221" i="23"/>
  <c r="AT221" i="23"/>
  <c r="AO401" i="23"/>
  <c r="AR401" i="23"/>
  <c r="AO89" i="23"/>
  <c r="AR89" i="23"/>
  <c r="AT89" i="23"/>
  <c r="AO467" i="23"/>
  <c r="AR467" i="23"/>
  <c r="AS467" i="23"/>
  <c r="AO366" i="23"/>
  <c r="AR366" i="23"/>
  <c r="AO316" i="23"/>
  <c r="AR316" i="23"/>
  <c r="AT316" i="23"/>
  <c r="AO645" i="23"/>
  <c r="AR645" i="23"/>
  <c r="AT645" i="23"/>
  <c r="AO421" i="23"/>
  <c r="AR421" i="23"/>
  <c r="AO30" i="23"/>
  <c r="AR30" i="23"/>
  <c r="AO50" i="23"/>
  <c r="AR50" i="23"/>
  <c r="AO12" i="23"/>
  <c r="AR12" i="23"/>
  <c r="AO56" i="23"/>
  <c r="AR56" i="23"/>
  <c r="AO504" i="23"/>
  <c r="AR504" i="23"/>
  <c r="AO593" i="23"/>
  <c r="AR593" i="23"/>
  <c r="AT593" i="23"/>
  <c r="AO238" i="23"/>
  <c r="AR238" i="23"/>
  <c r="AO498" i="23"/>
  <c r="AR498" i="23"/>
  <c r="AO61" i="23"/>
  <c r="AR61" i="23"/>
  <c r="AO523" i="23"/>
  <c r="AO687" i="23"/>
  <c r="AR687" i="23"/>
  <c r="AO72" i="23"/>
  <c r="AR72" i="23"/>
  <c r="AO69" i="23"/>
  <c r="AR69" i="23"/>
  <c r="AT69" i="23"/>
  <c r="AO392" i="23"/>
  <c r="AR392" i="23"/>
  <c r="AO508" i="23"/>
  <c r="AR508" i="23"/>
  <c r="AO144" i="23"/>
  <c r="AR144" i="23"/>
  <c r="AO536" i="23"/>
  <c r="AR536" i="23"/>
  <c r="AO79" i="23"/>
  <c r="AR79" i="23"/>
  <c r="AO548" i="23"/>
  <c r="AR548" i="23"/>
  <c r="AO532" i="23"/>
  <c r="AR532" i="23"/>
  <c r="AO423" i="23"/>
  <c r="AR423" i="23"/>
  <c r="AO87" i="23"/>
  <c r="AR87" i="23"/>
  <c r="AT87" i="23"/>
  <c r="AO300" i="23"/>
  <c r="AR300" i="23"/>
  <c r="AT300" i="23"/>
  <c r="AO173" i="23"/>
  <c r="AR173" i="23"/>
  <c r="AO171" i="23"/>
  <c r="AR171" i="23"/>
  <c r="AO25" i="23"/>
  <c r="AR25" i="23"/>
  <c r="AO42" i="23"/>
  <c r="AR42" i="23"/>
  <c r="AO611" i="23"/>
  <c r="AR611" i="23"/>
  <c r="AT611" i="23"/>
  <c r="AO231" i="23"/>
  <c r="AR231" i="23"/>
  <c r="AT231" i="23"/>
  <c r="AO3" i="23"/>
  <c r="AR3" i="23"/>
  <c r="AO267" i="23"/>
  <c r="AR267" i="23"/>
  <c r="AO587" i="23"/>
  <c r="AR587" i="23"/>
  <c r="AT587" i="23"/>
  <c r="AO137" i="23"/>
  <c r="AR137" i="23"/>
  <c r="AT137" i="23"/>
  <c r="AO99" i="23"/>
  <c r="AR99" i="23"/>
  <c r="AT99" i="23"/>
  <c r="AO310" i="23"/>
  <c r="AR310" i="23"/>
  <c r="AT310" i="23"/>
  <c r="AO157" i="23"/>
  <c r="AR157" i="23"/>
  <c r="AO428" i="23"/>
  <c r="AR428" i="23"/>
  <c r="AO271" i="23"/>
  <c r="AR271" i="23"/>
  <c r="AO291" i="23"/>
  <c r="AR291" i="23"/>
  <c r="AT291" i="23"/>
  <c r="AO94" i="23"/>
  <c r="AR94" i="23"/>
  <c r="AO573" i="23"/>
  <c r="AR573" i="23"/>
  <c r="AT573" i="23"/>
  <c r="AO307" i="23"/>
  <c r="AR307" i="23"/>
  <c r="AT307" i="23"/>
  <c r="AO240" i="23"/>
  <c r="AR240" i="23"/>
  <c r="AT240" i="23"/>
  <c r="AO545" i="23"/>
  <c r="AR545" i="23"/>
  <c r="AO222" i="23"/>
  <c r="AR222" i="23"/>
  <c r="AT222" i="23"/>
  <c r="AO590" i="23"/>
  <c r="AR590" i="23"/>
  <c r="AO566" i="23"/>
  <c r="AR566" i="23"/>
  <c r="AO293" i="23"/>
  <c r="AR293" i="23"/>
  <c r="AT293" i="23"/>
  <c r="AO230" i="23"/>
  <c r="AR230" i="23"/>
  <c r="AO459" i="23"/>
  <c r="AR459" i="23"/>
  <c r="AO522" i="23"/>
  <c r="AR522" i="23"/>
  <c r="AO245" i="23"/>
  <c r="AR245" i="23"/>
  <c r="AO483" i="23"/>
  <c r="AR483" i="23"/>
  <c r="AO39" i="23"/>
  <c r="AR39" i="23"/>
  <c r="AO180" i="23"/>
  <c r="AR180" i="23"/>
  <c r="AO535" i="23"/>
  <c r="AR535" i="23"/>
  <c r="AO348" i="23"/>
  <c r="AR348" i="23"/>
  <c r="AT348" i="23"/>
  <c r="AO227" i="23"/>
  <c r="AR227" i="23"/>
  <c r="AT227" i="23"/>
  <c r="AO471" i="23"/>
  <c r="AR471" i="23"/>
  <c r="AS471" i="23"/>
  <c r="AO11" i="23"/>
  <c r="AR11" i="23"/>
  <c r="AO208" i="23"/>
  <c r="AR208" i="23"/>
  <c r="AT208" i="23"/>
  <c r="AO294" i="23"/>
  <c r="AR294" i="23"/>
  <c r="AT294" i="23"/>
  <c r="AO670" i="23"/>
  <c r="AR670" i="23"/>
  <c r="AO666" i="23"/>
  <c r="AR666" i="23"/>
  <c r="AO564" i="23"/>
  <c r="AR564" i="23"/>
  <c r="AO37" i="23"/>
  <c r="AR37" i="23"/>
  <c r="AO260" i="23"/>
  <c r="AR260" i="23"/>
  <c r="AO22" i="23"/>
  <c r="AR22" i="23"/>
  <c r="AO659" i="23"/>
  <c r="AR659" i="23"/>
  <c r="AT659" i="23"/>
  <c r="AO280" i="23"/>
  <c r="AR280" i="23"/>
  <c r="AT280" i="23"/>
  <c r="AO615" i="23"/>
  <c r="AR615" i="23"/>
  <c r="AO118" i="23"/>
  <c r="AR118" i="23"/>
  <c r="AT118" i="23"/>
  <c r="AO54" i="23"/>
  <c r="AR54" i="23"/>
  <c r="AO74" i="23"/>
  <c r="AR74" i="23"/>
  <c r="AO36" i="23"/>
  <c r="AO680" i="23"/>
  <c r="AR680" i="23"/>
  <c r="AO441" i="23"/>
  <c r="AR441" i="23"/>
  <c r="AO474" i="23"/>
  <c r="AR474" i="23"/>
  <c r="AS474" i="23"/>
  <c r="AO182" i="23"/>
  <c r="AR182" i="23"/>
  <c r="AO692" i="23"/>
  <c r="AO64" i="23"/>
  <c r="AR64" i="23"/>
  <c r="AO657" i="23"/>
  <c r="AR657" i="23"/>
  <c r="AT657" i="23"/>
  <c r="AO426" i="23"/>
  <c r="AR426" i="23"/>
  <c r="AO155" i="23"/>
  <c r="AR155" i="23"/>
  <c r="AO92" i="23"/>
  <c r="AR92" i="23"/>
  <c r="AO516" i="23"/>
  <c r="AR516" i="23"/>
  <c r="AO47" i="23"/>
  <c r="AR47" i="23"/>
  <c r="AO490" i="23"/>
  <c r="AR490" i="23"/>
  <c r="AO140" i="23"/>
  <c r="AR140" i="23"/>
  <c r="AO281" i="23"/>
  <c r="AR281" i="23"/>
  <c r="AT281" i="23"/>
  <c r="AO562" i="23"/>
  <c r="AR562" i="23"/>
  <c r="AO16" i="23"/>
  <c r="AR16" i="23"/>
  <c r="AO553" i="23"/>
  <c r="AR553" i="23"/>
  <c r="AO283" i="23"/>
  <c r="AR283" i="23"/>
  <c r="AT283" i="23"/>
  <c r="AO454" i="23"/>
  <c r="AR454" i="23"/>
  <c r="AO541" i="23"/>
  <c r="AR541" i="23"/>
  <c r="AO244" i="23"/>
  <c r="AR244" i="23"/>
  <c r="AO285" i="23"/>
  <c r="AR285" i="23"/>
  <c r="AT285" i="23"/>
  <c r="AO524" i="23"/>
  <c r="AR524" i="23"/>
  <c r="AO688" i="23"/>
  <c r="AR688" i="23"/>
  <c r="AO304" i="23"/>
  <c r="AR304" i="23"/>
  <c r="AT304" i="23"/>
  <c r="AO14" i="23"/>
  <c r="AR14" i="23"/>
  <c r="AO470" i="23"/>
  <c r="AR470" i="23"/>
  <c r="AO148" i="23"/>
  <c r="AR148" i="23"/>
  <c r="AT148" i="23"/>
  <c r="AO497" i="23"/>
  <c r="AR497" i="23"/>
  <c r="AS497" i="23"/>
  <c r="AO23" i="23"/>
  <c r="AR23" i="23"/>
  <c r="AO63" i="23"/>
  <c r="AR63" i="23"/>
  <c r="AO569" i="23"/>
  <c r="AR569" i="23"/>
  <c r="AO83" i="23"/>
  <c r="AO246" i="23"/>
  <c r="AO656" i="23"/>
  <c r="AO66" i="23"/>
  <c r="AO513" i="23"/>
  <c r="AO533" i="23"/>
  <c r="AO8" i="23"/>
  <c r="AR8" i="23"/>
  <c r="AO580" i="23"/>
  <c r="AO521" i="23"/>
  <c r="AO608" i="23"/>
  <c r="AO186" i="23"/>
  <c r="AO147" i="23"/>
  <c r="AO404" i="23"/>
  <c r="AO362" i="23"/>
  <c r="AO324" i="23"/>
  <c r="AO175" i="23"/>
  <c r="AO398" i="23"/>
  <c r="AO249" i="23"/>
  <c r="AO511" i="23"/>
  <c r="AO124" i="23"/>
  <c r="AO164" i="23"/>
  <c r="AO556" i="23"/>
  <c r="AR188" i="23"/>
  <c r="AT188" i="23"/>
  <c r="AO640" i="23"/>
  <c r="AO686" i="23"/>
  <c r="AO319" i="23"/>
  <c r="AO51" i="23"/>
  <c r="AO418" i="23"/>
  <c r="AO27" i="23"/>
  <c r="AR27" i="23"/>
  <c r="BB57" i="24"/>
  <c r="AO265" i="23"/>
  <c r="AO503" i="23"/>
  <c r="AO67" i="23"/>
  <c r="AO510" i="23"/>
  <c r="AO168" i="23"/>
  <c r="AO517" i="23"/>
  <c r="AO55" i="23"/>
  <c r="AO339" i="23"/>
  <c r="AO233" i="23"/>
  <c r="AO269" i="23"/>
  <c r="AO531" i="23"/>
  <c r="AO156" i="23"/>
  <c r="AO136" i="23"/>
  <c r="AO71" i="23"/>
  <c r="AO438" i="23"/>
  <c r="AO618" i="23"/>
  <c r="AO73" i="23"/>
  <c r="AO368" i="23"/>
  <c r="AR368" i="23"/>
  <c r="AO91" i="23"/>
  <c r="AO194" i="23"/>
  <c r="AO451" i="23"/>
  <c r="AO432" i="23"/>
  <c r="AO595" i="23"/>
  <c r="AO626" i="23"/>
  <c r="AO565" i="23"/>
  <c r="AO651" i="23"/>
  <c r="AO308" i="23"/>
  <c r="AO520" i="23"/>
  <c r="AO509" i="23"/>
  <c r="AO589" i="23"/>
  <c r="AO466" i="23"/>
  <c r="AO351" i="23"/>
  <c r="AO218" i="23"/>
  <c r="AO478" i="23"/>
  <c r="AO613" i="23"/>
  <c r="AO276" i="23"/>
  <c r="AO6" i="23"/>
  <c r="AO604" i="23"/>
  <c r="AR604" i="23"/>
  <c r="AO382" i="23"/>
  <c r="AR382" i="23"/>
  <c r="AO586" i="23"/>
  <c r="AO473" i="23"/>
  <c r="AO340" i="23"/>
  <c r="AO172" i="23"/>
  <c r="AO345" i="23"/>
  <c r="AO602" i="23"/>
  <c r="AO682" i="23"/>
  <c r="AO284" i="23"/>
  <c r="AO181" i="23"/>
  <c r="AO534" i="23"/>
  <c r="AO437" i="23"/>
  <c r="AO407" i="23"/>
  <c r="AO361" i="23"/>
  <c r="AO603" i="23"/>
  <c r="AR603" i="23"/>
  <c r="AO365" i="23"/>
  <c r="AR365" i="23"/>
  <c r="AO202" i="23"/>
  <c r="AO416" i="23"/>
  <c r="AO502" i="23"/>
  <c r="AO619" i="23"/>
  <c r="AR619" i="23"/>
  <c r="AO582" i="23"/>
  <c r="AO374" i="23"/>
  <c r="AR374" i="23"/>
  <c r="AO364" i="23"/>
  <c r="AR364" i="23"/>
  <c r="AO406" i="23"/>
  <c r="AO430" i="23"/>
  <c r="AO198" i="23"/>
  <c r="AO458" i="23"/>
  <c r="AO220" i="23"/>
  <c r="AO525" i="23"/>
  <c r="AO327" i="23"/>
  <c r="AO653" i="23"/>
  <c r="AO167" i="23"/>
  <c r="AO464" i="23"/>
  <c r="AO78" i="23"/>
  <c r="AO449" i="23"/>
  <c r="AO315" i="23"/>
  <c r="AO237" i="23"/>
  <c r="AO360" i="23"/>
  <c r="AO314" i="23"/>
  <c r="AO273" i="23"/>
  <c r="AO352" i="23"/>
  <c r="AO598" i="23"/>
  <c r="AO554" i="23"/>
  <c r="AO420" i="23"/>
  <c r="AO363" i="23"/>
  <c r="AR363" i="23"/>
  <c r="AO297" i="23"/>
  <c r="AO375" i="23"/>
  <c r="AR375" i="23"/>
  <c r="AO486" i="23"/>
  <c r="AO431" i="23"/>
  <c r="AO579" i="23"/>
  <c r="AO214" i="23"/>
  <c r="AO317" i="23"/>
  <c r="AO165" i="23"/>
  <c r="AO596" i="23"/>
  <c r="AO683" i="23"/>
  <c r="AO179" i="23"/>
  <c r="AO616" i="23"/>
  <c r="AO448" i="23"/>
  <c r="AO390" i="23"/>
  <c r="AR390" i="23"/>
  <c r="AO410" i="23"/>
  <c r="AO637" i="23"/>
  <c r="AO200" i="23"/>
  <c r="AO505" i="23"/>
  <c r="AO162" i="23"/>
  <c r="AO672" i="23"/>
  <c r="AO494" i="23"/>
  <c r="AO600" i="23"/>
  <c r="AO29" i="23"/>
  <c r="AR29" i="23"/>
  <c r="AO685" i="23"/>
  <c r="AO239" i="23"/>
  <c r="AO496" i="23"/>
  <c r="AO402" i="23"/>
  <c r="AO241" i="23"/>
  <c r="AO367" i="23"/>
  <c r="AR367" i="23"/>
  <c r="AO641" i="23"/>
  <c r="AO75" i="23"/>
  <c r="AO359" i="23"/>
  <c r="AO617" i="23"/>
  <c r="AO178" i="23"/>
  <c r="AO378" i="23"/>
  <c r="AR378" i="23"/>
  <c r="AO142" i="23"/>
  <c r="AO652" i="23"/>
  <c r="AO224" i="23"/>
  <c r="AO561" i="23"/>
  <c r="AO667" i="23"/>
  <c r="AO190" i="23"/>
  <c r="AO419" i="23"/>
  <c r="AO101" i="23"/>
  <c r="AR101" i="23"/>
  <c r="AO563" i="23"/>
  <c r="AO98" i="23"/>
  <c r="AR98" i="23"/>
  <c r="AO469" i="23"/>
  <c r="AO225" i="23"/>
  <c r="AO334" i="23"/>
  <c r="AO495" i="23"/>
  <c r="AO176" i="23"/>
  <c r="AO52" i="23"/>
  <c r="AO262" i="23"/>
  <c r="AO630" i="23"/>
  <c r="AO259" i="23"/>
  <c r="AO576" i="23"/>
  <c r="AO128" i="23"/>
  <c r="AO544" i="23"/>
  <c r="AO529" i="23"/>
  <c r="AO493" i="23"/>
  <c r="AR127" i="23"/>
  <c r="AT127" i="23"/>
  <c r="AO143" i="23"/>
  <c r="AO248" i="23"/>
  <c r="AO205" i="23"/>
  <c r="AO492" i="23"/>
  <c r="AO105" i="23"/>
  <c r="AR105" i="23"/>
  <c r="AO254" i="23"/>
  <c r="AO512" i="23"/>
  <c r="AO370" i="23"/>
  <c r="AR370" i="23"/>
  <c r="AO80" i="23"/>
  <c r="AO445" i="23"/>
  <c r="AO100" i="23"/>
  <c r="AR100" i="23"/>
  <c r="AO465" i="23"/>
  <c r="AO122" i="23"/>
  <c r="AR122" i="23"/>
  <c r="AO632" i="23"/>
  <c r="AO146" i="23"/>
  <c r="AO108" i="23"/>
  <c r="AR108" i="23"/>
  <c r="AO462" i="23"/>
  <c r="AO386" i="23"/>
  <c r="AR386" i="23"/>
  <c r="AO213" i="23"/>
  <c r="AO104" i="23"/>
  <c r="AR104" i="23"/>
  <c r="AO311" i="23"/>
  <c r="AO121" i="23"/>
  <c r="AR121" i="23"/>
  <c r="AO583" i="23"/>
  <c r="AO132" i="23"/>
  <c r="AO257" i="23"/>
  <c r="AO661" i="23"/>
  <c r="Q26" i="13"/>
  <c r="Q27" i="13"/>
  <c r="Q30" i="13"/>
  <c r="Q29" i="13"/>
  <c r="Q28" i="13"/>
  <c r="AO463" i="23"/>
  <c r="AO380" i="23"/>
  <c r="AR380" i="23"/>
  <c r="AO477" i="23"/>
  <c r="AO387" i="23"/>
  <c r="AR387" i="23"/>
  <c r="AO342" i="23"/>
  <c r="AO296" i="23"/>
  <c r="AO187" i="23"/>
  <c r="AO584" i="23"/>
  <c r="AO184" i="23"/>
  <c r="AO331" i="23"/>
  <c r="AO453" i="23"/>
  <c r="AO160" i="23"/>
  <c r="AO515" i="23"/>
  <c r="AO491" i="23"/>
  <c r="AO354" i="23"/>
  <c r="AO68" i="23"/>
  <c r="AO112" i="23"/>
  <c r="AR112" i="23"/>
  <c r="AO134" i="23"/>
  <c r="AO550" i="23"/>
  <c r="AO38" i="23"/>
  <c r="AO409" i="23"/>
  <c r="AO673" i="23"/>
  <c r="AO49" i="23"/>
  <c r="AO372" i="23"/>
  <c r="AR372" i="23"/>
  <c r="AO46" i="23"/>
  <c r="AO684" i="23"/>
  <c r="AO347" i="23"/>
  <c r="AO261" i="23"/>
  <c r="AO542" i="23"/>
  <c r="AO305" i="23"/>
  <c r="AO506" i="23"/>
  <c r="AO312" i="23"/>
  <c r="AO277" i="23"/>
  <c r="AO681" i="23"/>
  <c r="R29" i="13"/>
  <c r="R30" i="13"/>
  <c r="R28" i="13"/>
  <c r="R26" i="13"/>
  <c r="R27" i="13"/>
  <c r="V27" i="13"/>
  <c r="W27" i="13"/>
  <c r="V26" i="13"/>
  <c r="V30" i="13"/>
  <c r="V28" i="13"/>
  <c r="V29" i="13"/>
  <c r="S28" i="13"/>
  <c r="S30" i="13"/>
  <c r="S26" i="13"/>
  <c r="S29" i="13"/>
  <c r="S27" i="13"/>
  <c r="BN35" i="16"/>
  <c r="BM35" i="16"/>
  <c r="BL35" i="16"/>
  <c r="BK35" i="16"/>
  <c r="BJ35" i="16"/>
  <c r="BI35" i="16"/>
  <c r="BH35" i="16"/>
  <c r="BG35" i="16"/>
  <c r="BF35" i="16"/>
  <c r="BE35" i="16"/>
  <c r="BD35" i="16"/>
  <c r="BC35" i="16"/>
  <c r="BN34" i="16"/>
  <c r="BM34" i="16"/>
  <c r="BL34" i="16"/>
  <c r="BK34" i="16"/>
  <c r="BJ34" i="16"/>
  <c r="BI34" i="16"/>
  <c r="BH34" i="16"/>
  <c r="BG34" i="16"/>
  <c r="BF34" i="16"/>
  <c r="BE34" i="16"/>
  <c r="BD34" i="16"/>
  <c r="BC34" i="16"/>
  <c r="BN33" i="16"/>
  <c r="BM33" i="16"/>
  <c r="BL33" i="16"/>
  <c r="BK33" i="16"/>
  <c r="BJ33" i="16"/>
  <c r="BI33" i="16"/>
  <c r="BH33" i="16"/>
  <c r="BG33" i="16"/>
  <c r="BF33" i="16"/>
  <c r="BE33" i="16"/>
  <c r="BD33" i="16"/>
  <c r="AA21" i="16"/>
  <c r="AS116" i="23"/>
  <c r="AS119" i="23"/>
  <c r="AS109" i="23"/>
  <c r="AS107" i="23"/>
  <c r="AS21" i="23"/>
  <c r="AT28" i="23"/>
  <c r="AR705" i="23"/>
  <c r="AS705" i="23"/>
  <c r="AR796" i="23"/>
  <c r="AT796" i="23"/>
  <c r="AS758" i="23"/>
  <c r="AT758" i="23"/>
  <c r="AR704" i="23"/>
  <c r="AS704" i="23"/>
  <c r="AR803" i="23"/>
  <c r="AS803" i="23"/>
  <c r="AS831" i="23"/>
  <c r="AT831" i="23"/>
  <c r="AR815" i="23"/>
  <c r="AT815" i="23"/>
  <c r="AS837" i="23"/>
  <c r="AT837" i="23"/>
  <c r="AS771" i="23"/>
  <c r="AT771" i="23"/>
  <c r="AS733" i="23"/>
  <c r="AT733" i="23"/>
  <c r="AR717" i="23"/>
  <c r="AS717" i="23"/>
  <c r="AS769" i="23"/>
  <c r="AT769" i="23"/>
  <c r="AS804" i="23"/>
  <c r="AT804" i="23"/>
  <c r="AS754" i="23"/>
  <c r="AT754" i="23"/>
  <c r="AS762" i="23"/>
  <c r="AT762" i="23"/>
  <c r="AS832" i="23"/>
  <c r="AT832" i="23"/>
  <c r="AS813" i="23"/>
  <c r="AT813" i="23"/>
  <c r="AS861" i="23"/>
  <c r="AT861" i="23"/>
  <c r="AS807" i="23"/>
  <c r="AT807" i="23"/>
  <c r="AR840" i="23"/>
  <c r="AT840" i="23"/>
  <c r="AS866" i="23"/>
  <c r="AT866" i="23"/>
  <c r="AS727" i="23"/>
  <c r="AT727" i="23"/>
  <c r="AR697" i="23"/>
  <c r="AS697" i="23"/>
  <c r="AR800" i="23"/>
  <c r="AT800" i="23"/>
  <c r="AS751" i="23"/>
  <c r="AT751" i="23"/>
  <c r="AR780" i="23"/>
  <c r="AT780" i="23"/>
  <c r="AR869" i="23"/>
  <c r="AT869" i="23"/>
  <c r="AR793" i="23"/>
  <c r="AT793" i="23"/>
  <c r="AR797" i="23"/>
  <c r="AT797" i="23"/>
  <c r="AR726" i="23"/>
  <c r="AT726" i="23"/>
  <c r="AS779" i="23"/>
  <c r="AT779" i="23"/>
  <c r="AS834" i="23"/>
  <c r="AT834" i="23"/>
  <c r="AS756" i="23"/>
  <c r="AT756" i="23"/>
  <c r="AS723" i="23"/>
  <c r="AT723" i="23"/>
  <c r="AR790" i="23"/>
  <c r="AT790" i="23"/>
  <c r="AR719" i="23"/>
  <c r="AS719" i="23"/>
  <c r="AR816" i="23"/>
  <c r="AT816" i="23"/>
  <c r="AR729" i="23"/>
  <c r="AT729" i="23"/>
  <c r="AS782" i="23"/>
  <c r="AT782" i="23"/>
  <c r="AS867" i="23"/>
  <c r="AT867" i="23"/>
  <c r="AR755" i="23"/>
  <c r="AT755" i="23"/>
  <c r="AR785" i="23"/>
  <c r="AT785" i="23"/>
  <c r="AS812" i="23"/>
  <c r="AT812" i="23"/>
  <c r="AR845" i="23"/>
  <c r="AT845" i="23"/>
  <c r="AR855" i="23"/>
  <c r="AT855" i="23"/>
  <c r="AR856" i="23"/>
  <c r="AT856" i="23"/>
  <c r="AR851" i="23"/>
  <c r="AT851" i="23"/>
  <c r="AR748" i="23"/>
  <c r="AT748" i="23"/>
  <c r="AS859" i="23"/>
  <c r="AT859" i="23"/>
  <c r="AR698" i="23"/>
  <c r="AS698" i="23"/>
  <c r="AS844" i="23"/>
  <c r="AT844" i="23"/>
  <c r="AR849" i="23"/>
  <c r="AT849" i="23"/>
  <c r="AS766" i="23"/>
  <c r="AT766" i="23"/>
  <c r="AS761" i="23"/>
  <c r="AT761" i="23"/>
  <c r="AS787" i="23"/>
  <c r="AT787" i="23"/>
  <c r="AS783" i="23"/>
  <c r="AT783" i="23"/>
  <c r="AR774" i="23"/>
  <c r="AT774" i="23"/>
  <c r="AS863" i="23"/>
  <c r="AT863" i="23"/>
  <c r="AR740" i="23"/>
  <c r="AT740" i="23"/>
  <c r="AS868" i="23"/>
  <c r="AT868" i="23"/>
  <c r="AS757" i="23"/>
  <c r="AT757" i="23"/>
  <c r="AS732" i="23"/>
  <c r="AT732" i="23"/>
  <c r="AR818" i="23"/>
  <c r="AT818" i="23"/>
  <c r="AR792" i="23"/>
  <c r="AT792" i="23"/>
  <c r="AS773" i="23"/>
  <c r="AT773" i="23"/>
  <c r="AR759" i="23"/>
  <c r="AT759" i="23"/>
  <c r="AR857" i="23"/>
  <c r="AT857" i="23"/>
  <c r="AS752" i="23"/>
  <c r="AT752" i="23"/>
  <c r="AR706" i="23"/>
  <c r="AS706" i="23"/>
  <c r="AR735" i="23"/>
  <c r="AT735" i="23"/>
  <c r="AR708" i="23"/>
  <c r="AS708" i="23"/>
  <c r="AS802" i="23"/>
  <c r="AT802" i="23"/>
  <c r="AR775" i="23"/>
  <c r="AT775" i="23"/>
  <c r="AS811" i="23"/>
  <c r="AT811" i="23"/>
  <c r="AR718" i="23"/>
  <c r="AS718" i="23"/>
  <c r="AS819" i="23"/>
  <c r="AT819" i="23"/>
  <c r="AS839" i="23"/>
  <c r="AT839" i="23"/>
  <c r="AS824" i="23"/>
  <c r="AT824" i="23"/>
  <c r="AS862" i="23"/>
  <c r="AT862" i="23"/>
  <c r="AR701" i="23"/>
  <c r="AS701" i="23"/>
  <c r="AR728" i="23"/>
  <c r="AT728" i="23"/>
  <c r="AR836" i="23"/>
  <c r="AT836" i="23"/>
  <c r="AR746" i="23"/>
  <c r="AT746" i="23"/>
  <c r="AR784" i="23"/>
  <c r="AT784" i="23"/>
  <c r="AR846" i="23"/>
  <c r="AT846" i="23"/>
  <c r="AS741" i="23"/>
  <c r="AT741" i="23"/>
  <c r="AR711" i="23"/>
  <c r="AS711" i="23"/>
  <c r="AR858" i="23"/>
  <c r="AT858" i="23"/>
  <c r="AS853" i="23"/>
  <c r="AT853" i="23"/>
  <c r="AR695" i="23"/>
  <c r="AS695" i="23"/>
  <c r="AR739" i="23"/>
  <c r="AT739" i="23"/>
  <c r="AR702" i="23"/>
  <c r="AS702" i="23"/>
  <c r="AR829" i="23"/>
  <c r="AT829" i="23"/>
  <c r="AS772" i="23"/>
  <c r="AT772" i="23"/>
  <c r="AS833" i="23"/>
  <c r="AT833" i="23"/>
  <c r="AS864" i="23"/>
  <c r="AT864" i="23"/>
  <c r="AS821" i="23"/>
  <c r="AT821" i="23"/>
  <c r="AR714" i="23"/>
  <c r="AS714" i="23"/>
  <c r="AS731" i="23"/>
  <c r="AT731" i="23"/>
  <c r="AS823" i="23"/>
  <c r="AT823" i="23"/>
  <c r="AS737" i="23"/>
  <c r="AT737" i="23"/>
  <c r="AR712" i="23"/>
  <c r="AS712" i="23"/>
  <c r="AR820" i="23"/>
  <c r="AT820" i="23"/>
  <c r="AR715" i="23"/>
  <c r="AS715" i="23"/>
  <c r="AR710" i="23"/>
  <c r="AS710" i="23"/>
  <c r="AR865" i="23"/>
  <c r="AT865" i="23"/>
  <c r="AR721" i="23"/>
  <c r="AS721" i="23"/>
  <c r="AR736" i="23"/>
  <c r="AT736" i="23"/>
  <c r="AS842" i="23"/>
  <c r="AT842" i="23"/>
  <c r="AS724" i="23"/>
  <c r="AT724" i="23"/>
  <c r="AS809" i="23"/>
  <c r="AT809" i="23"/>
  <c r="AS742" i="23"/>
  <c r="AT742" i="23"/>
  <c r="AR700" i="23"/>
  <c r="AS700" i="23"/>
  <c r="AR847" i="23"/>
  <c r="AT847" i="23"/>
  <c r="AR848" i="23"/>
  <c r="AT848" i="23"/>
  <c r="AS826" i="23"/>
  <c r="AT826" i="23"/>
  <c r="AS814" i="23"/>
  <c r="AT814" i="23"/>
  <c r="AS764" i="23"/>
  <c r="AT764" i="23"/>
  <c r="AR750" i="23"/>
  <c r="AT750" i="23"/>
  <c r="AR703" i="23"/>
  <c r="AS703" i="23"/>
  <c r="AS854" i="23"/>
  <c r="AT854" i="23"/>
  <c r="AR835" i="23"/>
  <c r="AT835" i="23"/>
  <c r="AR734" i="23"/>
  <c r="AT734" i="23"/>
  <c r="AR798" i="23"/>
  <c r="AT798" i="23"/>
  <c r="AS781" i="23"/>
  <c r="AT781" i="23"/>
  <c r="AS767" i="23"/>
  <c r="AT767" i="23"/>
  <c r="AR713" i="23"/>
  <c r="AS713" i="23"/>
  <c r="AS841" i="23"/>
  <c r="AT841" i="23"/>
  <c r="AR825" i="23"/>
  <c r="AT825" i="23"/>
  <c r="AR738" i="23"/>
  <c r="AT738" i="23"/>
  <c r="AS738" i="23"/>
  <c r="AR860" i="23"/>
  <c r="AT860" i="23"/>
  <c r="AR743" i="23"/>
  <c r="AT743" i="23"/>
  <c r="AR770" i="23"/>
  <c r="AT770" i="23"/>
  <c r="AR693" i="23"/>
  <c r="AS693" i="23"/>
  <c r="AS801" i="23"/>
  <c r="AT801" i="23"/>
  <c r="AS788" i="23"/>
  <c r="AT788" i="23"/>
  <c r="AR830" i="23"/>
  <c r="AT830" i="23"/>
  <c r="AR871" i="23"/>
  <c r="AT871" i="23"/>
  <c r="AR808" i="23"/>
  <c r="AT808" i="23"/>
  <c r="AR694" i="23"/>
  <c r="AS694" i="23"/>
  <c r="AR838" i="23"/>
  <c r="AT838" i="23"/>
  <c r="AS872" i="23"/>
  <c r="AT872" i="23"/>
  <c r="AR696" i="23"/>
  <c r="AS696" i="23"/>
  <c r="AS852" i="23"/>
  <c r="AT852" i="23"/>
  <c r="AS786" i="23"/>
  <c r="AT786" i="23"/>
  <c r="AR795" i="23"/>
  <c r="AT795" i="23"/>
  <c r="AR765" i="23"/>
  <c r="AT765" i="23"/>
  <c r="AS822" i="23"/>
  <c r="AT822" i="23"/>
  <c r="AR799" i="23"/>
  <c r="AT799" i="23"/>
  <c r="AS768" i="23"/>
  <c r="AT768" i="23"/>
  <c r="AS763" i="23"/>
  <c r="AT763" i="23"/>
  <c r="AR810" i="23"/>
  <c r="AT810" i="23"/>
  <c r="AR850" i="23"/>
  <c r="AT850" i="23"/>
  <c r="AR828" i="23"/>
  <c r="AT828" i="23"/>
  <c r="AR777" i="23"/>
  <c r="AT777" i="23"/>
  <c r="AR760" i="23"/>
  <c r="AT760" i="23"/>
  <c r="AR749" i="23"/>
  <c r="AT749" i="23"/>
  <c r="AR747" i="23"/>
  <c r="AT747" i="23"/>
  <c r="AR745" i="23"/>
  <c r="AT745" i="23"/>
  <c r="AS794" i="23"/>
  <c r="AT794" i="23"/>
  <c r="AR843" i="23"/>
  <c r="AT843" i="23"/>
  <c r="AR699" i="23"/>
  <c r="AS699" i="23"/>
  <c r="AR707" i="23"/>
  <c r="AS707" i="23"/>
  <c r="AR870" i="23"/>
  <c r="AT870" i="23"/>
  <c r="AR730" i="23"/>
  <c r="AT730" i="23"/>
  <c r="AR709" i="23"/>
  <c r="AS709" i="23"/>
  <c r="AR725" i="23"/>
  <c r="AT725" i="23"/>
  <c r="AR776" i="23"/>
  <c r="AT776" i="23"/>
  <c r="AR720" i="23"/>
  <c r="AS720" i="23"/>
  <c r="AR827" i="23"/>
  <c r="AT827" i="23"/>
  <c r="AR753" i="23"/>
  <c r="AT753" i="23"/>
  <c r="AR817" i="23"/>
  <c r="AT817" i="23"/>
  <c r="AR778" i="23"/>
  <c r="AT778" i="23"/>
  <c r="AR722" i="23"/>
  <c r="AS722" i="23"/>
  <c r="AR805" i="23"/>
  <c r="AS805" i="23"/>
  <c r="AS806" i="23"/>
  <c r="AT806" i="23"/>
  <c r="AS791" i="23"/>
  <c r="AT791" i="23"/>
  <c r="AR789" i="23"/>
  <c r="AT789" i="23"/>
  <c r="AR716" i="23"/>
  <c r="AS716" i="23"/>
  <c r="AS744" i="23"/>
  <c r="AT744" i="23"/>
  <c r="AT144" i="23"/>
  <c r="AT140" i="23"/>
  <c r="AT151" i="23"/>
  <c r="AT138" i="23"/>
  <c r="AT149" i="23"/>
  <c r="AT145" i="23"/>
  <c r="AS113" i="23"/>
  <c r="AS26" i="23"/>
  <c r="AT11" i="23"/>
  <c r="AS17" i="23"/>
  <c r="AS5" i="23"/>
  <c r="AT236" i="23"/>
  <c r="AT417" i="23"/>
  <c r="AT394" i="23"/>
  <c r="AT559" i="23"/>
  <c r="AT665" i="23"/>
  <c r="AU16" i="16" a="1"/>
  <c r="AU16" i="16"/>
  <c r="AT552" i="23"/>
  <c r="AT569" i="23"/>
  <c r="AT553" i="23"/>
  <c r="AT64" i="23"/>
  <c r="AT666" i="23"/>
  <c r="AU17" i="16" a="1"/>
  <c r="AU17" i="16"/>
  <c r="AT401" i="23"/>
  <c r="AT31" i="23"/>
  <c r="AT70" i="23"/>
  <c r="AT16" i="23"/>
  <c r="AT230" i="23"/>
  <c r="AT548" i="23"/>
  <c r="AT23" i="23"/>
  <c r="AT79" i="23"/>
  <c r="AT228" i="23"/>
  <c r="AT555" i="23"/>
  <c r="AS16" i="23"/>
  <c r="AT668" i="23"/>
  <c r="AU19" i="16" a="1"/>
  <c r="AU19" i="16"/>
  <c r="AT562" i="23"/>
  <c r="AT680" i="23"/>
  <c r="AW19" i="16" a="1"/>
  <c r="AW19" i="16"/>
  <c r="AT566" i="23"/>
  <c r="AT677" i="23"/>
  <c r="AW16" i="16" a="1"/>
  <c r="AW16" i="16"/>
  <c r="AT689" i="23"/>
  <c r="BA16" i="16" a="1"/>
  <c r="BA16" i="16"/>
  <c r="AT229" i="23"/>
  <c r="AT663" i="23"/>
  <c r="AU14" i="16" a="1"/>
  <c r="AU14" i="16"/>
  <c r="BF14" i="16"/>
  <c r="AB12" i="16"/>
  <c r="AT234" i="23"/>
  <c r="AT30" i="23"/>
  <c r="AT86" i="23"/>
  <c r="AT669" i="23"/>
  <c r="AV14" i="16" a="1"/>
  <c r="AV14" i="16"/>
  <c r="AT412" i="23"/>
  <c r="AT676" i="23"/>
  <c r="AW15" i="16" a="1"/>
  <c r="AW15" i="16"/>
  <c r="AT235" i="23"/>
  <c r="AT388" i="23"/>
  <c r="AT12" i="23"/>
  <c r="AT690" i="23"/>
  <c r="BA17" i="16" a="1"/>
  <c r="BA17" i="16"/>
  <c r="AT14" i="23"/>
  <c r="AT74" i="23"/>
  <c r="AT545" i="23"/>
  <c r="AT3" i="23"/>
  <c r="AT572" i="23"/>
  <c r="AT543" i="23"/>
  <c r="AT570" i="23"/>
  <c r="AT392" i="23"/>
  <c r="AT77" i="23"/>
  <c r="AT81" i="23"/>
  <c r="AT373" i="23"/>
  <c r="AT9" i="23"/>
  <c r="AT452" i="23"/>
  <c r="AT557" i="23"/>
  <c r="AT403" i="23"/>
  <c r="AT664" i="23"/>
  <c r="AU15" i="16" a="1"/>
  <c r="AU15" i="16"/>
  <c r="AT400" i="23"/>
  <c r="AT18" i="23"/>
  <c r="AT434" i="23"/>
  <c r="AT85" i="23"/>
  <c r="AT421" i="23"/>
  <c r="AT443" i="23"/>
  <c r="AT25" i="23"/>
  <c r="AT92" i="23"/>
  <c r="AT687" i="23"/>
  <c r="BA14" i="16" a="1"/>
  <c r="BA14" i="16"/>
  <c r="AT396" i="23"/>
  <c r="AT547" i="23"/>
  <c r="AT379" i="23"/>
  <c r="AT232" i="23"/>
  <c r="AT21" i="23"/>
  <c r="AT385" i="23"/>
  <c r="AT10" i="23"/>
  <c r="AS106" i="23"/>
  <c r="AT90" i="23"/>
  <c r="AT397" i="23"/>
  <c r="AT678" i="23"/>
  <c r="AW17" i="16" a="1"/>
  <c r="AW17" i="16"/>
  <c r="AT560" i="23"/>
  <c r="AT5" i="23"/>
  <c r="AT691" i="23"/>
  <c r="BA18" i="16" a="1"/>
  <c r="BA18" i="16"/>
  <c r="AT20" i="23"/>
  <c r="AT63" i="23"/>
  <c r="AT670" i="23"/>
  <c r="AV15" i="16" a="1"/>
  <c r="AV15" i="16"/>
  <c r="AT4" i="23"/>
  <c r="AS433" i="23"/>
  <c r="AT558" i="23"/>
  <c r="AT671" i="23"/>
  <c r="AV16" i="16" a="1"/>
  <c r="AV16" i="16"/>
  <c r="AT32" i="23"/>
  <c r="AT679" i="23"/>
  <c r="AW18" i="16" a="1"/>
  <c r="AW18" i="16"/>
  <c r="AT399" i="23"/>
  <c r="AT389" i="23"/>
  <c r="AT415" i="23"/>
  <c r="AT571" i="23"/>
  <c r="AT13" i="23"/>
  <c r="AT7" i="23"/>
  <c r="AT76" i="23"/>
  <c r="AT551" i="23"/>
  <c r="AT65" i="23"/>
  <c r="AT22" i="23"/>
  <c r="AS426" i="23"/>
  <c r="AT688" i="23"/>
  <c r="BA15" i="16" a="1"/>
  <c r="BA15" i="16"/>
  <c r="AT549" i="23"/>
  <c r="AT88" i="23"/>
  <c r="AT369" i="23"/>
  <c r="AT82" i="23"/>
  <c r="AT675" i="23"/>
  <c r="AW14" i="16" a="1"/>
  <c r="AW14" i="16"/>
  <c r="AT568" i="23"/>
  <c r="AT564" i="23"/>
  <c r="AT428" i="23"/>
  <c r="AT238" i="23"/>
  <c r="AT408" i="23"/>
  <c r="AT567" i="23"/>
  <c r="AT19" i="23"/>
  <c r="AT376" i="23"/>
  <c r="AT425" i="23"/>
  <c r="AT446" i="23"/>
  <c r="AT383" i="23"/>
  <c r="AT546" i="23"/>
  <c r="AT405" i="23"/>
  <c r="AT84" i="23"/>
  <c r="AT414" i="23"/>
  <c r="AS95" i="23"/>
  <c r="AS20" i="23"/>
  <c r="AS385" i="23"/>
  <c r="AS7" i="23"/>
  <c r="AS376" i="23"/>
  <c r="AS377" i="23"/>
  <c r="AS383" i="23"/>
  <c r="AS621" i="23"/>
  <c r="AS392" i="23"/>
  <c r="AS93" i="23"/>
  <c r="AS611" i="23"/>
  <c r="AS389" i="23"/>
  <c r="AS13" i="23"/>
  <c r="AS18" i="23"/>
  <c r="AS381" i="23"/>
  <c r="AS388" i="23"/>
  <c r="AS28" i="23"/>
  <c r="AS11" i="23"/>
  <c r="AS391" i="23"/>
  <c r="AS4" i="23"/>
  <c r="AS623" i="23"/>
  <c r="AS97" i="23"/>
  <c r="AS99" i="23"/>
  <c r="AS24" i="23"/>
  <c r="AS12" i="23"/>
  <c r="AS103" i="23"/>
  <c r="AS23" i="23"/>
  <c r="AS373" i="23"/>
  <c r="AS625" i="23"/>
  <c r="AS111" i="23"/>
  <c r="AS25" i="23"/>
  <c r="AS607" i="23"/>
  <c r="AS22" i="23"/>
  <c r="AS3" i="23"/>
  <c r="AS115" i="23"/>
  <c r="AS9" i="23"/>
  <c r="AS120" i="23"/>
  <c r="AS19" i="23"/>
  <c r="AS191" i="23"/>
  <c r="AS304" i="23"/>
  <c r="AT271" i="23"/>
  <c r="AS173" i="23"/>
  <c r="AS606" i="23"/>
  <c r="AT429" i="23"/>
  <c r="AS39" i="23"/>
  <c r="AT157" i="23"/>
  <c r="AS366" i="23"/>
  <c r="AT484" i="23"/>
  <c r="AT436" i="23"/>
  <c r="AS58" i="23"/>
  <c r="AT514" i="23"/>
  <c r="AT483" i="23"/>
  <c r="AT94" i="23"/>
  <c r="AS605" i="23"/>
  <c r="AT489" i="23"/>
  <c r="AT96" i="23"/>
  <c r="AT272" i="23"/>
  <c r="AS62" i="23"/>
  <c r="AT252" i="23"/>
  <c r="AS41" i="23"/>
  <c r="AT487" i="23"/>
  <c r="AT539" i="23"/>
  <c r="AS40" i="23"/>
  <c r="AT532" i="23"/>
  <c r="AT498" i="23"/>
  <c r="AS45" i="23"/>
  <c r="AT245" i="23"/>
  <c r="AT536" i="23"/>
  <c r="AT424" i="23"/>
  <c r="AT607" i="23"/>
  <c r="AT488" i="23"/>
  <c r="AT427" i="23"/>
  <c r="AT384" i="23"/>
  <c r="AT537" i="23"/>
  <c r="AT381" i="23"/>
  <c r="AT540" i="23"/>
  <c r="AS56" i="23"/>
  <c r="AT524" i="23"/>
  <c r="AT247" i="23"/>
  <c r="AT263" i="23"/>
  <c r="AT182" i="23"/>
  <c r="AT260" i="23"/>
  <c r="AT159" i="23"/>
  <c r="AT497" i="23"/>
  <c r="AT250" i="23"/>
  <c r="AS37" i="23"/>
  <c r="AS61" i="23"/>
  <c r="AT268" i="23"/>
  <c r="AT441" i="23"/>
  <c r="AS54" i="23"/>
  <c r="AT270" i="23"/>
  <c r="AT519" i="23"/>
  <c r="AS428" i="23"/>
  <c r="AT508" i="23"/>
  <c r="AT504" i="23"/>
  <c r="AT435" i="23"/>
  <c r="AT433" i="23"/>
  <c r="AT161" i="23"/>
  <c r="AT251" i="23"/>
  <c r="AT485" i="23"/>
  <c r="AT154" i="23"/>
  <c r="AT518" i="23"/>
  <c r="AT169" i="23"/>
  <c r="AT177" i="23"/>
  <c r="AT255" i="23"/>
  <c r="AT526" i="23"/>
  <c r="AT391" i="23"/>
  <c r="AT450" i="23"/>
  <c r="AT530" i="23"/>
  <c r="AT53" i="23"/>
  <c r="AT442" i="23"/>
  <c r="AT244" i="23"/>
  <c r="AT155" i="23"/>
  <c r="AT535" i="23"/>
  <c r="AT180" i="23"/>
  <c r="AT256" i="23"/>
  <c r="AS43" i="23"/>
  <c r="AT528" i="23"/>
  <c r="AT258" i="23"/>
  <c r="AT166" i="23"/>
  <c r="AT538" i="23"/>
  <c r="AT527" i="23"/>
  <c r="AT500" i="23"/>
  <c r="AT439" i="23"/>
  <c r="AS59" i="23"/>
  <c r="AS44" i="23"/>
  <c r="AS34" i="23"/>
  <c r="AT541" i="23"/>
  <c r="AT243" i="23"/>
  <c r="AS47" i="23"/>
  <c r="AT426" i="23"/>
  <c r="AS208" i="23"/>
  <c r="AS35" i="23"/>
  <c r="AT499" i="23"/>
  <c r="AS371" i="23"/>
  <c r="AT264" i="23"/>
  <c r="AT447" i="23"/>
  <c r="AT266" i="23"/>
  <c r="AS33" i="23"/>
  <c r="AT507" i="23"/>
  <c r="AT158" i="23"/>
  <c r="AT444" i="23"/>
  <c r="AT501" i="23"/>
  <c r="AS60" i="23"/>
  <c r="AT163" i="23"/>
  <c r="AT153" i="23"/>
  <c r="AT516" i="23"/>
  <c r="AT522" i="23"/>
  <c r="AT171" i="23"/>
  <c r="AT174" i="23"/>
  <c r="AT490" i="23"/>
  <c r="AT267" i="23"/>
  <c r="AT170" i="23"/>
  <c r="AS57" i="23"/>
  <c r="BO33" i="16"/>
  <c r="BO34" i="16"/>
  <c r="BO35" i="16"/>
  <c r="AS541" i="23"/>
  <c r="AS562" i="23"/>
  <c r="AS384" i="23"/>
  <c r="AS10" i="23"/>
  <c r="AS379" i="23"/>
  <c r="AS475" i="23"/>
  <c r="AS180" i="23"/>
  <c r="AS442" i="23"/>
  <c r="AS48" i="23"/>
  <c r="AS691" i="23"/>
  <c r="AS155" i="23"/>
  <c r="AS522" i="23"/>
  <c r="AS149" i="23"/>
  <c r="AS110" i="23"/>
  <c r="AS369" i="23"/>
  <c r="AS528" i="23"/>
  <c r="AS114" i="23"/>
  <c r="AS139" i="23"/>
  <c r="AS408" i="23"/>
  <c r="AS293" i="23"/>
  <c r="AS127" i="23"/>
  <c r="AR36" i="23"/>
  <c r="AS343" i="23"/>
  <c r="AS86" i="23"/>
  <c r="AS234" i="23"/>
  <c r="AS424" i="23"/>
  <c r="AS526" i="23"/>
  <c r="AS415" i="23"/>
  <c r="AS650" i="23"/>
  <c r="AS289" i="23"/>
  <c r="AS288" i="23"/>
  <c r="AS53" i="23"/>
  <c r="AS298" i="23"/>
  <c r="AS270" i="23"/>
  <c r="AT423" i="23"/>
  <c r="AS423" i="23"/>
  <c r="AS455" i="23"/>
  <c r="AT338" i="23"/>
  <c r="AS338" i="23"/>
  <c r="AT636" i="23"/>
  <c r="AS636" i="23"/>
  <c r="AT318" i="23"/>
  <c r="AS318" i="23"/>
  <c r="AS470" i="23"/>
  <c r="AT590" i="23"/>
  <c r="AS590" i="23"/>
  <c r="AS183" i="23"/>
  <c r="AS459" i="23"/>
  <c r="AS358" i="23"/>
  <c r="AS286" i="23"/>
  <c r="AS498" i="23"/>
  <c r="AS81" i="23"/>
  <c r="AS251" i="23"/>
  <c r="AS536" i="23"/>
  <c r="AS285" i="23"/>
  <c r="AS65" i="23"/>
  <c r="AS126" i="23"/>
  <c r="AS96" i="23"/>
  <c r="AS530" i="23"/>
  <c r="AS163" i="23"/>
  <c r="AS680" i="23"/>
  <c r="AS566" i="23"/>
  <c r="AS301" i="23"/>
  <c r="AS222" i="23"/>
  <c r="AS633" i="23"/>
  <c r="AR523" i="23"/>
  <c r="AS572" i="23"/>
  <c r="AS135" i="23"/>
  <c r="AS516" i="23"/>
  <c r="AS631" i="23"/>
  <c r="AS32" i="23"/>
  <c r="AS295" i="23"/>
  <c r="AS310" i="23"/>
  <c r="AS439" i="23"/>
  <c r="AR692" i="23"/>
  <c r="AS123" i="23"/>
  <c r="AS535" i="23"/>
  <c r="AS177" i="23"/>
  <c r="AT674" i="23"/>
  <c r="AS674" i="23"/>
  <c r="AS476" i="23"/>
  <c r="AS454" i="23"/>
  <c r="AT253" i="23"/>
  <c r="AS253" i="23"/>
  <c r="AT72" i="23"/>
  <c r="AS72" i="23"/>
  <c r="AT303" i="23"/>
  <c r="AS303" i="23"/>
  <c r="AS569" i="23"/>
  <c r="AS333" i="23"/>
  <c r="AS92" i="23"/>
  <c r="AS594" i="23"/>
  <c r="AS336" i="23"/>
  <c r="AS627" i="23"/>
  <c r="AS434" i="23"/>
  <c r="AS287" i="23"/>
  <c r="AS63" i="23"/>
  <c r="AS688" i="23"/>
  <c r="AS153" i="23"/>
  <c r="AS483" i="23"/>
  <c r="AS678" i="23"/>
  <c r="AS558" i="23"/>
  <c r="AS330" i="23"/>
  <c r="AS577" i="23"/>
  <c r="AS560" i="23"/>
  <c r="AS443" i="23"/>
  <c r="AS543" i="23"/>
  <c r="AS219" i="23"/>
  <c r="AS117" i="23"/>
  <c r="AS574" i="23"/>
  <c r="AS585" i="23"/>
  <c r="AS150" i="23"/>
  <c r="AS292" i="23"/>
  <c r="AS643" i="23"/>
  <c r="AS281" i="23"/>
  <c r="AS615" i="23"/>
  <c r="AS227" i="23"/>
  <c r="AS687" i="23"/>
  <c r="AS457" i="23"/>
  <c r="AS94" i="23"/>
  <c r="AS50" i="23"/>
  <c r="AS313" i="23"/>
  <c r="AS559" i="23"/>
  <c r="AS587" i="23"/>
  <c r="AS203" i="23"/>
  <c r="AS452" i="23"/>
  <c r="AS212" i="23"/>
  <c r="AS170" i="23"/>
  <c r="AS118" i="23"/>
  <c r="AS14" i="23"/>
  <c r="AS553" i="23"/>
  <c r="AS30" i="23"/>
  <c r="AS151" i="23"/>
  <c r="AS624" i="23"/>
  <c r="AR332" i="23"/>
  <c r="AT332" i="23"/>
  <c r="AS309" i="23"/>
  <c r="AS102" i="23"/>
  <c r="AS15" i="23"/>
  <c r="AS131" i="23"/>
  <c r="AS676" i="23"/>
  <c r="AS588" i="23"/>
  <c r="AS567" i="23"/>
  <c r="AS161" i="23"/>
  <c r="AS152" i="23"/>
  <c r="AS130" i="23"/>
  <c r="AS148" i="23"/>
  <c r="AS145" i="23"/>
  <c r="AS250" i="23"/>
  <c r="AS74" i="23"/>
  <c r="AS348" i="23"/>
  <c r="AS245" i="23"/>
  <c r="AS267" i="23"/>
  <c r="AS210" i="23"/>
  <c r="AS282" i="23"/>
  <c r="AS570" i="23"/>
  <c r="AS427" i="23"/>
  <c r="AS551" i="23"/>
  <c r="AS555" i="23"/>
  <c r="AS244" i="23"/>
  <c r="AS666" i="23"/>
  <c r="AS307" i="23"/>
  <c r="AS256" i="23"/>
  <c r="AS403" i="23"/>
  <c r="AS306" i="23"/>
  <c r="AS422" i="23"/>
  <c r="AS211" i="23"/>
  <c r="AS647" i="23"/>
  <c r="AS275" i="23"/>
  <c r="AS321" i="23"/>
  <c r="AS337" i="23"/>
  <c r="AS247" i="23"/>
  <c r="AS294" i="23"/>
  <c r="AS197" i="23"/>
  <c r="AS125" i="23"/>
  <c r="AS487" i="23"/>
  <c r="AS662" i="23"/>
  <c r="AS689" i="23"/>
  <c r="AS154" i="23"/>
  <c r="AS349" i="23"/>
  <c r="AS501" i="23"/>
  <c r="AS599" i="23"/>
  <c r="AS638" i="23"/>
  <c r="AS182" i="23"/>
  <c r="AS573" i="23"/>
  <c r="AS658" i="23"/>
  <c r="AS299" i="23"/>
  <c r="AS341" i="23"/>
  <c r="AS446" i="23"/>
  <c r="AS266" i="23"/>
  <c r="AS235" i="23"/>
  <c r="AS514" i="23"/>
  <c r="AS335" i="23"/>
  <c r="AS166" i="23"/>
  <c r="AS255" i="23"/>
  <c r="AS597" i="23"/>
  <c r="AS196" i="23"/>
  <c r="AS414" i="23"/>
  <c r="AS283" i="23"/>
  <c r="AS441" i="23"/>
  <c r="AS238" i="23"/>
  <c r="AS546" i="23"/>
  <c r="AS411" i="23"/>
  <c r="AS326" i="23"/>
  <c r="AS221" i="23"/>
  <c r="AS90" i="23"/>
  <c r="AS581" i="23"/>
  <c r="AS31" i="23"/>
  <c r="AS654" i="23"/>
  <c r="AS243" i="23"/>
  <c r="AS280" i="23"/>
  <c r="AS137" i="23"/>
  <c r="AS644" i="23"/>
  <c r="AS77" i="23"/>
  <c r="AS635" i="23"/>
  <c r="AS527" i="23"/>
  <c r="AS405" i="23"/>
  <c r="AS399" i="23"/>
  <c r="AS500" i="23"/>
  <c r="AS207" i="23"/>
  <c r="AS252" i="23"/>
  <c r="AS159" i="23"/>
  <c r="AS290" i="23"/>
  <c r="AS215" i="23"/>
  <c r="AS229" i="23"/>
  <c r="AS610" i="23"/>
  <c r="AT42" i="23"/>
  <c r="AT456" i="23"/>
  <c r="AR354" i="23"/>
  <c r="AT354" i="23"/>
  <c r="AR463" i="23"/>
  <c r="AS463" i="23"/>
  <c r="AS105" i="23"/>
  <c r="AT105" i="23"/>
  <c r="AR617" i="23"/>
  <c r="AS617" i="23"/>
  <c r="AR494" i="23"/>
  <c r="AR598" i="23"/>
  <c r="AT598" i="23"/>
  <c r="AR220" i="23"/>
  <c r="AT220" i="23"/>
  <c r="AR172" i="23"/>
  <c r="AR156" i="23"/>
  <c r="AR339" i="23"/>
  <c r="AT339" i="23"/>
  <c r="AT470" i="23"/>
  <c r="AS524" i="23"/>
  <c r="AS417" i="23"/>
  <c r="AS490" i="23"/>
  <c r="AS64" i="23"/>
  <c r="AS659" i="23"/>
  <c r="AS646" i="23"/>
  <c r="AS240" i="23"/>
  <c r="AT622" i="23"/>
  <c r="AS69" i="23"/>
  <c r="AS504" i="23"/>
  <c r="AS76" i="23"/>
  <c r="AS199" i="23"/>
  <c r="AR409" i="23"/>
  <c r="AS174" i="23"/>
  <c r="AS88" i="23"/>
  <c r="AS397" i="23"/>
  <c r="AS355" i="23"/>
  <c r="AS108" i="23"/>
  <c r="AT108" i="23"/>
  <c r="AR492" i="23"/>
  <c r="AR128" i="23"/>
  <c r="AT128" i="23"/>
  <c r="AS489" i="23"/>
  <c r="AR334" i="23"/>
  <c r="AT334" i="23"/>
  <c r="AR672" i="23"/>
  <c r="AR352" i="23"/>
  <c r="AT352" i="23"/>
  <c r="AR458" i="23"/>
  <c r="AS458" i="23"/>
  <c r="AR466" i="23"/>
  <c r="AR451" i="23"/>
  <c r="AT45" i="23"/>
  <c r="AR55" i="23"/>
  <c r="AS188" i="23"/>
  <c r="AS27" i="23"/>
  <c r="AT27" i="23"/>
  <c r="AT48" i="23"/>
  <c r="AR550" i="23"/>
  <c r="AR418" i="23"/>
  <c r="AR146" i="23"/>
  <c r="AR248" i="23"/>
  <c r="AR259" i="23"/>
  <c r="AR225" i="23"/>
  <c r="AT225" i="23"/>
  <c r="AR359" i="23"/>
  <c r="AT359" i="23"/>
  <c r="AR505" i="23"/>
  <c r="AR430" i="23"/>
  <c r="AR589" i="23"/>
  <c r="AT589" i="23"/>
  <c r="AR194" i="23"/>
  <c r="AT194" i="23"/>
  <c r="AT371" i="23"/>
  <c r="AT455" i="23"/>
  <c r="AT629" i="23"/>
  <c r="AT47" i="23"/>
  <c r="AS291" i="23"/>
  <c r="AS171" i="23"/>
  <c r="AS548" i="23"/>
  <c r="AT56" i="23"/>
  <c r="AR515" i="23"/>
  <c r="AS507" i="23"/>
  <c r="AR632" i="23"/>
  <c r="AS632" i="23"/>
  <c r="AR143" i="23"/>
  <c r="AT143" i="23"/>
  <c r="AR630" i="23"/>
  <c r="AS630" i="23"/>
  <c r="AS591" i="23"/>
  <c r="AS519" i="23"/>
  <c r="AR469" i="23"/>
  <c r="AS469" i="23"/>
  <c r="AR75" i="23"/>
  <c r="AR200" i="23"/>
  <c r="AT200" i="23"/>
  <c r="AR314" i="23"/>
  <c r="AT314" i="23"/>
  <c r="AR473" i="23"/>
  <c r="AS473" i="23"/>
  <c r="AR91" i="23"/>
  <c r="AS444" i="23"/>
  <c r="AR517" i="23"/>
  <c r="AS413" i="23"/>
  <c r="AS329" i="23"/>
  <c r="AR51" i="23"/>
  <c r="AS350" i="23"/>
  <c r="AR162" i="23"/>
  <c r="AR273" i="23"/>
  <c r="AT273" i="23"/>
  <c r="AR198" i="23"/>
  <c r="AT198" i="23"/>
  <c r="AR340" i="23"/>
  <c r="AT340" i="23"/>
  <c r="AT60" i="23"/>
  <c r="AS122" i="23"/>
  <c r="AT122" i="23"/>
  <c r="AR262" i="23"/>
  <c r="AS98" i="23"/>
  <c r="AT98" i="23"/>
  <c r="AR637" i="23"/>
  <c r="AT637" i="23"/>
  <c r="AR165" i="23"/>
  <c r="AR406" i="23"/>
  <c r="AR509" i="23"/>
  <c r="AS368" i="23"/>
  <c r="AT368" i="23"/>
  <c r="AT468" i="23"/>
  <c r="AR168" i="23"/>
  <c r="AS557" i="23"/>
  <c r="AR319" i="23"/>
  <c r="AT319" i="23"/>
  <c r="AR513" i="23"/>
  <c r="AS436" i="23"/>
  <c r="AT482" i="23"/>
  <c r="AS260" i="23"/>
  <c r="AS271" i="23"/>
  <c r="AS79" i="23"/>
  <c r="AT457" i="23"/>
  <c r="AR453" i="23"/>
  <c r="AT59" i="23"/>
  <c r="AT44" i="23"/>
  <c r="AS228" i="23"/>
  <c r="AR465" i="23"/>
  <c r="AS223" i="23"/>
  <c r="AS185" i="23"/>
  <c r="AS204" i="23"/>
  <c r="AR563" i="23"/>
  <c r="AR641" i="23"/>
  <c r="AT641" i="23"/>
  <c r="AR317" i="23"/>
  <c r="AT317" i="23"/>
  <c r="AR360" i="23"/>
  <c r="AS360" i="23"/>
  <c r="AS346" i="23"/>
  <c r="AS450" i="23"/>
  <c r="AS671" i="23"/>
  <c r="AS264" i="23"/>
  <c r="AS447" i="23"/>
  <c r="AS568" i="23"/>
  <c r="AS302" i="23"/>
  <c r="AR510" i="23"/>
  <c r="AS575" i="23"/>
  <c r="AS320" i="23"/>
  <c r="AS169" i="23"/>
  <c r="AS571" i="23"/>
  <c r="AR362" i="23"/>
  <c r="AT362" i="23"/>
  <c r="AT173" i="23"/>
  <c r="AT366" i="23"/>
  <c r="AR661" i="23"/>
  <c r="AT661" i="23"/>
  <c r="AS100" i="23"/>
  <c r="AT100" i="23"/>
  <c r="AR52" i="23"/>
  <c r="AS101" i="23"/>
  <c r="AT101" i="23"/>
  <c r="AR67" i="23"/>
  <c r="AR686" i="23"/>
  <c r="AR506" i="23"/>
  <c r="AS112" i="23"/>
  <c r="AT112" i="23"/>
  <c r="AR331" i="23"/>
  <c r="AT331" i="23"/>
  <c r="AT480" i="23"/>
  <c r="AR410" i="23"/>
  <c r="AS364" i="23"/>
  <c r="AT364" i="23"/>
  <c r="AR202" i="23"/>
  <c r="AT202" i="23"/>
  <c r="AR586" i="23"/>
  <c r="AT586" i="23"/>
  <c r="AR520" i="23"/>
  <c r="AR73" i="23"/>
  <c r="AT474" i="23"/>
  <c r="AT471" i="23"/>
  <c r="AS300" i="23"/>
  <c r="AS421" i="23"/>
  <c r="AS356" i="23"/>
  <c r="AR184" i="23"/>
  <c r="AT184" i="23"/>
  <c r="AS663" i="23"/>
  <c r="AS642" i="23"/>
  <c r="AT35" i="23"/>
  <c r="AS668" i="23"/>
  <c r="AT612" i="23"/>
  <c r="AS258" i="23"/>
  <c r="AR257" i="23"/>
  <c r="AR445" i="23"/>
  <c r="AS485" i="23"/>
  <c r="AS400" i="23"/>
  <c r="AR419" i="23"/>
  <c r="AS367" i="23"/>
  <c r="AT367" i="23"/>
  <c r="AR237" i="23"/>
  <c r="AS365" i="23"/>
  <c r="AT365" i="23"/>
  <c r="AR618" i="23"/>
  <c r="AS618" i="23"/>
  <c r="AT476" i="23"/>
  <c r="AR404" i="23"/>
  <c r="AT404" i="23"/>
  <c r="AR132" i="23"/>
  <c r="AS132" i="23"/>
  <c r="AR80" i="23"/>
  <c r="AS80" i="23"/>
  <c r="AR190" i="23"/>
  <c r="AT190" i="23"/>
  <c r="AS390" i="23"/>
  <c r="AT390" i="23"/>
  <c r="AR214" i="23"/>
  <c r="AT214" i="23"/>
  <c r="AR315" i="23"/>
  <c r="AT315" i="23"/>
  <c r="AS374" i="23"/>
  <c r="AT374" i="23"/>
  <c r="AS603" i="23"/>
  <c r="AT603" i="23"/>
  <c r="AS382" i="23"/>
  <c r="AT382" i="23"/>
  <c r="AR308" i="23"/>
  <c r="AT308" i="23"/>
  <c r="AT57" i="23"/>
  <c r="AR640" i="23"/>
  <c r="AT640" i="23"/>
  <c r="AR556" i="23"/>
  <c r="AR147" i="23"/>
  <c r="AR134" i="23"/>
  <c r="AT134" i="23"/>
  <c r="AR160" i="23"/>
  <c r="AT54" i="23"/>
  <c r="AT37" i="23"/>
  <c r="AR305" i="23"/>
  <c r="AS305" i="23"/>
  <c r="AR584" i="23"/>
  <c r="AT584" i="23"/>
  <c r="AS263" i="23"/>
  <c r="AS564" i="23"/>
  <c r="AT39" i="23"/>
  <c r="AS87" i="23"/>
  <c r="AR68" i="23"/>
  <c r="AS353" i="23"/>
  <c r="AR187" i="23"/>
  <c r="AT187" i="23"/>
  <c r="AR583" i="23"/>
  <c r="AT583" i="23"/>
  <c r="AS370" i="23"/>
  <c r="AT370" i="23"/>
  <c r="AS539" i="23"/>
  <c r="AS499" i="23"/>
  <c r="AR241" i="23"/>
  <c r="AR579" i="23"/>
  <c r="AT579" i="23"/>
  <c r="AR361" i="23"/>
  <c r="AT361" i="23"/>
  <c r="AR651" i="23"/>
  <c r="AT651" i="23"/>
  <c r="AS677" i="23"/>
  <c r="AS552" i="23"/>
  <c r="AS690" i="23"/>
  <c r="AS279" i="23"/>
  <c r="AS325" i="23"/>
  <c r="AS639" i="23"/>
  <c r="AS201" i="23"/>
  <c r="AS429" i="23"/>
  <c r="AR164" i="23"/>
  <c r="AS121" i="23"/>
  <c r="AT121" i="23"/>
  <c r="AS538" i="23"/>
  <c r="AR667" i="23"/>
  <c r="AR402" i="23"/>
  <c r="AT402" i="23"/>
  <c r="AR448" i="23"/>
  <c r="AR431" i="23"/>
  <c r="AT431" i="23"/>
  <c r="AR449" i="23"/>
  <c r="AT449" i="23"/>
  <c r="AR582" i="23"/>
  <c r="AT582" i="23"/>
  <c r="AR407" i="23"/>
  <c r="AS604" i="23"/>
  <c r="AT604" i="23"/>
  <c r="AT609" i="23"/>
  <c r="AT481" i="23"/>
  <c r="AR186" i="23"/>
  <c r="AT186" i="23"/>
  <c r="AS547" i="23"/>
  <c r="AS217" i="23"/>
  <c r="AS645" i="23"/>
  <c r="AS89" i="23"/>
  <c r="AR261" i="23"/>
  <c r="AR296" i="23"/>
  <c r="AT296" i="23"/>
  <c r="AS669" i="23"/>
  <c r="AS592" i="23"/>
  <c r="AR311" i="23"/>
  <c r="AT311" i="23"/>
  <c r="AS189" i="23"/>
  <c r="AR486" i="23"/>
  <c r="AR78" i="23"/>
  <c r="AS78" i="23"/>
  <c r="AR437" i="23"/>
  <c r="AR6" i="23"/>
  <c r="AS6" i="23"/>
  <c r="AR565" i="23"/>
  <c r="AS84" i="23"/>
  <c r="AS634" i="23"/>
  <c r="AS578" i="23"/>
  <c r="AR124" i="23"/>
  <c r="AT124" i="23"/>
  <c r="AR608" i="23"/>
  <c r="AR66" i="23"/>
  <c r="AS104" i="23"/>
  <c r="AT104" i="23"/>
  <c r="AT472" i="23"/>
  <c r="AT58" i="23"/>
  <c r="AR511" i="23"/>
  <c r="AR656" i="23"/>
  <c r="AT656" i="23"/>
  <c r="AR561" i="23"/>
  <c r="AR496" i="23"/>
  <c r="AR616" i="23"/>
  <c r="AS616" i="23"/>
  <c r="AS375" i="23"/>
  <c r="AT375" i="23"/>
  <c r="AR464" i="23"/>
  <c r="AR626" i="23"/>
  <c r="AS626" i="23"/>
  <c r="AT606" i="23"/>
  <c r="AT454" i="23"/>
  <c r="AS648" i="23"/>
  <c r="AS670" i="23"/>
  <c r="AS157" i="23"/>
  <c r="AS231" i="23"/>
  <c r="AS532" i="23"/>
  <c r="AS144" i="23"/>
  <c r="AT61" i="23"/>
  <c r="AS316" i="23"/>
  <c r="AS401" i="23"/>
  <c r="AR684" i="23"/>
  <c r="AR342" i="23"/>
  <c r="AT342" i="23"/>
  <c r="AS387" i="23"/>
  <c r="AT387" i="23"/>
  <c r="AT624" i="23"/>
  <c r="AS82" i="23"/>
  <c r="AS70" i="23"/>
  <c r="AT460" i="23"/>
  <c r="AS344" i="23"/>
  <c r="AS278" i="23"/>
  <c r="AS435" i="23"/>
  <c r="AR239" i="23"/>
  <c r="AR167" i="23"/>
  <c r="AS619" i="23"/>
  <c r="AT619" i="23"/>
  <c r="AR534" i="23"/>
  <c r="AR276" i="23"/>
  <c r="AT276" i="23"/>
  <c r="AS675" i="23"/>
  <c r="AS242" i="23"/>
  <c r="AS601" i="23"/>
  <c r="AS396" i="23"/>
  <c r="AS665" i="23"/>
  <c r="AS537" i="23"/>
  <c r="AR249" i="23"/>
  <c r="AR521" i="23"/>
  <c r="AR246" i="23"/>
  <c r="AT475" i="23"/>
  <c r="AT33" i="23"/>
  <c r="AS206" i="23"/>
  <c r="AS141" i="23"/>
  <c r="AR213" i="23"/>
  <c r="AS213" i="23"/>
  <c r="AT614" i="23"/>
  <c r="AR493" i="23"/>
  <c r="AS158" i="23"/>
  <c r="AR224" i="23"/>
  <c r="AT224" i="23"/>
  <c r="AS268" i="23"/>
  <c r="AR685" i="23"/>
  <c r="AR179" i="23"/>
  <c r="AR297" i="23"/>
  <c r="AT297" i="23"/>
  <c r="AR502" i="23"/>
  <c r="AR181" i="23"/>
  <c r="AR438" i="23"/>
  <c r="AS322" i="23"/>
  <c r="AS440" i="23"/>
  <c r="AT461" i="23"/>
  <c r="AS394" i="23"/>
  <c r="AS272" i="23"/>
  <c r="AR398" i="23"/>
  <c r="AR83" i="23"/>
  <c r="AS133" i="23"/>
  <c r="AS508" i="23"/>
  <c r="AR277" i="23"/>
  <c r="AT277" i="23"/>
  <c r="AT620" i="23"/>
  <c r="AS372" i="23"/>
  <c r="AT372" i="23"/>
  <c r="AS679" i="23"/>
  <c r="AR477" i="23"/>
  <c r="AS477" i="23"/>
  <c r="AT605" i="23"/>
  <c r="AR652" i="23"/>
  <c r="AT652" i="23"/>
  <c r="AS29" i="23"/>
  <c r="AT29" i="23"/>
  <c r="AR683" i="23"/>
  <c r="AS363" i="23"/>
  <c r="AT363" i="23"/>
  <c r="AR653" i="23"/>
  <c r="AT653" i="23"/>
  <c r="AR284" i="23"/>
  <c r="AT284" i="23"/>
  <c r="AR613" i="23"/>
  <c r="AS613" i="23"/>
  <c r="AR71" i="23"/>
  <c r="AS71" i="23"/>
  <c r="AR531" i="23"/>
  <c r="AR580" i="23"/>
  <c r="AT580" i="23"/>
  <c r="AR347" i="23"/>
  <c r="AT347" i="23"/>
  <c r="AR681" i="23"/>
  <c r="AR46" i="23"/>
  <c r="AT615" i="23"/>
  <c r="AS129" i="23"/>
  <c r="AS195" i="23"/>
  <c r="AS386" i="23"/>
  <c r="AT386" i="23"/>
  <c r="AR512" i="23"/>
  <c r="AR529" i="23"/>
  <c r="AR176" i="23"/>
  <c r="AR142" i="23"/>
  <c r="AR596" i="23"/>
  <c r="AT596" i="23"/>
  <c r="AR420" i="23"/>
  <c r="AT420" i="23"/>
  <c r="AR682" i="23"/>
  <c r="AR478" i="23"/>
  <c r="AS478" i="23"/>
  <c r="AR595" i="23"/>
  <c r="AT595" i="23"/>
  <c r="AR269" i="23"/>
  <c r="AR175" i="23"/>
  <c r="AS8" i="23"/>
  <c r="AT8" i="23"/>
  <c r="AT467" i="23"/>
  <c r="AR542" i="23"/>
  <c r="AT50" i="23"/>
  <c r="AT41" i="23"/>
  <c r="AS380" i="23"/>
  <c r="AT380" i="23"/>
  <c r="AS328" i="23"/>
  <c r="AS378" i="23"/>
  <c r="AT378" i="23"/>
  <c r="AS664" i="23"/>
  <c r="AR600" i="23"/>
  <c r="AT600" i="23"/>
  <c r="AR554" i="23"/>
  <c r="AR327" i="23"/>
  <c r="AT327" i="23"/>
  <c r="AR602" i="23"/>
  <c r="AT602" i="23"/>
  <c r="AR218" i="23"/>
  <c r="AT218" i="23"/>
  <c r="AR432" i="23"/>
  <c r="AR136" i="23"/>
  <c r="AT136" i="23"/>
  <c r="AS655" i="23"/>
  <c r="AS412" i="23"/>
  <c r="AS85" i="23"/>
  <c r="AS193" i="23"/>
  <c r="AS395" i="23"/>
  <c r="AS323" i="23"/>
  <c r="AS484" i="23"/>
  <c r="AT62" i="23"/>
  <c r="AR533" i="23"/>
  <c r="AS393" i="23"/>
  <c r="AS236" i="23"/>
  <c r="AS140" i="23"/>
  <c r="AS657" i="23"/>
  <c r="AS230" i="23"/>
  <c r="AS545" i="23"/>
  <c r="AS42" i="23"/>
  <c r="AS593" i="23"/>
  <c r="AS209" i="23"/>
  <c r="AS549" i="23"/>
  <c r="AS456" i="23"/>
  <c r="AR673" i="23"/>
  <c r="AS192" i="23"/>
  <c r="AS425" i="23"/>
  <c r="AS216" i="23"/>
  <c r="AS274" i="23"/>
  <c r="AR462" i="23"/>
  <c r="AS462" i="23"/>
  <c r="AR254" i="23"/>
  <c r="AR544" i="23"/>
  <c r="AT628" i="23"/>
  <c r="AS138" i="23"/>
  <c r="AT40" i="23"/>
  <c r="AR495" i="23"/>
  <c r="AR178" i="23"/>
  <c r="AS357" i="23"/>
  <c r="AR525" i="23"/>
  <c r="AR416" i="23"/>
  <c r="AR345" i="23"/>
  <c r="AT345" i="23"/>
  <c r="AR351" i="23"/>
  <c r="AT351" i="23"/>
  <c r="AR233" i="23"/>
  <c r="AT233" i="23"/>
  <c r="AS488" i="23"/>
  <c r="AS660" i="23"/>
  <c r="AT34" i="23"/>
  <c r="AT479" i="23"/>
  <c r="AS649" i="23"/>
  <c r="AS518" i="23"/>
  <c r="AR503" i="23"/>
  <c r="AS540" i="23"/>
  <c r="AS232" i="23"/>
  <c r="AR324" i="23"/>
  <c r="AS324" i="23"/>
  <c r="AT43" i="23"/>
  <c r="AR38" i="23"/>
  <c r="AR491" i="23"/>
  <c r="AR205" i="23"/>
  <c r="AT205" i="23"/>
  <c r="AR576" i="23"/>
  <c r="AT576" i="23"/>
  <c r="AR312" i="23"/>
  <c r="AT312" i="23"/>
  <c r="AR49" i="23"/>
  <c r="AT459" i="23"/>
  <c r="AR265" i="23"/>
  <c r="AS226" i="23"/>
  <c r="G16" i="12"/>
  <c r="BF16" i="16"/>
  <c r="BL14" i="16"/>
  <c r="AH12" i="16"/>
  <c r="AS836" i="23"/>
  <c r="AS725" i="23"/>
  <c r="BH18" i="16"/>
  <c r="BV21" i="16"/>
  <c r="AD20" i="16"/>
  <c r="BH15" i="16"/>
  <c r="AS846" i="23"/>
  <c r="AS816" i="23"/>
  <c r="BG16" i="16"/>
  <c r="BG15" i="16"/>
  <c r="BL18" i="16"/>
  <c r="BZ21" i="16"/>
  <c r="AH20" i="16"/>
  <c r="BL17" i="16"/>
  <c r="BL16" i="16"/>
  <c r="BH17" i="16"/>
  <c r="BH16" i="16"/>
  <c r="BH19" i="16"/>
  <c r="BG14" i="16"/>
  <c r="AC12" i="16"/>
  <c r="BF17" i="16"/>
  <c r="BH14" i="16"/>
  <c r="AD12" i="16"/>
  <c r="BF15" i="16"/>
  <c r="BL15" i="16"/>
  <c r="BF19" i="16"/>
  <c r="BG19" i="16"/>
  <c r="AS870" i="23"/>
  <c r="AS770" i="23"/>
  <c r="AS851" i="23"/>
  <c r="AS774" i="23"/>
  <c r="AS748" i="23"/>
  <c r="AS871" i="23"/>
  <c r="AS817" i="23"/>
  <c r="AS730" i="23"/>
  <c r="AS855" i="23"/>
  <c r="AS797" i="23"/>
  <c r="AS765" i="23"/>
  <c r="AS745" i="23"/>
  <c r="AS734" i="23"/>
  <c r="AS776" i="23"/>
  <c r="AS749" i="23"/>
  <c r="AS746" i="23"/>
  <c r="AS784" i="23"/>
  <c r="AS777" i="23"/>
  <c r="AS798" i="23"/>
  <c r="AS739" i="23"/>
  <c r="AS857" i="23"/>
  <c r="AS740" i="23"/>
  <c r="AS810" i="23"/>
  <c r="AS860" i="23"/>
  <c r="AS835" i="23"/>
  <c r="AS858" i="23"/>
  <c r="AS728" i="23"/>
  <c r="AS790" i="23"/>
  <c r="AS780" i="23"/>
  <c r="AS808" i="23"/>
  <c r="AS750" i="23"/>
  <c r="AS792" i="23"/>
  <c r="AS840" i="23"/>
  <c r="AS843" i="23"/>
  <c r="AS830" i="23"/>
  <c r="AS743" i="23"/>
  <c r="AS759" i="23"/>
  <c r="AS849" i="23"/>
  <c r="AS845" i="23"/>
  <c r="AS800" i="23"/>
  <c r="AT716" i="23"/>
  <c r="AX12" i="16" a="1"/>
  <c r="AX12" i="16"/>
  <c r="AS753" i="23"/>
  <c r="AT709" i="23"/>
  <c r="AW11" i="16" a="1"/>
  <c r="AW11" i="16"/>
  <c r="AS760" i="23"/>
  <c r="AS848" i="23"/>
  <c r="AX10" i="16" a="1"/>
  <c r="AX10" i="16"/>
  <c r="AT714" i="23"/>
  <c r="AS775" i="23"/>
  <c r="AW7" i="16" a="1"/>
  <c r="AW7" i="16"/>
  <c r="AT705" i="23"/>
  <c r="AS818" i="23"/>
  <c r="AS793" i="23"/>
  <c r="AS789" i="23"/>
  <c r="AS795" i="23"/>
  <c r="AS865" i="23"/>
  <c r="AX7" i="16" a="1"/>
  <c r="AX7" i="16"/>
  <c r="AT711" i="23"/>
  <c r="AT803" i="23"/>
  <c r="AS735" i="23"/>
  <c r="AU12" i="16" a="1"/>
  <c r="AU12" i="16"/>
  <c r="AT698" i="23"/>
  <c r="AS726" i="23"/>
  <c r="AS827" i="23"/>
  <c r="BA12" i="23" a="1"/>
  <c r="BA12" i="23"/>
  <c r="AS828" i="23"/>
  <c r="AS847" i="23"/>
  <c r="AT701" i="23"/>
  <c r="AV9" i="16" a="1"/>
  <c r="AV9" i="16"/>
  <c r="AS729" i="23"/>
  <c r="AS850" i="23"/>
  <c r="AS825" i="23"/>
  <c r="AT710" i="23"/>
  <c r="AW12" i="16" a="1"/>
  <c r="AW12" i="16"/>
  <c r="AT708" i="23"/>
  <c r="AW10" i="16" a="1"/>
  <c r="AW10" i="16"/>
  <c r="AS869" i="23"/>
  <c r="AT715" i="23"/>
  <c r="AX11" i="16" a="1"/>
  <c r="AX11" i="16"/>
  <c r="AT717" i="23"/>
  <c r="BA7" i="16" a="1"/>
  <c r="BA7" i="16"/>
  <c r="AT704" i="23"/>
  <c r="AV12" i="16" a="1"/>
  <c r="AV12" i="16"/>
  <c r="AT805" i="23"/>
  <c r="AT720" i="23"/>
  <c r="BA10" i="16" a="1"/>
  <c r="BA10" i="16"/>
  <c r="AT699" i="23"/>
  <c r="AV7" i="16" a="1"/>
  <c r="AV7" i="16"/>
  <c r="AT696" i="23"/>
  <c r="AU10" i="16" a="1"/>
  <c r="AU10" i="16"/>
  <c r="AT700" i="23"/>
  <c r="AV8" i="16" a="1"/>
  <c r="AV8" i="16"/>
  <c r="AS820" i="23"/>
  <c r="AS829" i="23"/>
  <c r="AT718" i="23"/>
  <c r="BA8" i="16" a="1"/>
  <c r="BA8" i="16"/>
  <c r="AT697" i="23"/>
  <c r="AU11" i="16" a="1"/>
  <c r="AU11" i="16"/>
  <c r="AX9" i="16" a="1"/>
  <c r="AX9" i="16"/>
  <c r="AT713" i="23"/>
  <c r="BA12" i="16" a="1"/>
  <c r="BA12" i="16"/>
  <c r="AT722" i="23"/>
  <c r="AS838" i="23"/>
  <c r="AV10" i="16" a="1"/>
  <c r="AV10" i="16"/>
  <c r="AT702" i="23"/>
  <c r="AS856" i="23"/>
  <c r="AT719" i="23"/>
  <c r="BA9" i="16" a="1"/>
  <c r="BA9" i="16"/>
  <c r="AY16" i="23" a="1"/>
  <c r="AY16" i="23"/>
  <c r="BC12" i="23" a="1"/>
  <c r="BC12" i="23"/>
  <c r="AT693" i="23"/>
  <c r="AU7" i="16" a="1"/>
  <c r="AU7" i="16"/>
  <c r="BF7" i="16"/>
  <c r="AB22" i="16"/>
  <c r="AS736" i="23"/>
  <c r="AS785" i="23"/>
  <c r="AY12" i="23" a="1"/>
  <c r="AY12" i="23"/>
  <c r="AZ12" i="23" a="1"/>
  <c r="AZ12" i="23"/>
  <c r="AS778" i="23"/>
  <c r="AS747" i="23"/>
  <c r="AT694" i="23"/>
  <c r="AU8" i="16" a="1"/>
  <c r="AU8" i="16"/>
  <c r="AX8" i="16" a="1"/>
  <c r="AX8" i="16"/>
  <c r="AT712" i="23"/>
  <c r="AS755" i="23"/>
  <c r="AS815" i="23"/>
  <c r="AT707" i="23"/>
  <c r="AW9" i="16" a="1"/>
  <c r="AW9" i="16"/>
  <c r="BH9" i="16"/>
  <c r="AD24" i="16"/>
  <c r="AV11" i="16" a="1"/>
  <c r="AV11" i="16"/>
  <c r="AT703" i="23"/>
  <c r="AT706" i="23"/>
  <c r="AW8" i="16" a="1"/>
  <c r="AW8" i="16"/>
  <c r="BH8" i="16"/>
  <c r="AD23" i="16"/>
  <c r="AS799" i="23"/>
  <c r="AU9" i="16" a="1"/>
  <c r="AU9" i="16"/>
  <c r="AT695" i="23"/>
  <c r="BA11" i="16" a="1"/>
  <c r="BA11" i="16"/>
  <c r="BL11" i="16"/>
  <c r="AH26" i="16"/>
  <c r="AT721" i="23"/>
  <c r="AS796" i="23"/>
  <c r="AT142" i="23"/>
  <c r="AT147" i="23"/>
  <c r="AS146" i="23"/>
  <c r="AS91" i="23"/>
  <c r="AT410" i="23"/>
  <c r="AT241" i="23"/>
  <c r="AT418" i="23"/>
  <c r="AT673" i="23"/>
  <c r="AV18" i="16" a="1"/>
  <c r="AV18" i="16"/>
  <c r="BG18" i="16"/>
  <c r="BU21" i="16"/>
  <c r="AC20" i="16"/>
  <c r="AT239" i="23"/>
  <c r="AT550" i="23"/>
  <c r="BB17" i="16"/>
  <c r="AT398" i="23"/>
  <c r="AT556" i="23"/>
  <c r="AT686" i="23"/>
  <c r="AX19" i="16" a="1"/>
  <c r="AX19" i="16"/>
  <c r="AT36" i="23"/>
  <c r="BB16" i="16"/>
  <c r="AT692" i="23"/>
  <c r="BA19" i="16" a="1"/>
  <c r="BA19" i="16"/>
  <c r="BL19" i="16"/>
  <c r="AT407" i="23"/>
  <c r="AT544" i="23"/>
  <c r="AT682" i="23"/>
  <c r="AX15" i="16" a="1"/>
  <c r="AX15" i="16"/>
  <c r="AT561" i="23"/>
  <c r="AT67" i="23"/>
  <c r="AT406" i="23"/>
  <c r="AT684" i="23"/>
  <c r="AX17" i="16" a="1"/>
  <c r="AX17" i="16"/>
  <c r="AT66" i="23"/>
  <c r="AS75" i="23"/>
  <c r="AT672" i="23"/>
  <c r="AV17" i="16" a="1"/>
  <c r="AV17" i="16"/>
  <c r="BG17" i="16"/>
  <c r="AT683" i="23"/>
  <c r="AX16" i="16" a="1"/>
  <c r="AX16" i="16"/>
  <c r="AS83" i="23"/>
  <c r="AT685" i="23"/>
  <c r="AX18" i="16" a="1"/>
  <c r="AX18" i="16"/>
  <c r="AT565" i="23"/>
  <c r="AT68" i="23"/>
  <c r="AT563" i="23"/>
  <c r="AT554" i="23"/>
  <c r="AS73" i="23"/>
  <c r="BB14" i="16"/>
  <c r="AT437" i="23"/>
  <c r="AT667" i="23"/>
  <c r="AU18" i="16" a="1"/>
  <c r="AU18" i="16"/>
  <c r="BF18" i="16"/>
  <c r="BT21" i="16"/>
  <c r="AB20" i="16"/>
  <c r="BB15" i="16"/>
  <c r="AT419" i="23"/>
  <c r="AT681" i="23"/>
  <c r="AX14" i="16" a="1"/>
  <c r="AX14" i="16"/>
  <c r="BI14" i="16"/>
  <c r="AE12" i="16"/>
  <c r="AT409" i="23"/>
  <c r="AT416" i="23"/>
  <c r="AT237" i="23"/>
  <c r="AS404" i="23"/>
  <c r="AY19" i="23" a="1"/>
  <c r="AY19" i="23"/>
  <c r="AS178" i="23"/>
  <c r="AT265" i="23"/>
  <c r="AT269" i="23"/>
  <c r="AS534" i="23"/>
  <c r="AS160" i="23"/>
  <c r="AT257" i="23"/>
  <c r="AT520" i="23"/>
  <c r="AT510" i="23"/>
  <c r="AS509" i="23"/>
  <c r="AT517" i="23"/>
  <c r="AS692" i="23"/>
  <c r="AT175" i="23"/>
  <c r="AS512" i="23"/>
  <c r="AT445" i="23"/>
  <c r="AT506" i="23"/>
  <c r="AT168" i="23"/>
  <c r="AT261" i="23"/>
  <c r="AS52" i="23"/>
  <c r="AT513" i="23"/>
  <c r="AT262" i="23"/>
  <c r="AT259" i="23"/>
  <c r="AT451" i="23"/>
  <c r="AT156" i="23"/>
  <c r="AT523" i="23"/>
  <c r="AS503" i="23"/>
  <c r="AT542" i="23"/>
  <c r="AT521" i="23"/>
  <c r="AS608" i="23"/>
  <c r="AT164" i="23"/>
  <c r="AT162" i="23"/>
  <c r="AT248" i="23"/>
  <c r="AT494" i="23"/>
  <c r="AS51" i="23"/>
  <c r="AS49" i="23"/>
  <c r="AT254" i="23"/>
  <c r="AT525" i="23"/>
  <c r="AT495" i="23"/>
  <c r="AT176" i="23"/>
  <c r="AT249" i="23"/>
  <c r="AT448" i="23"/>
  <c r="AS46" i="23"/>
  <c r="AT438" i="23"/>
  <c r="AT179" i="23"/>
  <c r="AT246" i="23"/>
  <c r="AT491" i="23"/>
  <c r="AS453" i="23"/>
  <c r="AT515" i="23"/>
  <c r="AS55" i="23"/>
  <c r="AS36" i="23"/>
  <c r="AS38" i="23"/>
  <c r="AT533" i="23"/>
  <c r="AT432" i="23"/>
  <c r="AS496" i="23"/>
  <c r="AS511" i="23"/>
  <c r="AT165" i="23"/>
  <c r="AT430" i="23"/>
  <c r="AT492" i="23"/>
  <c r="AT181" i="23"/>
  <c r="AT172" i="23"/>
  <c r="AS529" i="23"/>
  <c r="AS531" i="23"/>
  <c r="AT502" i="23"/>
  <c r="AS493" i="23"/>
  <c r="AT486" i="23"/>
  <c r="AS505" i="23"/>
  <c r="AS438" i="23"/>
  <c r="AS345" i="23"/>
  <c r="AS682" i="23"/>
  <c r="AS416" i="23"/>
  <c r="AS491" i="23"/>
  <c r="AS602" i="23"/>
  <c r="AS339" i="23"/>
  <c r="AS254" i="23"/>
  <c r="AS342" i="23"/>
  <c r="AS579" i="23"/>
  <c r="AS142" i="23"/>
  <c r="AS361" i="23"/>
  <c r="AS465" i="23"/>
  <c r="AS314" i="23"/>
  <c r="AS556" i="23"/>
  <c r="AS640" i="23"/>
  <c r="AS136" i="23"/>
  <c r="AS167" i="23"/>
  <c r="AS351" i="23"/>
  <c r="AS544" i="23"/>
  <c r="AS533" i="23"/>
  <c r="AS432" i="23"/>
  <c r="AS510" i="23"/>
  <c r="AS523" i="23"/>
  <c r="AS249" i="23"/>
  <c r="AS407" i="23"/>
  <c r="AS561" i="23"/>
  <c r="AS486" i="23"/>
  <c r="AS520" i="23"/>
  <c r="AS265" i="23"/>
  <c r="AS332" i="23"/>
  <c r="AS494" i="23"/>
  <c r="AS233" i="23"/>
  <c r="AS542" i="23"/>
  <c r="AS656" i="23"/>
  <c r="AS409" i="23"/>
  <c r="AS312" i="23"/>
  <c r="AS683" i="23"/>
  <c r="BB12" i="23" a="1"/>
  <c r="BB12" i="23"/>
  <c r="AS175" i="23"/>
  <c r="AS437" i="23"/>
  <c r="AS600" i="23"/>
  <c r="AS181" i="23"/>
  <c r="AS276" i="23"/>
  <c r="AS684" i="23"/>
  <c r="AS297" i="23"/>
  <c r="AS246" i="23"/>
  <c r="AS565" i="23"/>
  <c r="AS200" i="23"/>
  <c r="AS445" i="23"/>
  <c r="AS410" i="23"/>
  <c r="AS598" i="23"/>
  <c r="AS147" i="23"/>
  <c r="AS331" i="23"/>
  <c r="AS317" i="23"/>
  <c r="AS595" i="23"/>
  <c r="AS580" i="23"/>
  <c r="AS515" i="23"/>
  <c r="AS651" i="23"/>
  <c r="AS184" i="23"/>
  <c r="AS359" i="23"/>
  <c r="AS179" i="23"/>
  <c r="AS66" i="23"/>
  <c r="AS164" i="23"/>
  <c r="AS68" i="23"/>
  <c r="AS202" i="23"/>
  <c r="AS686" i="23"/>
  <c r="AS641" i="23"/>
  <c r="AS340" i="23"/>
  <c r="AS225" i="23"/>
  <c r="AS327" i="23"/>
  <c r="AS315" i="23"/>
  <c r="AS563" i="23"/>
  <c r="AS672" i="23"/>
  <c r="AS156" i="23"/>
  <c r="AS495" i="23"/>
  <c r="AT466" i="23"/>
  <c r="AT511" i="23"/>
  <c r="AT78" i="23"/>
  <c r="AS506" i="23"/>
  <c r="AS661" i="23"/>
  <c r="AS168" i="23"/>
  <c r="AS165" i="23"/>
  <c r="AT75" i="23"/>
  <c r="AS550" i="23"/>
  <c r="AT51" i="23"/>
  <c r="AS525" i="23"/>
  <c r="AS269" i="23"/>
  <c r="AS176" i="23"/>
  <c r="AS277" i="23"/>
  <c r="AS667" i="23"/>
  <c r="AT160" i="23"/>
  <c r="AS637" i="23"/>
  <c r="AS430" i="23"/>
  <c r="AS220" i="23"/>
  <c r="AT463" i="23"/>
  <c r="AS685" i="23"/>
  <c r="AS134" i="23"/>
  <c r="AT80" i="23"/>
  <c r="AS257" i="23"/>
  <c r="AT469" i="23"/>
  <c r="AS517" i="23"/>
  <c r="AT458" i="23"/>
  <c r="AT531" i="23"/>
  <c r="AS124" i="23"/>
  <c r="AS241" i="23"/>
  <c r="AT132" i="23"/>
  <c r="AS237" i="23"/>
  <c r="AS352" i="23"/>
  <c r="AS354" i="23"/>
  <c r="AS652" i="23"/>
  <c r="AS224" i="23"/>
  <c r="AS521" i="23"/>
  <c r="AT496" i="23"/>
  <c r="AS67" i="23"/>
  <c r="AT465" i="23"/>
  <c r="AT529" i="23"/>
  <c r="AT71" i="23"/>
  <c r="AT534" i="23"/>
  <c r="AT630" i="23"/>
  <c r="AT505" i="23"/>
  <c r="AT55" i="23"/>
  <c r="AT38" i="23"/>
  <c r="AT360" i="23"/>
  <c r="AT91" i="23"/>
  <c r="AT616" i="23"/>
  <c r="AS218" i="23"/>
  <c r="AT512" i="23"/>
  <c r="AS262" i="23"/>
  <c r="AS143" i="23"/>
  <c r="AT464" i="23"/>
  <c r="AT493" i="23"/>
  <c r="AS186" i="23"/>
  <c r="AS582" i="23"/>
  <c r="AS214" i="23"/>
  <c r="AS362" i="23"/>
  <c r="AT462" i="23"/>
  <c r="AT478" i="23"/>
  <c r="AT613" i="23"/>
  <c r="AT626" i="23"/>
  <c r="AS334" i="23"/>
  <c r="AT617" i="23"/>
  <c r="AS284" i="23"/>
  <c r="AT83" i="23"/>
  <c r="AT167" i="23"/>
  <c r="AS311" i="23"/>
  <c r="AS449" i="23"/>
  <c r="AS584" i="23"/>
  <c r="AS513" i="23"/>
  <c r="AS198" i="23"/>
  <c r="AT473" i="23"/>
  <c r="AT632" i="23"/>
  <c r="AS259" i="23"/>
  <c r="AT49" i="23"/>
  <c r="AT46" i="23"/>
  <c r="AT6" i="23"/>
  <c r="AS431" i="23"/>
  <c r="AS583" i="23"/>
  <c r="AS419" i="23"/>
  <c r="AT73" i="23"/>
  <c r="AS319" i="23"/>
  <c r="AS273" i="23"/>
  <c r="AS248" i="23"/>
  <c r="AS128" i="23"/>
  <c r="AT608" i="23"/>
  <c r="AT509" i="23"/>
  <c r="AS576" i="23"/>
  <c r="AS554" i="23"/>
  <c r="AS681" i="23"/>
  <c r="AT477" i="23"/>
  <c r="AS398" i="23"/>
  <c r="AS502" i="23"/>
  <c r="AT305" i="23"/>
  <c r="AT618" i="23"/>
  <c r="AS420" i="23"/>
  <c r="AS653" i="23"/>
  <c r="AT213" i="23"/>
  <c r="AS296" i="23"/>
  <c r="AS448" i="23"/>
  <c r="AT52" i="23"/>
  <c r="AT453" i="23"/>
  <c r="AS406" i="23"/>
  <c r="AS162" i="23"/>
  <c r="AS194" i="23"/>
  <c r="AS451" i="23"/>
  <c r="AS492" i="23"/>
  <c r="AT178" i="23"/>
  <c r="AT324" i="23"/>
  <c r="AS205" i="23"/>
  <c r="AT503" i="23"/>
  <c r="AS347" i="23"/>
  <c r="AS239" i="23"/>
  <c r="AS308" i="23"/>
  <c r="AS586" i="23"/>
  <c r="AT146" i="23"/>
  <c r="AS673" i="23"/>
  <c r="AS596" i="23"/>
  <c r="AS464" i="23"/>
  <c r="AS261" i="23"/>
  <c r="AS402" i="23"/>
  <c r="AS187" i="23"/>
  <c r="AS190" i="23"/>
  <c r="AS589" i="23"/>
  <c r="AS418" i="23"/>
  <c r="AS466" i="23"/>
  <c r="AS172" i="23"/>
  <c r="B34" i="13"/>
  <c r="B67" i="13"/>
  <c r="C67" i="13"/>
  <c r="D67" i="13"/>
  <c r="E67" i="13"/>
  <c r="F67" i="13"/>
  <c r="G67" i="13"/>
  <c r="H67" i="13"/>
  <c r="I67" i="13"/>
  <c r="J67" i="13"/>
  <c r="K67" i="13"/>
  <c r="L67" i="13"/>
  <c r="M67" i="13"/>
  <c r="B60" i="13"/>
  <c r="C60" i="13"/>
  <c r="D60" i="13"/>
  <c r="E60" i="13"/>
  <c r="F60" i="13"/>
  <c r="G60" i="13"/>
  <c r="H60" i="13"/>
  <c r="I60" i="13"/>
  <c r="J60" i="13"/>
  <c r="K60" i="13"/>
  <c r="L60" i="13"/>
  <c r="M60" i="13"/>
  <c r="B54" i="13"/>
  <c r="C54" i="13"/>
  <c r="D54" i="13"/>
  <c r="E54" i="13"/>
  <c r="F54" i="13"/>
  <c r="G54" i="13"/>
  <c r="H54" i="13"/>
  <c r="I54" i="13"/>
  <c r="J54" i="13"/>
  <c r="K54" i="13"/>
  <c r="L54" i="13"/>
  <c r="M54" i="13"/>
  <c r="B47" i="13"/>
  <c r="C47" i="13"/>
  <c r="D47" i="13"/>
  <c r="E47" i="13"/>
  <c r="F47" i="13"/>
  <c r="G47" i="13"/>
  <c r="H47" i="13"/>
  <c r="I47" i="13"/>
  <c r="J47" i="13"/>
  <c r="K47" i="13"/>
  <c r="L47" i="13"/>
  <c r="M47" i="13"/>
  <c r="C41" i="13"/>
  <c r="D41" i="13"/>
  <c r="E41" i="13"/>
  <c r="F41" i="13"/>
  <c r="G41" i="13"/>
  <c r="H41" i="13"/>
  <c r="I41" i="13"/>
  <c r="J41" i="13"/>
  <c r="K41" i="13"/>
  <c r="L41" i="13"/>
  <c r="M41" i="13"/>
  <c r="C34" i="13"/>
  <c r="D34" i="13"/>
  <c r="E34" i="13"/>
  <c r="F34" i="13"/>
  <c r="G34" i="13"/>
  <c r="H34" i="13"/>
  <c r="I34" i="13"/>
  <c r="J34" i="13"/>
  <c r="K34" i="13"/>
  <c r="L34" i="13"/>
  <c r="M34" i="13"/>
  <c r="BT17" i="16"/>
  <c r="AB16" i="16"/>
  <c r="BT18" i="16"/>
  <c r="AB17" i="16"/>
  <c r="BT19" i="16"/>
  <c r="AB18" i="16"/>
  <c r="BT14" i="16"/>
  <c r="AB13" i="16"/>
  <c r="BT20" i="16"/>
  <c r="AB19" i="16"/>
  <c r="BT15" i="16"/>
  <c r="AB14" i="16"/>
  <c r="BT16" i="16"/>
  <c r="AB15" i="16"/>
  <c r="BU19" i="16"/>
  <c r="AC18" i="16"/>
  <c r="BU17" i="16"/>
  <c r="AC16" i="16"/>
  <c r="BU15" i="16"/>
  <c r="AC14" i="16"/>
  <c r="BU20" i="16"/>
  <c r="AC19" i="16"/>
  <c r="BU18" i="16"/>
  <c r="AC17" i="16"/>
  <c r="BU16" i="16"/>
  <c r="AC15" i="16"/>
  <c r="BU14" i="16"/>
  <c r="AC13" i="16"/>
  <c r="BV19" i="16"/>
  <c r="AD18" i="16"/>
  <c r="BV17" i="16"/>
  <c r="AD16" i="16"/>
  <c r="BV15" i="16"/>
  <c r="AD14" i="16"/>
  <c r="BV20" i="16"/>
  <c r="AD19" i="16"/>
  <c r="BV18" i="16"/>
  <c r="AD17" i="16"/>
  <c r="BV16" i="16"/>
  <c r="AD15" i="16"/>
  <c r="BV14" i="16"/>
  <c r="AD13" i="16"/>
  <c r="BZ16" i="16"/>
  <c r="AH15" i="16"/>
  <c r="BZ14" i="16"/>
  <c r="AH13" i="16"/>
  <c r="BZ19" i="16"/>
  <c r="AH18" i="16"/>
  <c r="BZ17" i="16"/>
  <c r="AH16" i="16"/>
  <c r="BZ15" i="16"/>
  <c r="AH14" i="16"/>
  <c r="BZ20" i="16"/>
  <c r="AH19" i="16"/>
  <c r="BZ18" i="16"/>
  <c r="AH17" i="16"/>
  <c r="BG11" i="16"/>
  <c r="AC26" i="16"/>
  <c r="BI8" i="16"/>
  <c r="AE23" i="16"/>
  <c r="BI11" i="16"/>
  <c r="AE26" i="16"/>
  <c r="BG10" i="16"/>
  <c r="AC25" i="16"/>
  <c r="BH10" i="16"/>
  <c r="AD25" i="16"/>
  <c r="BG12" i="16"/>
  <c r="AC27" i="16"/>
  <c r="BI9" i="16"/>
  <c r="AE24" i="16"/>
  <c r="BG9" i="16"/>
  <c r="AC24" i="16"/>
  <c r="BL8" i="16"/>
  <c r="AH23" i="16"/>
  <c r="BL9" i="16"/>
  <c r="AH24" i="16"/>
  <c r="BF8" i="16"/>
  <c r="AB23" i="16"/>
  <c r="BF10" i="16"/>
  <c r="AB25" i="16"/>
  <c r="BG7" i="16"/>
  <c r="AC22" i="16"/>
  <c r="BL12" i="16"/>
  <c r="AH27" i="16"/>
  <c r="BL10" i="16"/>
  <c r="AH25" i="16"/>
  <c r="BF11" i="16"/>
  <c r="AB26" i="16"/>
  <c r="BI12" i="16"/>
  <c r="AE27" i="16"/>
  <c r="BI19" i="16"/>
  <c r="BL7" i="16"/>
  <c r="AH22" i="16"/>
  <c r="BH7" i="16"/>
  <c r="AD22" i="16"/>
  <c r="BG8" i="16"/>
  <c r="AC23" i="16"/>
  <c r="BF12" i="16"/>
  <c r="AB27" i="16"/>
  <c r="BI10" i="16"/>
  <c r="AE25" i="16"/>
  <c r="BI15" i="16"/>
  <c r="BF9" i="16"/>
  <c r="AB24" i="16"/>
  <c r="BH12" i="16"/>
  <c r="AD27" i="16"/>
  <c r="BH11" i="16"/>
  <c r="AD26" i="16"/>
  <c r="BI7" i="16"/>
  <c r="AE22" i="16"/>
  <c r="AY18" i="16"/>
  <c r="AZ18" i="16"/>
  <c r="BI18" i="16"/>
  <c r="BW21" i="16"/>
  <c r="AE20" i="16"/>
  <c r="AY16" i="16"/>
  <c r="BI16" i="16"/>
  <c r="AY17" i="16"/>
  <c r="BI17" i="16"/>
  <c r="AY21" i="23" a="1"/>
  <c r="AY21" i="23"/>
  <c r="AY20" i="23" a="1"/>
  <c r="AY20" i="23"/>
  <c r="BA11" i="23" a="1"/>
  <c r="BA11" i="23"/>
  <c r="BB11" i="23" a="1"/>
  <c r="BB11" i="23"/>
  <c r="AY11" i="23" a="1"/>
  <c r="AY11" i="23"/>
  <c r="BC11" i="23" a="1"/>
  <c r="BC11" i="23"/>
  <c r="AZ11" i="23" a="1"/>
  <c r="AZ11" i="23"/>
  <c r="AY18" i="23" a="1"/>
  <c r="AY18" i="23"/>
  <c r="BB10" i="16"/>
  <c r="AY10" i="16"/>
  <c r="BB7" i="16"/>
  <c r="AY7" i="16"/>
  <c r="AY22" i="23" a="1"/>
  <c r="AY22" i="23"/>
  <c r="AV9" i="23"/>
  <c r="AV3" i="23"/>
  <c r="AY17" i="23" a="1"/>
  <c r="AY17" i="23"/>
  <c r="BB9" i="16"/>
  <c r="AY9" i="16"/>
  <c r="AY11" i="16"/>
  <c r="BB11" i="16"/>
  <c r="AY8" i="16"/>
  <c r="BB8" i="16"/>
  <c r="BB12" i="16"/>
  <c r="AY12" i="16"/>
  <c r="AY14" i="16"/>
  <c r="BB18" i="16"/>
  <c r="AY15" i="16"/>
  <c r="BB19" i="16"/>
  <c r="AY19" i="16"/>
  <c r="C28" i="13"/>
  <c r="P26" i="13"/>
  <c r="B29" i="13"/>
  <c r="B28" i="13"/>
  <c r="B26" i="13"/>
  <c r="C29" i="13"/>
  <c r="P27" i="13"/>
  <c r="C26" i="13"/>
  <c r="I26" i="13"/>
  <c r="H26" i="13"/>
  <c r="G26" i="13"/>
  <c r="F26" i="13"/>
  <c r="E26" i="13"/>
  <c r="D26" i="13"/>
  <c r="G22" i="13"/>
  <c r="BW14" i="16"/>
  <c r="AE13" i="16"/>
  <c r="BW19" i="16"/>
  <c r="AE18" i="16"/>
  <c r="BW17" i="16"/>
  <c r="AE16" i="16"/>
  <c r="BW15" i="16"/>
  <c r="AE14" i="16"/>
  <c r="BW20" i="16"/>
  <c r="AE19" i="16"/>
  <c r="BW18" i="16"/>
  <c r="AE17" i="16"/>
  <c r="BW16" i="16"/>
  <c r="AE15" i="16"/>
  <c r="BJ18" i="16"/>
  <c r="BX21" i="16"/>
  <c r="AF20" i="16"/>
  <c r="AZ19" i="16"/>
  <c r="BJ19" i="16"/>
  <c r="AZ15" i="16"/>
  <c r="BJ15" i="16"/>
  <c r="AZ14" i="16"/>
  <c r="BK14" i="16"/>
  <c r="AG12" i="16"/>
  <c r="BJ14" i="16"/>
  <c r="AF12" i="16"/>
  <c r="AZ12" i="16"/>
  <c r="BJ12" i="16"/>
  <c r="AF27" i="16"/>
  <c r="AZ8" i="16"/>
  <c r="BJ8" i="16"/>
  <c r="AF23" i="16"/>
  <c r="AZ11" i="16"/>
  <c r="BJ11" i="16"/>
  <c r="AF26" i="16"/>
  <c r="AZ9" i="16"/>
  <c r="BJ9" i="16"/>
  <c r="AF24" i="16"/>
  <c r="AZ7" i="16"/>
  <c r="BK7" i="16"/>
  <c r="AG22" i="16"/>
  <c r="BJ7" i="16"/>
  <c r="AF22" i="16"/>
  <c r="AZ10" i="16"/>
  <c r="BJ10" i="16"/>
  <c r="AF25" i="16"/>
  <c r="AZ17" i="16"/>
  <c r="BK17" i="16"/>
  <c r="BJ17" i="16"/>
  <c r="AZ16" i="16"/>
  <c r="BJ16" i="16"/>
  <c r="AV6" i="23"/>
  <c r="G17" i="13"/>
  <c r="T25" i="13"/>
  <c r="BX14" i="16"/>
  <c r="AF13" i="16"/>
  <c r="BX19" i="16"/>
  <c r="AF18" i="16"/>
  <c r="BX17" i="16"/>
  <c r="AF16" i="16"/>
  <c r="BX15" i="16"/>
  <c r="AF14" i="16"/>
  <c r="BX20" i="16"/>
  <c r="AF19" i="16"/>
  <c r="BX18" i="16"/>
  <c r="AF17" i="16"/>
  <c r="BX16" i="16"/>
  <c r="AF15" i="16"/>
  <c r="BY16" i="16"/>
  <c r="AG15" i="16"/>
  <c r="BY14" i="16"/>
  <c r="AG13" i="16"/>
  <c r="BY19" i="16"/>
  <c r="AG18" i="16"/>
  <c r="BY17" i="16"/>
  <c r="AG16" i="16"/>
  <c r="BY15" i="16"/>
  <c r="AG14" i="16"/>
  <c r="BY20" i="16"/>
  <c r="AG19" i="16"/>
  <c r="BY18" i="16"/>
  <c r="AG17" i="16"/>
  <c r="BK11" i="16"/>
  <c r="AG26" i="16"/>
  <c r="BK8" i="16"/>
  <c r="AG23" i="16"/>
  <c r="BK12" i="16"/>
  <c r="AG27" i="16"/>
  <c r="BK10" i="16"/>
  <c r="AG25" i="16"/>
  <c r="BK16" i="16"/>
  <c r="BK15" i="16"/>
  <c r="BK19" i="16"/>
  <c r="BK18" i="16"/>
  <c r="BY21" i="16"/>
  <c r="AG20" i="16"/>
  <c r="BK9" i="16"/>
  <c r="AG24" i="16"/>
  <c r="T28" i="13"/>
  <c r="T26" i="13"/>
  <c r="T27" i="13"/>
  <c r="H17" i="13"/>
  <c r="U25" i="13"/>
  <c r="U27" i="13"/>
  <c r="U26" i="13"/>
  <c r="C22" i="13"/>
  <c r="C24" i="13"/>
  <c r="C23" i="13"/>
  <c r="C13" i="13"/>
  <c r="G24" i="13"/>
  <c r="T30" i="13"/>
  <c r="B24" i="13"/>
  <c r="G23" i="13"/>
  <c r="T29" i="13"/>
  <c r="B23" i="13"/>
  <c r="H22" i="13"/>
  <c r="U28" i="13"/>
  <c r="B22" i="13"/>
  <c r="C21" i="13"/>
  <c r="B21" i="13"/>
  <c r="B20" i="13"/>
  <c r="C19" i="13"/>
  <c r="B19" i="13"/>
  <c r="B18" i="13"/>
  <c r="I16" i="13"/>
  <c r="H16" i="13"/>
  <c r="U24" i="13"/>
  <c r="G16" i="13"/>
  <c r="T24" i="13"/>
  <c r="F16" i="13"/>
  <c r="S24" i="13"/>
  <c r="E16" i="13"/>
  <c r="R24" i="13"/>
  <c r="D16" i="13"/>
  <c r="Q24" i="13"/>
  <c r="C16" i="13"/>
  <c r="B16" i="13"/>
  <c r="G14" i="13"/>
  <c r="H14" i="13"/>
  <c r="G13" i="13"/>
  <c r="H13" i="13"/>
  <c r="G12" i="13"/>
  <c r="H12" i="13"/>
  <c r="I6" i="13"/>
  <c r="H6" i="13"/>
  <c r="G6" i="13"/>
  <c r="F6" i="13"/>
  <c r="E6" i="13"/>
  <c r="D6" i="13"/>
  <c r="B14" i="13"/>
  <c r="B13" i="13"/>
  <c r="B12" i="13"/>
  <c r="B11" i="13"/>
  <c r="B10" i="13"/>
  <c r="B9" i="13"/>
  <c r="B8" i="13"/>
  <c r="B6" i="13"/>
  <c r="C12" i="13"/>
  <c r="C14" i="13"/>
  <c r="C11" i="13"/>
  <c r="C9" i="13"/>
  <c r="C6" i="13"/>
  <c r="V24" i="13"/>
  <c r="D18" i="13"/>
  <c r="E18" i="13"/>
  <c r="F18" i="13"/>
  <c r="C10" i="13"/>
  <c r="E8" i="13"/>
  <c r="G8" i="13"/>
  <c r="I8" i="13"/>
  <c r="C18" i="13"/>
  <c r="H23" i="13"/>
  <c r="U29" i="13"/>
  <c r="D8" i="13"/>
  <c r="H8" i="13"/>
  <c r="H24" i="13"/>
  <c r="U30" i="13"/>
  <c r="F8" i="13"/>
  <c r="I18" i="13"/>
  <c r="G18" i="13"/>
  <c r="H18" i="13"/>
  <c r="H7" i="13"/>
  <c r="C20" i="13"/>
  <c r="C8" i="13"/>
  <c r="P5" i="13"/>
  <c r="BB48" i="24"/>
  <c r="P15" i="13"/>
  <c r="BB52" i="24"/>
  <c r="S20" i="13"/>
  <c r="R22" i="13"/>
  <c r="S22" i="13"/>
  <c r="Q19" i="13"/>
  <c r="S17" i="13"/>
  <c r="Q21" i="13"/>
  <c r="Q18" i="13"/>
  <c r="S18" i="13"/>
  <c r="R21" i="13"/>
  <c r="R15" i="13"/>
  <c r="V21" i="13"/>
  <c r="S15" i="13"/>
  <c r="S19" i="13"/>
  <c r="V22" i="13"/>
  <c r="Q15" i="13"/>
  <c r="S21" i="13"/>
  <c r="Q17" i="13"/>
  <c r="V18" i="13"/>
  <c r="R17" i="13"/>
  <c r="V15" i="13"/>
  <c r="R19" i="13"/>
  <c r="P24" i="13"/>
  <c r="BB56" i="24"/>
  <c r="BB55" i="24"/>
  <c r="V19" i="13"/>
  <c r="R20" i="13"/>
  <c r="Q20" i="13"/>
  <c r="V20" i="13"/>
  <c r="V17" i="13"/>
  <c r="R18" i="13"/>
  <c r="Q22" i="13"/>
  <c r="T19" i="13"/>
  <c r="T15" i="13"/>
  <c r="T18" i="13"/>
  <c r="T17" i="13"/>
  <c r="U15" i="13"/>
  <c r="U18" i="13"/>
  <c r="U17" i="13"/>
  <c r="U19" i="13"/>
  <c r="T20" i="13"/>
  <c r="V11" i="13"/>
  <c r="Q5" i="13"/>
  <c r="R12" i="13"/>
  <c r="P9" i="13"/>
  <c r="R11" i="13"/>
  <c r="R7" i="13"/>
  <c r="S5" i="13"/>
  <c r="R10" i="13"/>
  <c r="S10" i="13"/>
  <c r="T21" i="13"/>
  <c r="S14" i="13"/>
  <c r="V10" i="13"/>
  <c r="P19" i="13"/>
  <c r="T22" i="13"/>
  <c r="Q12" i="13"/>
  <c r="P10" i="13"/>
  <c r="Q4" i="13"/>
  <c r="Q11" i="13"/>
  <c r="Q14" i="13"/>
  <c r="P4" i="13"/>
  <c r="BB47" i="24"/>
  <c r="R9" i="13"/>
  <c r="U14" i="13"/>
  <c r="P17" i="13"/>
  <c r="BB53" i="24"/>
  <c r="R5" i="13"/>
  <c r="R4" i="13"/>
  <c r="V14" i="13"/>
  <c r="P7" i="13"/>
  <c r="BB49" i="24"/>
  <c r="S9" i="13"/>
  <c r="R8" i="13"/>
  <c r="S12" i="13"/>
  <c r="P12" i="13"/>
  <c r="S7" i="13"/>
  <c r="U20" i="13"/>
  <c r="P11" i="13"/>
  <c r="S11" i="13"/>
  <c r="S6" i="13"/>
  <c r="V12" i="13"/>
  <c r="V8" i="13"/>
  <c r="V7" i="13"/>
  <c r="T14" i="13"/>
  <c r="Q8" i="13"/>
  <c r="S4" i="13"/>
  <c r="V4" i="13"/>
  <c r="P14" i="13"/>
  <c r="BB51" i="24"/>
  <c r="R14" i="13"/>
  <c r="S8" i="13"/>
  <c r="P21" i="13"/>
  <c r="BB54" i="24"/>
  <c r="V9" i="13"/>
  <c r="P22" i="13"/>
  <c r="V6" i="13"/>
  <c r="U4" i="13"/>
  <c r="Q7" i="13"/>
  <c r="P20" i="13"/>
  <c r="Q10" i="13"/>
  <c r="V5" i="13"/>
  <c r="Q9" i="13"/>
  <c r="Q16" i="13"/>
  <c r="T8" i="13"/>
  <c r="T10" i="13"/>
  <c r="T11" i="13"/>
  <c r="P16" i="13"/>
  <c r="U5" i="13"/>
  <c r="U12" i="13"/>
  <c r="U16" i="13"/>
  <c r="U7" i="13"/>
  <c r="U10" i="13"/>
  <c r="U9" i="13"/>
  <c r="U8" i="13"/>
  <c r="U11" i="13"/>
  <c r="T9" i="13"/>
  <c r="T12" i="13"/>
  <c r="P6" i="13"/>
  <c r="T7" i="13"/>
  <c r="T6" i="13"/>
  <c r="T16" i="13"/>
  <c r="V16" i="13"/>
  <c r="R6" i="13"/>
  <c r="T4" i="13"/>
  <c r="U6" i="13"/>
  <c r="P8" i="13"/>
  <c r="Q6" i="13"/>
  <c r="S16" i="13"/>
  <c r="U21" i="13"/>
  <c r="P18" i="13"/>
  <c r="U22" i="13"/>
  <c r="R16" i="13"/>
  <c r="T5" i="13"/>
  <c r="U275" i="15"/>
  <c r="U273" i="15"/>
  <c r="U271" i="15"/>
  <c r="U269" i="15"/>
  <c r="U267" i="15"/>
  <c r="U265" i="15"/>
  <c r="U263" i="15"/>
  <c r="U261" i="15"/>
  <c r="U258" i="15"/>
  <c r="U256" i="15"/>
  <c r="U254" i="15"/>
  <c r="U252" i="15"/>
  <c r="U250" i="15"/>
  <c r="U248" i="15"/>
  <c r="U246" i="15"/>
  <c r="U244" i="15"/>
  <c r="U241" i="15"/>
  <c r="U239" i="15"/>
  <c r="U237" i="15"/>
  <c r="U235" i="15"/>
  <c r="U233" i="15"/>
  <c r="U231" i="15"/>
  <c r="U229" i="15"/>
  <c r="U227" i="15"/>
  <c r="U224" i="15"/>
  <c r="U222" i="15"/>
  <c r="U220" i="15"/>
  <c r="U218" i="15"/>
  <c r="U216" i="15"/>
  <c r="U214" i="15"/>
  <c r="U212" i="15"/>
  <c r="U210" i="15"/>
  <c r="U207" i="15"/>
  <c r="U205" i="15"/>
  <c r="U203" i="15"/>
  <c r="U201" i="15"/>
  <c r="U199" i="15"/>
  <c r="U197" i="15"/>
  <c r="U195" i="15"/>
  <c r="U193" i="15"/>
  <c r="U190" i="15"/>
  <c r="U188" i="15"/>
  <c r="U186" i="15"/>
  <c r="U184" i="15"/>
  <c r="U182" i="15"/>
  <c r="U180" i="15"/>
  <c r="U178" i="15"/>
  <c r="U176" i="15"/>
  <c r="U173" i="15"/>
  <c r="U171" i="15"/>
  <c r="U169" i="15"/>
  <c r="U167" i="15"/>
  <c r="U165" i="15"/>
  <c r="U163" i="15"/>
  <c r="U161" i="15"/>
  <c r="U159" i="15"/>
  <c r="U156" i="15"/>
  <c r="U154" i="15"/>
  <c r="U152" i="15"/>
  <c r="U150" i="15"/>
  <c r="U148" i="15"/>
  <c r="U146" i="15"/>
  <c r="U144" i="15"/>
  <c r="U142" i="15"/>
  <c r="U139" i="15"/>
  <c r="U137" i="15"/>
  <c r="U135" i="15"/>
  <c r="U133" i="15"/>
  <c r="U131" i="15"/>
  <c r="U129" i="15"/>
  <c r="U127" i="15"/>
  <c r="U125" i="15"/>
  <c r="U122" i="15"/>
  <c r="U120" i="15"/>
  <c r="Q275" i="15"/>
  <c r="Q273" i="15"/>
  <c r="Q271" i="15"/>
  <c r="Q269" i="15"/>
  <c r="Q267" i="15"/>
  <c r="Q265" i="15"/>
  <c r="Q263" i="15"/>
  <c r="Q261" i="15"/>
  <c r="Q258" i="15"/>
  <c r="Q256" i="15"/>
  <c r="Q254" i="15"/>
  <c r="Q252" i="15"/>
  <c r="Q250" i="15"/>
  <c r="Q248" i="15"/>
  <c r="Q246" i="15"/>
  <c r="Q244" i="15"/>
  <c r="Q241" i="15"/>
  <c r="Q239" i="15"/>
  <c r="Q237" i="15"/>
  <c r="Q235" i="15"/>
  <c r="Q233" i="15"/>
  <c r="Q231" i="15"/>
  <c r="Q229" i="15"/>
  <c r="Q227" i="15"/>
  <c r="Q224" i="15"/>
  <c r="Q222" i="15"/>
  <c r="Q220" i="15"/>
  <c r="Q218" i="15"/>
  <c r="Q216" i="15"/>
  <c r="Q214" i="15"/>
  <c r="Q212" i="15"/>
  <c r="Q210" i="15"/>
  <c r="Q207" i="15"/>
  <c r="Q205" i="15"/>
  <c r="Q203" i="15"/>
  <c r="Q201" i="15"/>
  <c r="Q199" i="15"/>
  <c r="Q197" i="15"/>
  <c r="Q195" i="15"/>
  <c r="Q193" i="15"/>
  <c r="Q190" i="15"/>
  <c r="Q188" i="15"/>
  <c r="Q186" i="15"/>
  <c r="Q184" i="15"/>
  <c r="Q182" i="15"/>
  <c r="Q180" i="15"/>
  <c r="Q178" i="15"/>
  <c r="Q176" i="15"/>
  <c r="Q173" i="15"/>
  <c r="Q171" i="15"/>
  <c r="Q169" i="15"/>
  <c r="Q167" i="15"/>
  <c r="Q165" i="15"/>
  <c r="Q163" i="15"/>
  <c r="Q161" i="15"/>
  <c r="Q159" i="15"/>
  <c r="Q156" i="15"/>
  <c r="Q154" i="15"/>
  <c r="Q152" i="15"/>
  <c r="Q150" i="15"/>
  <c r="Q148" i="15"/>
  <c r="Q146" i="15"/>
  <c r="Q144" i="15"/>
  <c r="Q142" i="15"/>
  <c r="Q139" i="15"/>
  <c r="Q137" i="15"/>
  <c r="Q135" i="15"/>
  <c r="Q133" i="15"/>
  <c r="Q131" i="15"/>
  <c r="Q129" i="15"/>
  <c r="Q127" i="15"/>
  <c r="Q125" i="15"/>
  <c r="Q122" i="15"/>
  <c r="Q120" i="15"/>
  <c r="Q118" i="15"/>
  <c r="O275" i="15"/>
  <c r="O273" i="15"/>
  <c r="O271" i="15"/>
  <c r="O269" i="15"/>
  <c r="O267" i="15"/>
  <c r="O265" i="15"/>
  <c r="O263" i="15"/>
  <c r="O261" i="15"/>
  <c r="O258" i="15"/>
  <c r="O256" i="15"/>
  <c r="O254" i="15"/>
  <c r="O252" i="15"/>
  <c r="O250" i="15"/>
  <c r="O248" i="15"/>
  <c r="O246" i="15"/>
  <c r="O244" i="15"/>
  <c r="O241" i="15"/>
  <c r="O239" i="15"/>
  <c r="O237" i="15"/>
  <c r="O235" i="15"/>
  <c r="O233" i="15"/>
  <c r="O231" i="15"/>
  <c r="O229" i="15"/>
  <c r="O227" i="15"/>
  <c r="O224" i="15"/>
  <c r="O222" i="15"/>
  <c r="O220" i="15"/>
  <c r="O218" i="15"/>
  <c r="O216" i="15"/>
  <c r="O214" i="15"/>
  <c r="O212" i="15"/>
  <c r="O210" i="15"/>
  <c r="O207" i="15"/>
  <c r="O205" i="15"/>
  <c r="O203" i="15"/>
  <c r="O201" i="15"/>
  <c r="O199" i="15"/>
  <c r="O197" i="15"/>
  <c r="O195" i="15"/>
  <c r="O193" i="15"/>
  <c r="O190" i="15"/>
  <c r="O188" i="15"/>
  <c r="O186" i="15"/>
  <c r="O184" i="15"/>
  <c r="O182" i="15"/>
  <c r="O180" i="15"/>
  <c r="O178" i="15"/>
  <c r="O176" i="15"/>
  <c r="O173" i="15"/>
  <c r="O171" i="15"/>
  <c r="O169" i="15"/>
  <c r="O167" i="15"/>
  <c r="O165" i="15"/>
  <c r="O163" i="15"/>
  <c r="O161" i="15"/>
  <c r="O159" i="15"/>
  <c r="O156" i="15"/>
  <c r="O154" i="15"/>
  <c r="O152" i="15"/>
  <c r="O150" i="15"/>
  <c r="O148" i="15"/>
  <c r="O146" i="15"/>
  <c r="O144" i="15"/>
  <c r="O142" i="15"/>
  <c r="O139" i="15"/>
  <c r="O137" i="15"/>
  <c r="O135" i="15"/>
  <c r="O133" i="15"/>
  <c r="O131" i="15"/>
  <c r="O129" i="15"/>
  <c r="O127" i="15"/>
  <c r="O125" i="15"/>
  <c r="O122" i="15"/>
  <c r="O120" i="15"/>
  <c r="U274" i="15"/>
  <c r="U272" i="15"/>
  <c r="U270" i="15"/>
  <c r="U268" i="15"/>
  <c r="U266" i="15"/>
  <c r="U264" i="15"/>
  <c r="U262" i="15"/>
  <c r="U260" i="15"/>
  <c r="U257" i="15"/>
  <c r="U255" i="15"/>
  <c r="U253" i="15"/>
  <c r="U251" i="15"/>
  <c r="U249" i="15"/>
  <c r="U247" i="15"/>
  <c r="U245" i="15"/>
  <c r="U243" i="15"/>
  <c r="U240" i="15"/>
  <c r="U238" i="15"/>
  <c r="U236" i="15"/>
  <c r="U234" i="15"/>
  <c r="U232" i="15"/>
  <c r="U230" i="15"/>
  <c r="U228" i="15"/>
  <c r="U226" i="15"/>
  <c r="U223" i="15"/>
  <c r="U221" i="15"/>
  <c r="U219" i="15"/>
  <c r="U217" i="15"/>
  <c r="U215" i="15"/>
  <c r="U213" i="15"/>
  <c r="U211" i="15"/>
  <c r="U209" i="15"/>
  <c r="U206" i="15"/>
  <c r="U204" i="15"/>
  <c r="U202" i="15"/>
  <c r="U200" i="15"/>
  <c r="U198" i="15"/>
  <c r="U196" i="15"/>
  <c r="U194" i="15"/>
  <c r="U192" i="15"/>
  <c r="U189" i="15"/>
  <c r="U187" i="15"/>
  <c r="U185" i="15"/>
  <c r="U183" i="15"/>
  <c r="U181" i="15"/>
  <c r="U179" i="15"/>
  <c r="U177" i="15"/>
  <c r="U175" i="15"/>
  <c r="U172" i="15"/>
  <c r="U170" i="15"/>
  <c r="U168" i="15"/>
  <c r="U166" i="15"/>
  <c r="U164" i="15"/>
  <c r="U162" i="15"/>
  <c r="U160" i="15"/>
  <c r="U158" i="15"/>
  <c r="U155" i="15"/>
  <c r="U153" i="15"/>
  <c r="U151" i="15"/>
  <c r="U149" i="15"/>
  <c r="U147" i="15"/>
  <c r="U145" i="15"/>
  <c r="U143" i="15"/>
  <c r="U141" i="15"/>
  <c r="U138" i="15"/>
  <c r="U136" i="15"/>
  <c r="U134" i="15"/>
  <c r="U132" i="15"/>
  <c r="U130" i="15"/>
  <c r="U128" i="15"/>
  <c r="U126" i="15"/>
  <c r="U124" i="15"/>
  <c r="U121" i="15"/>
  <c r="U119" i="15"/>
  <c r="U117" i="15"/>
  <c r="S275" i="15"/>
  <c r="W272" i="15"/>
  <c r="R270" i="15"/>
  <c r="X267" i="15"/>
  <c r="S265" i="15"/>
  <c r="W262" i="15"/>
  <c r="R260" i="15"/>
  <c r="X256" i="15"/>
  <c r="S254" i="15"/>
  <c r="W251" i="15"/>
  <c r="R249" i="15"/>
  <c r="X246" i="15"/>
  <c r="S244" i="15"/>
  <c r="W240" i="15"/>
  <c r="R238" i="15"/>
  <c r="X235" i="15"/>
  <c r="S233" i="15"/>
  <c r="W230" i="15"/>
  <c r="R228" i="15"/>
  <c r="X224" i="15"/>
  <c r="S222" i="15"/>
  <c r="W219" i="15"/>
  <c r="R217" i="15"/>
  <c r="X214" i="15"/>
  <c r="S212" i="15"/>
  <c r="W209" i="15"/>
  <c r="R206" i="15"/>
  <c r="X203" i="15"/>
  <c r="S201" i="15"/>
  <c r="W198" i="15"/>
  <c r="R196" i="15"/>
  <c r="X193" i="15"/>
  <c r="S190" i="15"/>
  <c r="W187" i="15"/>
  <c r="R185" i="15"/>
  <c r="X182" i="15"/>
  <c r="S180" i="15"/>
  <c r="W177" i="15"/>
  <c r="R175" i="15"/>
  <c r="X171" i="15"/>
  <c r="S169" i="15"/>
  <c r="W166" i="15"/>
  <c r="R164" i="15"/>
  <c r="X161" i="15"/>
  <c r="S159" i="15"/>
  <c r="W155" i="15"/>
  <c r="R153" i="15"/>
  <c r="X150" i="15"/>
  <c r="S148" i="15"/>
  <c r="W145" i="15"/>
  <c r="R143" i="15"/>
  <c r="X139" i="15"/>
  <c r="S137" i="15"/>
  <c r="W134" i="15"/>
  <c r="R132" i="15"/>
  <c r="X129" i="15"/>
  <c r="S127" i="15"/>
  <c r="W124" i="15"/>
  <c r="R121" i="15"/>
  <c r="X118" i="15"/>
  <c r="V116" i="15"/>
  <c r="V114" i="15"/>
  <c r="V112" i="15"/>
  <c r="V110" i="15"/>
  <c r="V108" i="15"/>
  <c r="V105" i="15"/>
  <c r="V103" i="15"/>
  <c r="V101" i="15"/>
  <c r="V99" i="15"/>
  <c r="V97" i="15"/>
  <c r="V95" i="15"/>
  <c r="V93" i="15"/>
  <c r="V91" i="15"/>
  <c r="V88" i="15"/>
  <c r="V86" i="15"/>
  <c r="V84" i="15"/>
  <c r="V82" i="15"/>
  <c r="V80" i="15"/>
  <c r="V78" i="15"/>
  <c r="V76" i="15"/>
  <c r="V74" i="15"/>
  <c r="V71" i="15"/>
  <c r="V69" i="15"/>
  <c r="V67" i="15"/>
  <c r="V65" i="15"/>
  <c r="V63" i="15"/>
  <c r="V61" i="15"/>
  <c r="V59" i="15"/>
  <c r="R275" i="15"/>
  <c r="V272" i="15"/>
  <c r="Q270" i="15"/>
  <c r="W267" i="15"/>
  <c r="R265" i="15"/>
  <c r="V262" i="15"/>
  <c r="Q260" i="15"/>
  <c r="W256" i="15"/>
  <c r="R254" i="15"/>
  <c r="V251" i="15"/>
  <c r="Q249" i="15"/>
  <c r="W246" i="15"/>
  <c r="R244" i="15"/>
  <c r="V240" i="15"/>
  <c r="Q238" i="15"/>
  <c r="W235" i="15"/>
  <c r="R233" i="15"/>
  <c r="V230" i="15"/>
  <c r="Q228" i="15"/>
  <c r="W224" i="15"/>
  <c r="R222" i="15"/>
  <c r="V219" i="15"/>
  <c r="Q217" i="15"/>
  <c r="W214" i="15"/>
  <c r="R212" i="15"/>
  <c r="V209" i="15"/>
  <c r="Q206" i="15"/>
  <c r="W203" i="15"/>
  <c r="R201" i="15"/>
  <c r="V198" i="15"/>
  <c r="Q196" i="15"/>
  <c r="W193" i="15"/>
  <c r="R190" i="15"/>
  <c r="V187" i="15"/>
  <c r="Q185" i="15"/>
  <c r="W182" i="15"/>
  <c r="R180" i="15"/>
  <c r="V177" i="15"/>
  <c r="Q175" i="15"/>
  <c r="W171" i="15"/>
  <c r="R169" i="15"/>
  <c r="V166" i="15"/>
  <c r="Q164" i="15"/>
  <c r="W161" i="15"/>
  <c r="R159" i="15"/>
  <c r="V155" i="15"/>
  <c r="Q153" i="15"/>
  <c r="W150" i="15"/>
  <c r="R148" i="15"/>
  <c r="V145" i="15"/>
  <c r="Q143" i="15"/>
  <c r="W139" i="15"/>
  <c r="R137" i="15"/>
  <c r="V134" i="15"/>
  <c r="Q132" i="15"/>
  <c r="W129" i="15"/>
  <c r="R127" i="15"/>
  <c r="V124" i="15"/>
  <c r="Q121" i="15"/>
  <c r="W118" i="15"/>
  <c r="U116" i="15"/>
  <c r="U114" i="15"/>
  <c r="U112" i="15"/>
  <c r="U110" i="15"/>
  <c r="U108" i="15"/>
  <c r="U105" i="15"/>
  <c r="U103" i="15"/>
  <c r="U101" i="15"/>
  <c r="U99" i="15"/>
  <c r="U97" i="15"/>
  <c r="U95" i="15"/>
  <c r="U93" i="15"/>
  <c r="U91" i="15"/>
  <c r="U88" i="15"/>
  <c r="U86" i="15"/>
  <c r="U84" i="15"/>
  <c r="U82" i="15"/>
  <c r="U80" i="15"/>
  <c r="U78" i="15"/>
  <c r="P275" i="15"/>
  <c r="T272" i="15"/>
  <c r="P270" i="15"/>
  <c r="V267" i="15"/>
  <c r="P265" i="15"/>
  <c r="T262" i="15"/>
  <c r="P260" i="15"/>
  <c r="V256" i="15"/>
  <c r="P254" i="15"/>
  <c r="T251" i="15"/>
  <c r="P249" i="15"/>
  <c r="V246" i="15"/>
  <c r="P244" i="15"/>
  <c r="T240" i="15"/>
  <c r="P238" i="15"/>
  <c r="V235" i="15"/>
  <c r="P233" i="15"/>
  <c r="T230" i="15"/>
  <c r="P228" i="15"/>
  <c r="V224" i="15"/>
  <c r="P222" i="15"/>
  <c r="T219" i="15"/>
  <c r="P217" i="15"/>
  <c r="V214" i="15"/>
  <c r="P212" i="15"/>
  <c r="T209" i="15"/>
  <c r="P206" i="15"/>
  <c r="V203" i="15"/>
  <c r="P201" i="15"/>
  <c r="T198" i="15"/>
  <c r="P196" i="15"/>
  <c r="V193" i="15"/>
  <c r="P190" i="15"/>
  <c r="T187" i="15"/>
  <c r="P185" i="15"/>
  <c r="V182" i="15"/>
  <c r="P180" i="15"/>
  <c r="T177" i="15"/>
  <c r="P175" i="15"/>
  <c r="V171" i="15"/>
  <c r="P169" i="15"/>
  <c r="T166" i="15"/>
  <c r="P164" i="15"/>
  <c r="V161" i="15"/>
  <c r="P159" i="15"/>
  <c r="T155" i="15"/>
  <c r="P153" i="15"/>
  <c r="V150" i="15"/>
  <c r="P148" i="15"/>
  <c r="T145" i="15"/>
  <c r="P143" i="15"/>
  <c r="V139" i="15"/>
  <c r="P137" i="15"/>
  <c r="T134" i="15"/>
  <c r="P132" i="15"/>
  <c r="V129" i="15"/>
  <c r="P127" i="15"/>
  <c r="T124" i="15"/>
  <c r="P121" i="15"/>
  <c r="V118" i="15"/>
  <c r="T116" i="15"/>
  <c r="T114" i="15"/>
  <c r="T112" i="15"/>
  <c r="T110" i="15"/>
  <c r="T108" i="15"/>
  <c r="T105" i="15"/>
  <c r="T103" i="15"/>
  <c r="T101" i="15"/>
  <c r="T99" i="15"/>
  <c r="T97" i="15"/>
  <c r="T95" i="15"/>
  <c r="T93" i="15"/>
  <c r="T91" i="15"/>
  <c r="T88" i="15"/>
  <c r="T86" i="15"/>
  <c r="T84" i="15"/>
  <c r="T82" i="15"/>
  <c r="T80" i="15"/>
  <c r="T78" i="15"/>
  <c r="X274" i="15"/>
  <c r="S272" i="15"/>
  <c r="O270" i="15"/>
  <c r="T267" i="15"/>
  <c r="X264" i="15"/>
  <c r="S262" i="15"/>
  <c r="O260" i="15"/>
  <c r="T256" i="15"/>
  <c r="X253" i="15"/>
  <c r="S251" i="15"/>
  <c r="O249" i="15"/>
  <c r="T246" i="15"/>
  <c r="X243" i="15"/>
  <c r="S240" i="15"/>
  <c r="O238" i="15"/>
  <c r="T235" i="15"/>
  <c r="X232" i="15"/>
  <c r="S230" i="15"/>
  <c r="O228" i="15"/>
  <c r="T224" i="15"/>
  <c r="X221" i="15"/>
  <c r="S219" i="15"/>
  <c r="O217" i="15"/>
  <c r="T214" i="15"/>
  <c r="X211" i="15"/>
  <c r="S209" i="15"/>
  <c r="O206" i="15"/>
  <c r="T203" i="15"/>
  <c r="X200" i="15"/>
  <c r="S198" i="15"/>
  <c r="O196" i="15"/>
  <c r="T193" i="15"/>
  <c r="X189" i="15"/>
  <c r="S187" i="15"/>
  <c r="O185" i="15"/>
  <c r="T182" i="15"/>
  <c r="X179" i="15"/>
  <c r="S177" i="15"/>
  <c r="O175" i="15"/>
  <c r="T171" i="15"/>
  <c r="X168" i="15"/>
  <c r="S166" i="15"/>
  <c r="O164" i="15"/>
  <c r="T161" i="15"/>
  <c r="S155" i="15"/>
  <c r="O153" i="15"/>
  <c r="T150" i="15"/>
  <c r="X147" i="15"/>
  <c r="S145" i="15"/>
  <c r="O143" i="15"/>
  <c r="T139" i="15"/>
  <c r="X136" i="15"/>
  <c r="S134" i="15"/>
  <c r="O132" i="15"/>
  <c r="T129" i="15"/>
  <c r="X126" i="15"/>
  <c r="S124" i="15"/>
  <c r="O121" i="15"/>
  <c r="U118" i="15"/>
  <c r="S116" i="15"/>
  <c r="S114" i="15"/>
  <c r="S112" i="15"/>
  <c r="S110" i="15"/>
  <c r="S108" i="15"/>
  <c r="S105" i="15"/>
  <c r="S103" i="15"/>
  <c r="S101" i="15"/>
  <c r="S99" i="15"/>
  <c r="S97" i="15"/>
  <c r="S95" i="15"/>
  <c r="S93" i="15"/>
  <c r="S91" i="15"/>
  <c r="S88" i="15"/>
  <c r="S86" i="15"/>
  <c r="S84" i="15"/>
  <c r="S82" i="15"/>
  <c r="R274" i="15"/>
  <c r="S271" i="15"/>
  <c r="R268" i="15"/>
  <c r="W264" i="15"/>
  <c r="X261" i="15"/>
  <c r="W257" i="15"/>
  <c r="X254" i="15"/>
  <c r="R251" i="15"/>
  <c r="S248" i="15"/>
  <c r="R245" i="15"/>
  <c r="S241" i="15"/>
  <c r="X237" i="15"/>
  <c r="W234" i="15"/>
  <c r="X231" i="15"/>
  <c r="W228" i="15"/>
  <c r="S224" i="15"/>
  <c r="R221" i="15"/>
  <c r="S218" i="15"/>
  <c r="R215" i="15"/>
  <c r="W211" i="15"/>
  <c r="X207" i="15"/>
  <c r="W204" i="15"/>
  <c r="X201" i="15"/>
  <c r="R198" i="15"/>
  <c r="S195" i="15"/>
  <c r="R192" i="15"/>
  <c r="S188" i="15"/>
  <c r="X184" i="15"/>
  <c r="W181" i="15"/>
  <c r="X178" i="15"/>
  <c r="W175" i="15"/>
  <c r="S171" i="15"/>
  <c r="R168" i="15"/>
  <c r="S165" i="15"/>
  <c r="R162" i="15"/>
  <c r="W158" i="15"/>
  <c r="X154" i="15"/>
  <c r="W151" i="15"/>
  <c r="X148" i="15"/>
  <c r="R145" i="15"/>
  <c r="S142" i="15"/>
  <c r="R138" i="15"/>
  <c r="S135" i="15"/>
  <c r="X131" i="15"/>
  <c r="W128" i="15"/>
  <c r="X125" i="15"/>
  <c r="W121" i="15"/>
  <c r="T118" i="15"/>
  <c r="X115" i="15"/>
  <c r="T113" i="15"/>
  <c r="P111" i="15"/>
  <c r="R108" i="15"/>
  <c r="X104" i="15"/>
  <c r="T102" i="15"/>
  <c r="P100" i="15"/>
  <c r="R97" i="15"/>
  <c r="X94" i="15"/>
  <c r="T92" i="15"/>
  <c r="P90" i="15"/>
  <c r="R86" i="15"/>
  <c r="X83" i="15"/>
  <c r="T81" i="15"/>
  <c r="Q79" i="15"/>
  <c r="X76" i="15"/>
  <c r="W74" i="15"/>
  <c r="U71" i="15"/>
  <c r="T69" i="15"/>
  <c r="S67" i="15"/>
  <c r="R65" i="15"/>
  <c r="Q63" i="15"/>
  <c r="P61" i="15"/>
  <c r="O59" i="15"/>
  <c r="O57" i="15"/>
  <c r="O54" i="15"/>
  <c r="O52" i="15"/>
  <c r="O50" i="15"/>
  <c r="O48" i="15"/>
  <c r="O46" i="15"/>
  <c r="O44" i="15"/>
  <c r="O42" i="15"/>
  <c r="O40" i="15"/>
  <c r="O37" i="15"/>
  <c r="O35" i="15"/>
  <c r="O33" i="15"/>
  <c r="O31" i="15"/>
  <c r="O29" i="15"/>
  <c r="O27" i="15"/>
  <c r="O25" i="15"/>
  <c r="O23" i="15"/>
  <c r="O20" i="15"/>
  <c r="O18" i="15"/>
  <c r="O16" i="15"/>
  <c r="O14" i="15"/>
  <c r="O12" i="15"/>
  <c r="O10" i="15"/>
  <c r="O8" i="15"/>
  <c r="O6" i="15"/>
  <c r="X17" i="15"/>
  <c r="Q274" i="15"/>
  <c r="R271" i="15"/>
  <c r="Q268" i="15"/>
  <c r="V264" i="15"/>
  <c r="W261" i="15"/>
  <c r="V257" i="15"/>
  <c r="W254" i="15"/>
  <c r="Q251" i="15"/>
  <c r="R248" i="15"/>
  <c r="Q245" i="15"/>
  <c r="R241" i="15"/>
  <c r="W237" i="15"/>
  <c r="V234" i="15"/>
  <c r="W231" i="15"/>
  <c r="V228" i="15"/>
  <c r="R224" i="15"/>
  <c r="Q221" i="15"/>
  <c r="R218" i="15"/>
  <c r="Q215" i="15"/>
  <c r="V211" i="15"/>
  <c r="W207" i="15"/>
  <c r="V204" i="15"/>
  <c r="W201" i="15"/>
  <c r="Q198" i="15"/>
  <c r="R195" i="15"/>
  <c r="Q192" i="15"/>
  <c r="R188" i="15"/>
  <c r="W184" i="15"/>
  <c r="V181" i="15"/>
  <c r="W178" i="15"/>
  <c r="V175" i="15"/>
  <c r="R171" i="15"/>
  <c r="Q168" i="15"/>
  <c r="R165" i="15"/>
  <c r="Q162" i="15"/>
  <c r="V158" i="15"/>
  <c r="W154" i="15"/>
  <c r="V151" i="15"/>
  <c r="W148" i="15"/>
  <c r="Q145" i="15"/>
  <c r="R142" i="15"/>
  <c r="Q138" i="15"/>
  <c r="R135" i="15"/>
  <c r="W131" i="15"/>
  <c r="V128" i="15"/>
  <c r="W125" i="15"/>
  <c r="V121" i="15"/>
  <c r="S118" i="15"/>
  <c r="W115" i="15"/>
  <c r="S113" i="15"/>
  <c r="O111" i="15"/>
  <c r="Q108" i="15"/>
  <c r="W104" i="15"/>
  <c r="S102" i="15"/>
  <c r="O100" i="15"/>
  <c r="Q97" i="15"/>
  <c r="W94" i="15"/>
  <c r="S92" i="15"/>
  <c r="O90" i="15"/>
  <c r="Q86" i="15"/>
  <c r="W83" i="15"/>
  <c r="S81" i="15"/>
  <c r="P79" i="15"/>
  <c r="W76" i="15"/>
  <c r="U74" i="15"/>
  <c r="T71" i="15"/>
  <c r="S69" i="15"/>
  <c r="R67" i="15"/>
  <c r="Q65" i="15"/>
  <c r="P63" i="15"/>
  <c r="O61" i="15"/>
  <c r="X58" i="15"/>
  <c r="X56" i="15"/>
  <c r="X53" i="15"/>
  <c r="X51" i="15"/>
  <c r="X49" i="15"/>
  <c r="X47" i="15"/>
  <c r="X45" i="15"/>
  <c r="X43" i="15"/>
  <c r="X41" i="15"/>
  <c r="X39" i="15"/>
  <c r="X36" i="15"/>
  <c r="X34" i="15"/>
  <c r="X32" i="15"/>
  <c r="X30" i="15"/>
  <c r="X28" i="15"/>
  <c r="X26" i="15"/>
  <c r="X24" i="15"/>
  <c r="X22" i="15"/>
  <c r="X19" i="15"/>
  <c r="X15" i="15"/>
  <c r="X13" i="15"/>
  <c r="X11" i="15"/>
  <c r="X9" i="15"/>
  <c r="X7" i="15"/>
  <c r="V39" i="15"/>
  <c r="P274" i="15"/>
  <c r="P271" i="15"/>
  <c r="P268" i="15"/>
  <c r="T264" i="15"/>
  <c r="V261" i="15"/>
  <c r="T257" i="15"/>
  <c r="V254" i="15"/>
  <c r="P251" i="15"/>
  <c r="P248" i="15"/>
  <c r="P245" i="15"/>
  <c r="P241" i="15"/>
  <c r="V237" i="15"/>
  <c r="T234" i="15"/>
  <c r="V231" i="15"/>
  <c r="T228" i="15"/>
  <c r="P224" i="15"/>
  <c r="P221" i="15"/>
  <c r="P218" i="15"/>
  <c r="P215" i="15"/>
  <c r="T211" i="15"/>
  <c r="V207" i="15"/>
  <c r="T204" i="15"/>
  <c r="V201" i="15"/>
  <c r="P198" i="15"/>
  <c r="P195" i="15"/>
  <c r="P192" i="15"/>
  <c r="P188" i="15"/>
  <c r="V184" i="15"/>
  <c r="T181" i="15"/>
  <c r="V178" i="15"/>
  <c r="T175" i="15"/>
  <c r="P171" i="15"/>
  <c r="P168" i="15"/>
  <c r="P165" i="15"/>
  <c r="P162" i="15"/>
  <c r="T158" i="15"/>
  <c r="V154" i="15"/>
  <c r="T151" i="15"/>
  <c r="V148" i="15"/>
  <c r="P145" i="15"/>
  <c r="P142" i="15"/>
  <c r="P138" i="15"/>
  <c r="P135" i="15"/>
  <c r="V131" i="15"/>
  <c r="T128" i="15"/>
  <c r="V125" i="15"/>
  <c r="T121" i="15"/>
  <c r="R118" i="15"/>
  <c r="V115" i="15"/>
  <c r="R113" i="15"/>
  <c r="X110" i="15"/>
  <c r="P108" i="15"/>
  <c r="V104" i="15"/>
  <c r="R102" i="15"/>
  <c r="X99" i="15"/>
  <c r="P97" i="15"/>
  <c r="V94" i="15"/>
  <c r="R92" i="15"/>
  <c r="X88" i="15"/>
  <c r="P86" i="15"/>
  <c r="V83" i="15"/>
  <c r="R81" i="15"/>
  <c r="O79" i="15"/>
  <c r="U76" i="15"/>
  <c r="T74" i="15"/>
  <c r="S71" i="15"/>
  <c r="R69" i="15"/>
  <c r="Q67" i="15"/>
  <c r="P65" i="15"/>
  <c r="O63" i="15"/>
  <c r="X60" i="15"/>
  <c r="W58" i="15"/>
  <c r="W56" i="15"/>
  <c r="W53" i="15"/>
  <c r="W51" i="15"/>
  <c r="W49" i="15"/>
  <c r="W47" i="15"/>
  <c r="W45" i="15"/>
  <c r="W43" i="15"/>
  <c r="W41" i="15"/>
  <c r="W39" i="15"/>
  <c r="W36" i="15"/>
  <c r="W34" i="15"/>
  <c r="W32" i="15"/>
  <c r="W30" i="15"/>
  <c r="W28" i="15"/>
  <c r="W26" i="15"/>
  <c r="W24" i="15"/>
  <c r="W22" i="15"/>
  <c r="W19" i="15"/>
  <c r="W17" i="15"/>
  <c r="W15" i="15"/>
  <c r="W13" i="15"/>
  <c r="W11" i="15"/>
  <c r="W9" i="15"/>
  <c r="W7" i="15"/>
  <c r="W5" i="15"/>
  <c r="O274" i="15"/>
  <c r="X270" i="15"/>
  <c r="O268" i="15"/>
  <c r="S264" i="15"/>
  <c r="T261" i="15"/>
  <c r="S257" i="15"/>
  <c r="T254" i="15"/>
  <c r="O251" i="15"/>
  <c r="X247" i="15"/>
  <c r="O245" i="15"/>
  <c r="X240" i="15"/>
  <c r="T237" i="15"/>
  <c r="S234" i="15"/>
  <c r="T231" i="15"/>
  <c r="S228" i="15"/>
  <c r="X223" i="15"/>
  <c r="O221" i="15"/>
  <c r="X217" i="15"/>
  <c r="O215" i="15"/>
  <c r="S211" i="15"/>
  <c r="T207" i="15"/>
  <c r="S204" i="15"/>
  <c r="T201" i="15"/>
  <c r="O198" i="15"/>
  <c r="X194" i="15"/>
  <c r="O192" i="15"/>
  <c r="X187" i="15"/>
  <c r="T184" i="15"/>
  <c r="S181" i="15"/>
  <c r="T178" i="15"/>
  <c r="S175" i="15"/>
  <c r="X170" i="15"/>
  <c r="O168" i="15"/>
  <c r="X164" i="15"/>
  <c r="O162" i="15"/>
  <c r="S158" i="15"/>
  <c r="T154" i="15"/>
  <c r="S151" i="15"/>
  <c r="T148" i="15"/>
  <c r="O145" i="15"/>
  <c r="X141" i="15"/>
  <c r="O138" i="15"/>
  <c r="X134" i="15"/>
  <c r="T131" i="15"/>
  <c r="S128" i="15"/>
  <c r="T125" i="15"/>
  <c r="S121" i="15"/>
  <c r="P118" i="15"/>
  <c r="U115" i="15"/>
  <c r="Q113" i="15"/>
  <c r="W110" i="15"/>
  <c r="O108" i="15"/>
  <c r="U104" i="15"/>
  <c r="Q102" i="15"/>
  <c r="W99" i="15"/>
  <c r="O97" i="15"/>
  <c r="U94" i="15"/>
  <c r="Q92" i="15"/>
  <c r="W88" i="15"/>
  <c r="O86" i="15"/>
  <c r="U83" i="15"/>
  <c r="Q81" i="15"/>
  <c r="X78" i="15"/>
  <c r="T76" i="15"/>
  <c r="S74" i="15"/>
  <c r="R71" i="15"/>
  <c r="Q69" i="15"/>
  <c r="P67" i="15"/>
  <c r="O65" i="15"/>
  <c r="X62" i="15"/>
  <c r="W60" i="15"/>
  <c r="V58" i="15"/>
  <c r="V56" i="15"/>
  <c r="V53" i="15"/>
  <c r="V51" i="15"/>
  <c r="V49" i="15"/>
  <c r="V47" i="15"/>
  <c r="V45" i="15"/>
  <c r="V41" i="15"/>
  <c r="V36" i="15"/>
  <c r="X273" i="15"/>
  <c r="X269" i="15"/>
  <c r="R266" i="15"/>
  <c r="R262" i="15"/>
  <c r="R257" i="15"/>
  <c r="R253" i="15"/>
  <c r="W249" i="15"/>
  <c r="W245" i="15"/>
  <c r="R240" i="15"/>
  <c r="W236" i="15"/>
  <c r="W232" i="15"/>
  <c r="S229" i="15"/>
  <c r="W223" i="15"/>
  <c r="S220" i="15"/>
  <c r="S216" i="15"/>
  <c r="X212" i="15"/>
  <c r="S207" i="15"/>
  <c r="S203" i="15"/>
  <c r="X199" i="15"/>
  <c r="X195" i="15"/>
  <c r="X190" i="15"/>
  <c r="X186" i="15"/>
  <c r="R183" i="15"/>
  <c r="R179" i="15"/>
  <c r="X173" i="15"/>
  <c r="R170" i="15"/>
  <c r="R166" i="15"/>
  <c r="W162" i="15"/>
  <c r="R158" i="15"/>
  <c r="W153" i="15"/>
  <c r="W149" i="15"/>
  <c r="S146" i="15"/>
  <c r="W141" i="15"/>
  <c r="W136" i="15"/>
  <c r="S133" i="15"/>
  <c r="S129" i="15"/>
  <c r="S125" i="15"/>
  <c r="S120" i="15"/>
  <c r="P117" i="15"/>
  <c r="X113" i="15"/>
  <c r="R110" i="15"/>
  <c r="T107" i="15"/>
  <c r="R103" i="15"/>
  <c r="T100" i="15"/>
  <c r="X96" i="15"/>
  <c r="P94" i="15"/>
  <c r="X90" i="15"/>
  <c r="P87" i="15"/>
  <c r="T83" i="15"/>
  <c r="S80" i="15"/>
  <c r="V77" i="15"/>
  <c r="Q75" i="15"/>
  <c r="Q71" i="15"/>
  <c r="V68" i="15"/>
  <c r="Q66" i="15"/>
  <c r="U63" i="15"/>
  <c r="V60" i="15"/>
  <c r="Q58" i="15"/>
  <c r="W54" i="15"/>
  <c r="S52" i="15"/>
  <c r="U49" i="15"/>
  <c r="Q47" i="15"/>
  <c r="W44" i="15"/>
  <c r="T42" i="15"/>
  <c r="P40" i="15"/>
  <c r="R36" i="15"/>
  <c r="O34" i="15"/>
  <c r="V31" i="15"/>
  <c r="S29" i="15"/>
  <c r="P27" i="15"/>
  <c r="T24" i="15"/>
  <c r="Q22" i="15"/>
  <c r="X18" i="15"/>
  <c r="U16" i="15"/>
  <c r="R14" i="15"/>
  <c r="V11" i="15"/>
  <c r="S9" i="15"/>
  <c r="P7" i="15"/>
  <c r="Q14" i="15"/>
  <c r="O7" i="15"/>
  <c r="O110" i="15"/>
  <c r="S269" i="15"/>
  <c r="X244" i="15"/>
  <c r="R223" i="15"/>
  <c r="W206" i="15"/>
  <c r="W189" i="15"/>
  <c r="X169" i="15"/>
  <c r="X152" i="15"/>
  <c r="R136" i="15"/>
  <c r="R116" i="15"/>
  <c r="X102" i="15"/>
  <c r="X85" i="15"/>
  <c r="R74" i="15"/>
  <c r="U51" i="15"/>
  <c r="V28" i="15"/>
  <c r="W265" i="15"/>
  <c r="Q232" i="15"/>
  <c r="V202" i="15"/>
  <c r="R173" i="15"/>
  <c r="Q149" i="15"/>
  <c r="V119" i="15"/>
  <c r="S96" i="15"/>
  <c r="Q68" i="15"/>
  <c r="U41" i="15"/>
  <c r="T13" i="15"/>
  <c r="V265" i="15"/>
  <c r="V252" i="15"/>
  <c r="P236" i="15"/>
  <c r="W273" i="15"/>
  <c r="W269" i="15"/>
  <c r="Q266" i="15"/>
  <c r="Q262" i="15"/>
  <c r="Q257" i="15"/>
  <c r="Q253" i="15"/>
  <c r="V249" i="15"/>
  <c r="V245" i="15"/>
  <c r="Q240" i="15"/>
  <c r="V236" i="15"/>
  <c r="V232" i="15"/>
  <c r="R229" i="15"/>
  <c r="V223" i="15"/>
  <c r="R220" i="15"/>
  <c r="R216" i="15"/>
  <c r="W212" i="15"/>
  <c r="R207" i="15"/>
  <c r="R203" i="15"/>
  <c r="W199" i="15"/>
  <c r="W195" i="15"/>
  <c r="W190" i="15"/>
  <c r="W186" i="15"/>
  <c r="Q183" i="15"/>
  <c r="Q179" i="15"/>
  <c r="W173" i="15"/>
  <c r="Q170" i="15"/>
  <c r="Q166" i="15"/>
  <c r="V162" i="15"/>
  <c r="Q158" i="15"/>
  <c r="V153" i="15"/>
  <c r="V149" i="15"/>
  <c r="R146" i="15"/>
  <c r="V141" i="15"/>
  <c r="V136" i="15"/>
  <c r="R133" i="15"/>
  <c r="R129" i="15"/>
  <c r="R125" i="15"/>
  <c r="R120" i="15"/>
  <c r="O117" i="15"/>
  <c r="W113" i="15"/>
  <c r="Q110" i="15"/>
  <c r="S107" i="15"/>
  <c r="Q103" i="15"/>
  <c r="S100" i="15"/>
  <c r="W96" i="15"/>
  <c r="O94" i="15"/>
  <c r="W90" i="15"/>
  <c r="O87" i="15"/>
  <c r="S83" i="15"/>
  <c r="R80" i="15"/>
  <c r="U77" i="15"/>
  <c r="P75" i="15"/>
  <c r="P71" i="15"/>
  <c r="U68" i="15"/>
  <c r="P66" i="15"/>
  <c r="T63" i="15"/>
  <c r="U60" i="15"/>
  <c r="P58" i="15"/>
  <c r="V54" i="15"/>
  <c r="R52" i="15"/>
  <c r="T49" i="15"/>
  <c r="P47" i="15"/>
  <c r="V44" i="15"/>
  <c r="S42" i="15"/>
  <c r="U39" i="15"/>
  <c r="Q36" i="15"/>
  <c r="X33" i="15"/>
  <c r="U31" i="15"/>
  <c r="R29" i="15"/>
  <c r="V26" i="15"/>
  <c r="S24" i="15"/>
  <c r="P22" i="15"/>
  <c r="W18" i="15"/>
  <c r="T16" i="15"/>
  <c r="U11" i="15"/>
  <c r="R9" i="15"/>
  <c r="X119" i="15"/>
  <c r="W93" i="15"/>
  <c r="W86" i="15"/>
  <c r="P80" i="15"/>
  <c r="S77" i="15"/>
  <c r="X74" i="15"/>
  <c r="X70" i="15"/>
  <c r="S68" i="15"/>
  <c r="X65" i="15"/>
  <c r="R63" i="15"/>
  <c r="X57" i="15"/>
  <c r="T54" i="15"/>
  <c r="P52" i="15"/>
  <c r="R49" i="15"/>
  <c r="X46" i="15"/>
  <c r="T44" i="15"/>
  <c r="Q42" i="15"/>
  <c r="S39" i="15"/>
  <c r="O36" i="15"/>
  <c r="V33" i="15"/>
  <c r="S31" i="15"/>
  <c r="T26" i="15"/>
  <c r="Q24" i="15"/>
  <c r="X20" i="15"/>
  <c r="U18" i="15"/>
  <c r="R16" i="15"/>
  <c r="V13" i="15"/>
  <c r="S11" i="15"/>
  <c r="P9" i="15"/>
  <c r="W6" i="15"/>
  <c r="S273" i="15"/>
  <c r="X265" i="15"/>
  <c r="S261" i="15"/>
  <c r="S256" i="15"/>
  <c r="X252" i="15"/>
  <c r="X239" i="15"/>
  <c r="R236" i="15"/>
  <c r="R232" i="15"/>
  <c r="R219" i="15"/>
  <c r="R211" i="15"/>
  <c r="W202" i="15"/>
  <c r="S199" i="15"/>
  <c r="W194" i="15"/>
  <c r="S182" i="15"/>
  <c r="S173" i="15"/>
  <c r="X165" i="15"/>
  <c r="X156" i="15"/>
  <c r="R149" i="15"/>
  <c r="X144" i="15"/>
  <c r="R128" i="15"/>
  <c r="R124" i="15"/>
  <c r="W119" i="15"/>
  <c r="X109" i="15"/>
  <c r="P107" i="15"/>
  <c r="R99" i="15"/>
  <c r="R93" i="15"/>
  <c r="P83" i="15"/>
  <c r="O80" i="15"/>
  <c r="R77" i="15"/>
  <c r="W70" i="15"/>
  <c r="W62" i="15"/>
  <c r="R60" i="15"/>
  <c r="W57" i="15"/>
  <c r="S54" i="15"/>
  <c r="W46" i="15"/>
  <c r="S44" i="15"/>
  <c r="R39" i="15"/>
  <c r="X35" i="15"/>
  <c r="R31" i="15"/>
  <c r="S26" i="15"/>
  <c r="W20" i="15"/>
  <c r="Q16" i="15"/>
  <c r="U13" i="15"/>
  <c r="R11" i="15"/>
  <c r="O9" i="15"/>
  <c r="V6" i="15"/>
  <c r="R269" i="15"/>
  <c r="W248" i="15"/>
  <c r="Q219" i="15"/>
  <c r="V194" i="15"/>
  <c r="R161" i="15"/>
  <c r="Q128" i="15"/>
  <c r="W102" i="15"/>
  <c r="Q74" i="15"/>
  <c r="T51" i="15"/>
  <c r="O24" i="15"/>
  <c r="P269" i="15"/>
  <c r="V273" i="15"/>
  <c r="V269" i="15"/>
  <c r="P266" i="15"/>
  <c r="P262" i="15"/>
  <c r="P257" i="15"/>
  <c r="P253" i="15"/>
  <c r="T249" i="15"/>
  <c r="T245" i="15"/>
  <c r="P240" i="15"/>
  <c r="T236" i="15"/>
  <c r="T232" i="15"/>
  <c r="P229" i="15"/>
  <c r="T223" i="15"/>
  <c r="P220" i="15"/>
  <c r="P216" i="15"/>
  <c r="V212" i="15"/>
  <c r="P207" i="15"/>
  <c r="P203" i="15"/>
  <c r="V199" i="15"/>
  <c r="V195" i="15"/>
  <c r="V190" i="15"/>
  <c r="V186" i="15"/>
  <c r="P183" i="15"/>
  <c r="P179" i="15"/>
  <c r="V173" i="15"/>
  <c r="P170" i="15"/>
  <c r="P166" i="15"/>
  <c r="T162" i="15"/>
  <c r="P158" i="15"/>
  <c r="T153" i="15"/>
  <c r="T149" i="15"/>
  <c r="P146" i="15"/>
  <c r="T141" i="15"/>
  <c r="T136" i="15"/>
  <c r="P133" i="15"/>
  <c r="P129" i="15"/>
  <c r="P125" i="15"/>
  <c r="P120" i="15"/>
  <c r="X116" i="15"/>
  <c r="V113" i="15"/>
  <c r="P110" i="15"/>
  <c r="R107" i="15"/>
  <c r="P103" i="15"/>
  <c r="R100" i="15"/>
  <c r="V96" i="15"/>
  <c r="X93" i="15"/>
  <c r="V90" i="15"/>
  <c r="X86" i="15"/>
  <c r="R83" i="15"/>
  <c r="Q80" i="15"/>
  <c r="T77" i="15"/>
  <c r="O75" i="15"/>
  <c r="O71" i="15"/>
  <c r="T68" i="15"/>
  <c r="O66" i="15"/>
  <c r="S63" i="15"/>
  <c r="T60" i="15"/>
  <c r="O58" i="15"/>
  <c r="U54" i="15"/>
  <c r="Q52" i="15"/>
  <c r="S49" i="15"/>
  <c r="O47" i="15"/>
  <c r="U44" i="15"/>
  <c r="R42" i="15"/>
  <c r="T39" i="15"/>
  <c r="P36" i="15"/>
  <c r="W33" i="15"/>
  <c r="T31" i="15"/>
  <c r="Q29" i="15"/>
  <c r="U26" i="15"/>
  <c r="R24" i="15"/>
  <c r="O22" i="15"/>
  <c r="V18" i="15"/>
  <c r="S16" i="15"/>
  <c r="P14" i="15"/>
  <c r="T11" i="15"/>
  <c r="Q9" i="15"/>
  <c r="X6" i="15"/>
  <c r="W116" i="15"/>
  <c r="X227" i="15"/>
  <c r="S178" i="15"/>
  <c r="W132" i="15"/>
  <c r="T96" i="15"/>
  <c r="W65" i="15"/>
  <c r="P42" i="15"/>
  <c r="P24" i="15"/>
  <c r="R273" i="15"/>
  <c r="R256" i="15"/>
  <c r="W252" i="15"/>
  <c r="W244" i="15"/>
  <c r="Q236" i="15"/>
  <c r="W227" i="15"/>
  <c r="Q223" i="15"/>
  <c r="V215" i="15"/>
  <c r="V206" i="15"/>
  <c r="R199" i="15"/>
  <c r="V189" i="15"/>
  <c r="R186" i="15"/>
  <c r="R178" i="15"/>
  <c r="W169" i="15"/>
  <c r="W165" i="15"/>
  <c r="W156" i="15"/>
  <c r="W152" i="15"/>
  <c r="W144" i="15"/>
  <c r="Q136" i="15"/>
  <c r="V132" i="15"/>
  <c r="Q124" i="15"/>
  <c r="Q116" i="15"/>
  <c r="O113" i="15"/>
  <c r="O107" i="15"/>
  <c r="Q99" i="15"/>
  <c r="Q93" i="15"/>
  <c r="S90" i="15"/>
  <c r="O83" i="15"/>
  <c r="X79" i="15"/>
  <c r="Q77" i="15"/>
  <c r="V70" i="15"/>
  <c r="U65" i="15"/>
  <c r="V62" i="15"/>
  <c r="V57" i="15"/>
  <c r="R54" i="15"/>
  <c r="P49" i="15"/>
  <c r="V46" i="15"/>
  <c r="R44" i="15"/>
  <c r="Q39" i="15"/>
  <c r="W35" i="15"/>
  <c r="Q31" i="15"/>
  <c r="U28" i="15"/>
  <c r="R26" i="15"/>
  <c r="V20" i="15"/>
  <c r="S18" i="15"/>
  <c r="P16" i="15"/>
  <c r="Q11" i="15"/>
  <c r="X8" i="15"/>
  <c r="P261" i="15"/>
  <c r="T273" i="15"/>
  <c r="T269" i="15"/>
  <c r="O266" i="15"/>
  <c r="O262" i="15"/>
  <c r="O257" i="15"/>
  <c r="O253" i="15"/>
  <c r="S249" i="15"/>
  <c r="S245" i="15"/>
  <c r="O240" i="15"/>
  <c r="S236" i="15"/>
  <c r="S232" i="15"/>
  <c r="X228" i="15"/>
  <c r="S223" i="15"/>
  <c r="X219" i="15"/>
  <c r="X215" i="15"/>
  <c r="T212" i="15"/>
  <c r="X206" i="15"/>
  <c r="X202" i="15"/>
  <c r="T199" i="15"/>
  <c r="T195" i="15"/>
  <c r="T190" i="15"/>
  <c r="T186" i="15"/>
  <c r="O183" i="15"/>
  <c r="O179" i="15"/>
  <c r="T173" i="15"/>
  <c r="O170" i="15"/>
  <c r="O166" i="15"/>
  <c r="S162" i="15"/>
  <c r="O158" i="15"/>
  <c r="S153" i="15"/>
  <c r="S149" i="15"/>
  <c r="X145" i="15"/>
  <c r="S141" i="15"/>
  <c r="S136" i="15"/>
  <c r="X132" i="15"/>
  <c r="X128" i="15"/>
  <c r="X124" i="15"/>
  <c r="U113" i="15"/>
  <c r="Q107" i="15"/>
  <c r="O103" i="15"/>
  <c r="Q100" i="15"/>
  <c r="U96" i="15"/>
  <c r="U90" i="15"/>
  <c r="Q83" i="15"/>
  <c r="S60" i="15"/>
  <c r="P29" i="15"/>
  <c r="X248" i="15"/>
  <c r="W215" i="15"/>
  <c r="S186" i="15"/>
  <c r="S161" i="15"/>
  <c r="R141" i="15"/>
  <c r="P113" i="15"/>
  <c r="T90" i="15"/>
  <c r="R68" i="15"/>
  <c r="Q49" i="15"/>
  <c r="U33" i="15"/>
  <c r="T18" i="15"/>
  <c r="R261" i="15"/>
  <c r="W239" i="15"/>
  <c r="Q211" i="15"/>
  <c r="R182" i="15"/>
  <c r="Q141" i="15"/>
  <c r="W109" i="15"/>
  <c r="W85" i="15"/>
  <c r="Q60" i="15"/>
  <c r="T33" i="15"/>
  <c r="U6" i="15"/>
  <c r="P273" i="15"/>
  <c r="P256" i="15"/>
  <c r="V244" i="15"/>
  <c r="T271" i="15"/>
  <c r="Q264" i="15"/>
  <c r="S258" i="15"/>
  <c r="P252" i="15"/>
  <c r="S246" i="15"/>
  <c r="R239" i="15"/>
  <c r="X233" i="15"/>
  <c r="S227" i="15"/>
  <c r="T221" i="15"/>
  <c r="T215" i="15"/>
  <c r="S210" i="15"/>
  <c r="P204" i="15"/>
  <c r="V197" i="15"/>
  <c r="W192" i="15"/>
  <c r="W185" i="15"/>
  <c r="V180" i="15"/>
  <c r="P173" i="15"/>
  <c r="X167" i="15"/>
  <c r="P163" i="15"/>
  <c r="P156" i="15"/>
  <c r="S150" i="15"/>
  <c r="S144" i="15"/>
  <c r="T138" i="15"/>
  <c r="T132" i="15"/>
  <c r="W126" i="15"/>
  <c r="V120" i="15"/>
  <c r="R115" i="15"/>
  <c r="T111" i="15"/>
  <c r="R105" i="15"/>
  <c r="P101" i="15"/>
  <c r="R96" i="15"/>
  <c r="P92" i="15"/>
  <c r="R87" i="15"/>
  <c r="P82" i="15"/>
  <c r="P78" i="15"/>
  <c r="X73" i="15"/>
  <c r="W69" i="15"/>
  <c r="T65" i="15"/>
  <c r="O62" i="15"/>
  <c r="S58" i="15"/>
  <c r="S53" i="15"/>
  <c r="S50" i="15"/>
  <c r="S46" i="15"/>
  <c r="P43" i="15"/>
  <c r="P39" i="15"/>
  <c r="P35" i="15"/>
  <c r="X31" i="15"/>
  <c r="P28" i="15"/>
  <c r="Q25" i="15"/>
  <c r="S20" i="15"/>
  <c r="Q17" i="15"/>
  <c r="S13" i="15"/>
  <c r="T10" i="15"/>
  <c r="R7" i="15"/>
  <c r="S119" i="15"/>
  <c r="T34" i="15"/>
  <c r="V250" i="15"/>
  <c r="V81" i="15"/>
  <c r="P10" i="15"/>
  <c r="W255" i="15"/>
  <c r="X213" i="15"/>
  <c r="S179" i="15"/>
  <c r="X130" i="15"/>
  <c r="S85" i="15"/>
  <c r="X52" i="15"/>
  <c r="X12" i="15"/>
  <c r="W268" i="15"/>
  <c r="S238" i="15"/>
  <c r="W213" i="15"/>
  <c r="P184" i="15"/>
  <c r="P167" i="15"/>
  <c r="T143" i="15"/>
  <c r="R114" i="15"/>
  <c r="P99" i="15"/>
  <c r="P81" i="15"/>
  <c r="T64" i="15"/>
  <c r="W48" i="15"/>
  <c r="Q34" i="15"/>
  <c r="T19" i="15"/>
  <c r="P6" i="15"/>
  <c r="R231" i="15"/>
  <c r="Q172" i="15"/>
  <c r="O126" i="15"/>
  <c r="Q85" i="15"/>
  <c r="R45" i="15"/>
  <c r="U15" i="15"/>
  <c r="T268" i="15"/>
  <c r="T213" i="15"/>
  <c r="P172" i="15"/>
  <c r="W270" i="15"/>
  <c r="P264" i="15"/>
  <c r="R258" i="15"/>
  <c r="X251" i="15"/>
  <c r="R246" i="15"/>
  <c r="P239" i="15"/>
  <c r="W233" i="15"/>
  <c r="R227" i="15"/>
  <c r="S221" i="15"/>
  <c r="S215" i="15"/>
  <c r="R210" i="15"/>
  <c r="O204" i="15"/>
  <c r="T197" i="15"/>
  <c r="V192" i="15"/>
  <c r="V185" i="15"/>
  <c r="T180" i="15"/>
  <c r="X172" i="15"/>
  <c r="W167" i="15"/>
  <c r="X162" i="15"/>
  <c r="X155" i="15"/>
  <c r="R150" i="15"/>
  <c r="R144" i="15"/>
  <c r="S138" i="15"/>
  <c r="S132" i="15"/>
  <c r="V126" i="15"/>
  <c r="T120" i="15"/>
  <c r="Q115" i="15"/>
  <c r="S111" i="15"/>
  <c r="Q105" i="15"/>
  <c r="O101" i="15"/>
  <c r="Q96" i="15"/>
  <c r="O92" i="15"/>
  <c r="Q87" i="15"/>
  <c r="O82" i="15"/>
  <c r="O78" i="15"/>
  <c r="W73" i="15"/>
  <c r="U69" i="15"/>
  <c r="S65" i="15"/>
  <c r="X61" i="15"/>
  <c r="R58" i="15"/>
  <c r="R53" i="15"/>
  <c r="R50" i="15"/>
  <c r="R46" i="15"/>
  <c r="O43" i="15"/>
  <c r="O39" i="15"/>
  <c r="V34" i="15"/>
  <c r="W31" i="15"/>
  <c r="O28" i="15"/>
  <c r="P25" i="15"/>
  <c r="R20" i="15"/>
  <c r="P17" i="15"/>
  <c r="R13" i="15"/>
  <c r="S10" i="15"/>
  <c r="Q7" i="15"/>
  <c r="O115" i="15"/>
  <c r="W42" i="15"/>
  <c r="V238" i="15"/>
  <c r="T73" i="15"/>
  <c r="V263" i="15"/>
  <c r="Q202" i="15"/>
  <c r="O149" i="15"/>
  <c r="Q91" i="15"/>
  <c r="T45" i="15"/>
  <c r="V255" i="15"/>
  <c r="R189" i="15"/>
  <c r="P136" i="15"/>
  <c r="P91" i="15"/>
  <c r="T41" i="15"/>
  <c r="U9" i="15"/>
  <c r="T275" i="15"/>
  <c r="V268" i="15"/>
  <c r="S263" i="15"/>
  <c r="R250" i="15"/>
  <c r="S237" i="15"/>
  <c r="S226" i="15"/>
  <c r="V213" i="15"/>
  <c r="O209" i="15"/>
  <c r="O202" i="15"/>
  <c r="Q189" i="15"/>
  <c r="X177" i="15"/>
  <c r="X166" i="15"/>
  <c r="S160" i="15"/>
  <c r="V147" i="15"/>
  <c r="O136" i="15"/>
  <c r="V130" i="15"/>
  <c r="O119" i="15"/>
  <c r="S109" i="15"/>
  <c r="O99" i="15"/>
  <c r="Q95" i="15"/>
  <c r="O91" i="15"/>
  <c r="R76" i="15"/>
  <c r="O68" i="15"/>
  <c r="S64" i="15"/>
  <c r="Q61" i="15"/>
  <c r="P57" i="15"/>
  <c r="V48" i="15"/>
  <c r="S41" i="15"/>
  <c r="P34" i="15"/>
  <c r="R30" i="15"/>
  <c r="S27" i="15"/>
  <c r="S19" i="15"/>
  <c r="V12" i="15"/>
  <c r="T9" i="15"/>
  <c r="S243" i="15"/>
  <c r="P189" i="15"/>
  <c r="X142" i="15"/>
  <c r="V270" i="15"/>
  <c r="O264" i="15"/>
  <c r="P258" i="15"/>
  <c r="X250" i="15"/>
  <c r="P246" i="15"/>
  <c r="X238" i="15"/>
  <c r="V233" i="15"/>
  <c r="P227" i="15"/>
  <c r="X220" i="15"/>
  <c r="S214" i="15"/>
  <c r="P210" i="15"/>
  <c r="T202" i="15"/>
  <c r="S197" i="15"/>
  <c r="T192" i="15"/>
  <c r="T185" i="15"/>
  <c r="W179" i="15"/>
  <c r="W172" i="15"/>
  <c r="V167" i="15"/>
  <c r="P161" i="15"/>
  <c r="R155" i="15"/>
  <c r="P150" i="15"/>
  <c r="P144" i="15"/>
  <c r="X137" i="15"/>
  <c r="S131" i="15"/>
  <c r="T126" i="15"/>
  <c r="T119" i="15"/>
  <c r="P115" i="15"/>
  <c r="R111" i="15"/>
  <c r="P105" i="15"/>
  <c r="X100" i="15"/>
  <c r="P96" i="15"/>
  <c r="X91" i="15"/>
  <c r="V85" i="15"/>
  <c r="X81" i="15"/>
  <c r="X77" i="15"/>
  <c r="V73" i="15"/>
  <c r="P69" i="15"/>
  <c r="X64" i="15"/>
  <c r="W61" i="15"/>
  <c r="U57" i="15"/>
  <c r="Q53" i="15"/>
  <c r="Q50" i="15"/>
  <c r="Q46" i="15"/>
  <c r="X42" i="15"/>
  <c r="X37" i="15"/>
  <c r="U34" i="15"/>
  <c r="P31" i="15"/>
  <c r="X27" i="15"/>
  <c r="V24" i="15"/>
  <c r="Q20" i="15"/>
  <c r="O17" i="15"/>
  <c r="Q13" i="15"/>
  <c r="R10" i="15"/>
  <c r="T6" i="15"/>
  <c r="Q155" i="15"/>
  <c r="X16" i="15"/>
  <c r="X255" i="15"/>
  <c r="V109" i="15"/>
  <c r="S34" i="15"/>
  <c r="X268" i="15"/>
  <c r="T250" i="15"/>
  <c r="T238" i="15"/>
  <c r="O232" i="15"/>
  <c r="V226" i="15"/>
  <c r="Q209" i="15"/>
  <c r="X196" i="15"/>
  <c r="R184" i="15"/>
  <c r="S172" i="15"/>
  <c r="V160" i="15"/>
  <c r="O155" i="15"/>
  <c r="T137" i="15"/>
  <c r="Q126" i="15"/>
  <c r="W114" i="15"/>
  <c r="U109" i="15"/>
  <c r="S104" i="15"/>
  <c r="W95" i="15"/>
  <c r="U81" i="15"/>
  <c r="S73" i="15"/>
  <c r="W68" i="15"/>
  <c r="U64" i="15"/>
  <c r="R57" i="15"/>
  <c r="X48" i="15"/>
  <c r="U37" i="15"/>
  <c r="R34" i="15"/>
  <c r="T30" i="15"/>
  <c r="W23" i="15"/>
  <c r="U19" i="15"/>
  <c r="V16" i="15"/>
  <c r="V9" i="15"/>
  <c r="P202" i="15"/>
  <c r="P126" i="15"/>
  <c r="R73" i="15"/>
  <c r="T27" i="15"/>
  <c r="T255" i="15"/>
  <c r="O219" i="15"/>
  <c r="X183" i="15"/>
  <c r="S143" i="15"/>
  <c r="Q104" i="15"/>
  <c r="Q73" i="15"/>
  <c r="S37" i="15"/>
  <c r="X5" i="15"/>
  <c r="S255" i="15"/>
  <c r="T206" i="15"/>
  <c r="V165" i="15"/>
  <c r="T270" i="15"/>
  <c r="X263" i="15"/>
  <c r="X257" i="15"/>
  <c r="W250" i="15"/>
  <c r="X245" i="15"/>
  <c r="W238" i="15"/>
  <c r="T233" i="15"/>
  <c r="X226" i="15"/>
  <c r="W220" i="15"/>
  <c r="R214" i="15"/>
  <c r="X209" i="15"/>
  <c r="S202" i="15"/>
  <c r="R197" i="15"/>
  <c r="S192" i="15"/>
  <c r="S185" i="15"/>
  <c r="V179" i="15"/>
  <c r="V172" i="15"/>
  <c r="T167" i="15"/>
  <c r="X160" i="15"/>
  <c r="X149" i="15"/>
  <c r="X143" i="15"/>
  <c r="W137" i="15"/>
  <c r="R131" i="15"/>
  <c r="S126" i="15"/>
  <c r="Q111" i="15"/>
  <c r="O105" i="15"/>
  <c r="W100" i="15"/>
  <c r="O96" i="15"/>
  <c r="W91" i="15"/>
  <c r="U85" i="15"/>
  <c r="W81" i="15"/>
  <c r="W77" i="15"/>
  <c r="U73" i="15"/>
  <c r="O69" i="15"/>
  <c r="W64" i="15"/>
  <c r="U61" i="15"/>
  <c r="T57" i="15"/>
  <c r="P53" i="15"/>
  <c r="P50" i="15"/>
  <c r="P46" i="15"/>
  <c r="W37" i="15"/>
  <c r="V30" i="15"/>
  <c r="W27" i="15"/>
  <c r="U24" i="15"/>
  <c r="P20" i="15"/>
  <c r="P13" i="15"/>
  <c r="Q10" i="15"/>
  <c r="S6" i="15"/>
  <c r="X275" i="15"/>
  <c r="S270" i="15"/>
  <c r="W263" i="15"/>
  <c r="T244" i="15"/>
  <c r="P232" i="15"/>
  <c r="W226" i="15"/>
  <c r="V220" i="15"/>
  <c r="P214" i="15"/>
  <c r="R209" i="15"/>
  <c r="R202" i="15"/>
  <c r="P197" i="15"/>
  <c r="T189" i="15"/>
  <c r="S184" i="15"/>
  <c r="T179" i="15"/>
  <c r="T172" i="15"/>
  <c r="S167" i="15"/>
  <c r="W160" i="15"/>
  <c r="P155" i="15"/>
  <c r="P149" i="15"/>
  <c r="W143" i="15"/>
  <c r="V137" i="15"/>
  <c r="P131" i="15"/>
  <c r="R126" i="15"/>
  <c r="R119" i="15"/>
  <c r="X114" i="15"/>
  <c r="T104" i="15"/>
  <c r="V100" i="15"/>
  <c r="X95" i="15"/>
  <c r="R91" i="15"/>
  <c r="T85" i="15"/>
  <c r="P77" i="15"/>
  <c r="X68" i="15"/>
  <c r="V64" i="15"/>
  <c r="T61" i="15"/>
  <c r="S57" i="15"/>
  <c r="O53" i="15"/>
  <c r="O49" i="15"/>
  <c r="U45" i="15"/>
  <c r="V42" i="15"/>
  <c r="V37" i="15"/>
  <c r="U30" i="15"/>
  <c r="V27" i="15"/>
  <c r="X23" i="15"/>
  <c r="V19" i="15"/>
  <c r="W16" i="15"/>
  <c r="O13" i="15"/>
  <c r="R6" i="15"/>
  <c r="W275" i="15"/>
  <c r="W243" i="15"/>
  <c r="T220" i="15"/>
  <c r="S189" i="15"/>
  <c r="R167" i="15"/>
  <c r="V143" i="15"/>
  <c r="Q119" i="15"/>
  <c r="U100" i="15"/>
  <c r="O77" i="15"/>
  <c r="S61" i="15"/>
  <c r="U42" i="15"/>
  <c r="U27" i="15"/>
  <c r="Q6" i="15"/>
  <c r="V275" i="15"/>
  <c r="T263" i="15"/>
  <c r="S250" i="15"/>
  <c r="V243" i="15"/>
  <c r="S231" i="15"/>
  <c r="T226" i="15"/>
  <c r="P219" i="15"/>
  <c r="P209" i="15"/>
  <c r="W196" i="15"/>
  <c r="P178" i="15"/>
  <c r="R172" i="15"/>
  <c r="T160" i="15"/>
  <c r="S154" i="15"/>
  <c r="W147" i="15"/>
  <c r="W130" i="15"/>
  <c r="P119" i="15"/>
  <c r="T109" i="15"/>
  <c r="R104" i="15"/>
  <c r="R95" i="15"/>
  <c r="R85" i="15"/>
  <c r="S76" i="15"/>
  <c r="P68" i="15"/>
  <c r="R61" i="15"/>
  <c r="Q57" i="15"/>
  <c r="W52" i="15"/>
  <c r="S45" i="15"/>
  <c r="T37" i="15"/>
  <c r="S30" i="15"/>
  <c r="V23" i="15"/>
  <c r="V15" i="15"/>
  <c r="W12" i="15"/>
  <c r="T243" i="15"/>
  <c r="V196" i="15"/>
  <c r="R154" i="15"/>
  <c r="Q114" i="15"/>
  <c r="O81" i="15"/>
  <c r="V52" i="15"/>
  <c r="U23" i="15"/>
  <c r="W274" i="15"/>
  <c r="R263" i="15"/>
  <c r="P250" i="15"/>
  <c r="R237" i="15"/>
  <c r="P231" i="15"/>
  <c r="R226" i="15"/>
  <c r="X218" i="15"/>
  <c r="W200" i="15"/>
  <c r="T196" i="15"/>
  <c r="W183" i="15"/>
  <c r="R177" i="15"/>
  <c r="R160" i="15"/>
  <c r="P154" i="15"/>
  <c r="T147" i="15"/>
  <c r="X135" i="15"/>
  <c r="T130" i="15"/>
  <c r="P124" i="15"/>
  <c r="S274" i="15"/>
  <c r="P263" i="15"/>
  <c r="S252" i="15"/>
  <c r="T241" i="15"/>
  <c r="X229" i="15"/>
  <c r="W217" i="15"/>
  <c r="X205" i="15"/>
  <c r="W197" i="15"/>
  <c r="O187" i="15"/>
  <c r="T176" i="15"/>
  <c r="S164" i="15"/>
  <c r="T152" i="15"/>
  <c r="W142" i="15"/>
  <c r="V133" i="15"/>
  <c r="P122" i="15"/>
  <c r="R112" i="15"/>
  <c r="P104" i="15"/>
  <c r="P98" i="15"/>
  <c r="P88" i="15"/>
  <c r="X80" i="15"/>
  <c r="S75" i="15"/>
  <c r="O67" i="15"/>
  <c r="P60" i="15"/>
  <c r="Q54" i="15"/>
  <c r="Q48" i="15"/>
  <c r="R41" i="15"/>
  <c r="T35" i="15"/>
  <c r="W29" i="15"/>
  <c r="T23" i="15"/>
  <c r="U17" i="15"/>
  <c r="Q12" i="15"/>
  <c r="V5" i="15"/>
  <c r="S194" i="15"/>
  <c r="T29" i="15"/>
  <c r="T248" i="15"/>
  <c r="V227" i="15"/>
  <c r="R194" i="15"/>
  <c r="T163" i="15"/>
  <c r="O118" i="15"/>
  <c r="U79" i="15"/>
  <c r="U52" i="15"/>
  <c r="T28" i="15"/>
  <c r="R5" i="15"/>
  <c r="O272" i="15"/>
  <c r="X236" i="15"/>
  <c r="Q194" i="15"/>
  <c r="S163" i="15"/>
  <c r="P130" i="15"/>
  <c r="T79" i="15"/>
  <c r="T52" i="15"/>
  <c r="V22" i="15"/>
  <c r="S260" i="15"/>
  <c r="P205" i="15"/>
  <c r="R139" i="15"/>
  <c r="P102" i="15"/>
  <c r="S51" i="15"/>
  <c r="U22" i="15"/>
  <c r="T247" i="15"/>
  <c r="X181" i="15"/>
  <c r="P139" i="15"/>
  <c r="U111" i="15"/>
  <c r="W71" i="15"/>
  <c r="T46" i="15"/>
  <c r="Q28" i="15"/>
  <c r="O5" i="15"/>
  <c r="W258" i="15"/>
  <c r="R235" i="15"/>
  <c r="R204" i="15"/>
  <c r="T170" i="15"/>
  <c r="X138" i="15"/>
  <c r="R109" i="15"/>
  <c r="P85" i="15"/>
  <c r="U70" i="15"/>
  <c r="Q59" i="15"/>
  <c r="T40" i="15"/>
  <c r="S22" i="15"/>
  <c r="W8" i="15"/>
  <c r="R247" i="15"/>
  <c r="S117" i="15"/>
  <c r="S40" i="15"/>
  <c r="Q247" i="15"/>
  <c r="V200" i="15"/>
  <c r="P193" i="15"/>
  <c r="X159" i="15"/>
  <c r="R147" i="15"/>
  <c r="P109" i="15"/>
  <c r="R101" i="15"/>
  <c r="R78" i="15"/>
  <c r="P64" i="15"/>
  <c r="O45" i="15"/>
  <c r="R40" i="15"/>
  <c r="U20" i="15"/>
  <c r="X192" i="15"/>
  <c r="W84" i="15"/>
  <c r="P26" i="15"/>
  <c r="P267" i="15"/>
  <c r="Q234" i="15"/>
  <c r="O213" i="15"/>
  <c r="X180" i="15"/>
  <c r="V159" i="15"/>
  <c r="V135" i="15"/>
  <c r="P116" i="15"/>
  <c r="X98" i="15"/>
  <c r="Q76" i="15"/>
  <c r="X63" i="15"/>
  <c r="W50" i="15"/>
  <c r="R37" i="15"/>
  <c r="O26" i="15"/>
  <c r="S8" i="15"/>
  <c r="W180" i="15"/>
  <c r="Q84" i="15"/>
  <c r="Q32" i="15"/>
  <c r="Q243" i="15"/>
  <c r="O211" i="15"/>
  <c r="Q177" i="15"/>
  <c r="X146" i="15"/>
  <c r="X122" i="15"/>
  <c r="V98" i="15"/>
  <c r="P84" i="15"/>
  <c r="O70" i="15"/>
  <c r="S56" i="15"/>
  <c r="P37" i="15"/>
  <c r="W25" i="15"/>
  <c r="T14" i="15"/>
  <c r="X210" i="15"/>
  <c r="U98" i="15"/>
  <c r="O32" i="15"/>
  <c r="R230" i="15"/>
  <c r="O177" i="15"/>
  <c r="V122" i="15"/>
  <c r="W75" i="15"/>
  <c r="T43" i="15"/>
  <c r="V7" i="15"/>
  <c r="T253" i="15"/>
  <c r="V210" i="15"/>
  <c r="X176" i="15"/>
  <c r="R156" i="15"/>
  <c r="T122" i="15"/>
  <c r="S98" i="15"/>
  <c r="R62" i="15"/>
  <c r="S36" i="15"/>
  <c r="T12" i="15"/>
  <c r="S253" i="15"/>
  <c r="X198" i="15"/>
  <c r="X272" i="15"/>
  <c r="X262" i="15"/>
  <c r="R252" i="15"/>
  <c r="V239" i="15"/>
  <c r="W229" i="15"/>
  <c r="V217" i="15"/>
  <c r="W205" i="15"/>
  <c r="S196" i="15"/>
  <c r="P186" i="15"/>
  <c r="S176" i="15"/>
  <c r="X163" i="15"/>
  <c r="S152" i="15"/>
  <c r="V142" i="15"/>
  <c r="T133" i="15"/>
  <c r="X121" i="15"/>
  <c r="Q112" i="15"/>
  <c r="O104" i="15"/>
  <c r="O98" i="15"/>
  <c r="O88" i="15"/>
  <c r="W80" i="15"/>
  <c r="R75" i="15"/>
  <c r="X66" i="15"/>
  <c r="O60" i="15"/>
  <c r="P54" i="15"/>
  <c r="P48" i="15"/>
  <c r="Q41" i="15"/>
  <c r="S35" i="15"/>
  <c r="V29" i="15"/>
  <c r="S23" i="15"/>
  <c r="T17" i="15"/>
  <c r="P12" i="15"/>
  <c r="U5" i="15"/>
  <c r="S17" i="15"/>
  <c r="T5" i="15"/>
  <c r="T229" i="15"/>
  <c r="S5" i="15"/>
  <c r="P237" i="15"/>
  <c r="X216" i="15"/>
  <c r="T183" i="15"/>
  <c r="X151" i="15"/>
  <c r="Q130" i="15"/>
  <c r="X111" i="15"/>
  <c r="P95" i="15"/>
  <c r="P73" i="15"/>
  <c r="U66" i="15"/>
  <c r="S47" i="15"/>
  <c r="X40" i="15"/>
  <c r="T15" i="15"/>
  <c r="X10" i="15"/>
  <c r="W216" i="15"/>
  <c r="U102" i="15"/>
  <c r="S28" i="15"/>
  <c r="X271" i="15"/>
  <c r="O236" i="15"/>
  <c r="Q226" i="15"/>
  <c r="V216" i="15"/>
  <c r="P182" i="15"/>
  <c r="W170" i="15"/>
  <c r="Q151" i="15"/>
  <c r="W117" i="15"/>
  <c r="V111" i="15"/>
  <c r="T87" i="15"/>
  <c r="S79" i="15"/>
  <c r="X71" i="15"/>
  <c r="U46" i="15"/>
  <c r="V40" i="15"/>
  <c r="R28" i="15"/>
  <c r="R15" i="15"/>
  <c r="T216" i="15"/>
  <c r="S87" i="15"/>
  <c r="T22" i="15"/>
  <c r="S247" i="15"/>
  <c r="S213" i="15"/>
  <c r="S193" i="15"/>
  <c r="P160" i="15"/>
  <c r="T117" i="15"/>
  <c r="X101" i="15"/>
  <c r="W78" i="15"/>
  <c r="Q51" i="15"/>
  <c r="R27" i="15"/>
  <c r="P235" i="15"/>
  <c r="Q204" i="15"/>
  <c r="S170" i="15"/>
  <c r="W138" i="15"/>
  <c r="Q109" i="15"/>
  <c r="O85" i="15"/>
  <c r="T70" i="15"/>
  <c r="P59" i="15"/>
  <c r="P45" i="15"/>
  <c r="Q27" i="15"/>
  <c r="R22" i="15"/>
  <c r="X234" i="15"/>
  <c r="V138" i="15"/>
  <c r="S70" i="15"/>
  <c r="X14" i="15"/>
  <c r="P247" i="15"/>
  <c r="P213" i="15"/>
  <c r="O181" i="15"/>
  <c r="Q147" i="15"/>
  <c r="O109" i="15"/>
  <c r="R70" i="15"/>
  <c r="X44" i="15"/>
  <c r="W14" i="15"/>
  <c r="Q255" i="15"/>
  <c r="W222" i="15"/>
  <c r="W168" i="15"/>
  <c r="T127" i="15"/>
  <c r="X92" i="15"/>
  <c r="U56" i="15"/>
  <c r="R32" i="15"/>
  <c r="X266" i="15"/>
  <c r="P234" i="15"/>
  <c r="R200" i="15"/>
  <c r="O147" i="15"/>
  <c r="W108" i="15"/>
  <c r="P70" i="15"/>
  <c r="P44" i="15"/>
  <c r="U14" i="15"/>
  <c r="O255" i="15"/>
  <c r="Q200" i="15"/>
  <c r="V156" i="15"/>
  <c r="X107" i="15"/>
  <c r="O76" i="15"/>
  <c r="V43" i="15"/>
  <c r="P19" i="15"/>
  <c r="P243" i="15"/>
  <c r="V188" i="15"/>
  <c r="W146" i="15"/>
  <c r="W107" i="15"/>
  <c r="X75" i="15"/>
  <c r="T50" i="15"/>
  <c r="V25" i="15"/>
  <c r="V253" i="15"/>
  <c r="W210" i="15"/>
  <c r="T165" i="15"/>
  <c r="P134" i="15"/>
  <c r="R90" i="15"/>
  <c r="S62" i="15"/>
  <c r="T36" i="15"/>
  <c r="U12" i="15"/>
  <c r="X241" i="15"/>
  <c r="R187" i="15"/>
  <c r="T146" i="15"/>
  <c r="U107" i="15"/>
  <c r="V75" i="15"/>
  <c r="T48" i="15"/>
  <c r="T25" i="15"/>
  <c r="T265" i="15"/>
  <c r="T210" i="15"/>
  <c r="R272" i="15"/>
  <c r="X260" i="15"/>
  <c r="X249" i="15"/>
  <c r="T239" i="15"/>
  <c r="V229" i="15"/>
  <c r="T217" i="15"/>
  <c r="V205" i="15"/>
  <c r="T194" i="15"/>
  <c r="X185" i="15"/>
  <c r="R176" i="15"/>
  <c r="W163" i="15"/>
  <c r="R152" i="15"/>
  <c r="T142" i="15"/>
  <c r="S130" i="15"/>
  <c r="X120" i="15"/>
  <c r="P112" i="15"/>
  <c r="X103" i="15"/>
  <c r="X97" i="15"/>
  <c r="X87" i="15"/>
  <c r="W79" i="15"/>
  <c r="P74" i="15"/>
  <c r="W66" i="15"/>
  <c r="X59" i="15"/>
  <c r="U53" i="15"/>
  <c r="U47" i="15"/>
  <c r="P41" i="15"/>
  <c r="R35" i="15"/>
  <c r="U29" i="15"/>
  <c r="R23" i="15"/>
  <c r="P11" i="15"/>
  <c r="T205" i="15"/>
  <c r="P152" i="15"/>
  <c r="R130" i="15"/>
  <c r="O112" i="15"/>
  <c r="W103" i="15"/>
  <c r="W97" i="15"/>
  <c r="W87" i="15"/>
  <c r="O74" i="15"/>
  <c r="V66" i="15"/>
  <c r="W59" i="15"/>
  <c r="T53" i="15"/>
  <c r="T47" i="15"/>
  <c r="Q35" i="15"/>
  <c r="Q23" i="15"/>
  <c r="R17" i="15"/>
  <c r="O11" i="15"/>
  <c r="P272" i="15"/>
  <c r="X175" i="15"/>
  <c r="V87" i="15"/>
  <c r="S33" i="15"/>
  <c r="W247" i="15"/>
  <c r="R205" i="15"/>
  <c r="O172" i="15"/>
  <c r="S139" i="15"/>
  <c r="W111" i="15"/>
  <c r="O95" i="15"/>
  <c r="O73" i="15"/>
  <c r="T59" i="15"/>
  <c r="R47" i="15"/>
  <c r="R33" i="15"/>
  <c r="S15" i="15"/>
  <c r="Q5" i="15"/>
  <c r="R163" i="15"/>
  <c r="S66" i="15"/>
  <c r="V10" i="15"/>
  <c r="X258" i="15"/>
  <c r="P226" i="15"/>
  <c r="O194" i="15"/>
  <c r="Q160" i="15"/>
  <c r="P128" i="15"/>
  <c r="O102" i="15"/>
  <c r="R79" i="15"/>
  <c r="R59" i="15"/>
  <c r="U40" i="15"/>
  <c r="U10" i="15"/>
  <c r="V271" i="15"/>
  <c r="O226" i="15"/>
  <c r="R181" i="15"/>
  <c r="O128" i="15"/>
  <c r="R94" i="15"/>
  <c r="R64" i="15"/>
  <c r="V32" i="15"/>
  <c r="P15" i="15"/>
  <c r="S268" i="15"/>
  <c r="R213" i="15"/>
  <c r="Q181" i="15"/>
  <c r="S147" i="15"/>
  <c r="W101" i="15"/>
  <c r="S78" i="15"/>
  <c r="P51" i="15"/>
  <c r="O15" i="15"/>
  <c r="S267" i="15"/>
  <c r="O223" i="15"/>
  <c r="P181" i="15"/>
  <c r="W127" i="15"/>
  <c r="P93" i="15"/>
  <c r="U58" i="15"/>
  <c r="Q26" i="15"/>
  <c r="R267" i="15"/>
  <c r="R234" i="15"/>
  <c r="T200" i="15"/>
  <c r="W159" i="15"/>
  <c r="W135" i="15"/>
  <c r="Q117" i="15"/>
  <c r="Q101" i="15"/>
  <c r="Q78" i="15"/>
  <c r="T58" i="15"/>
  <c r="X50" i="15"/>
  <c r="Q40" i="15"/>
  <c r="T20" i="15"/>
  <c r="T8" i="15"/>
  <c r="O189" i="15"/>
  <c r="R84" i="15"/>
  <c r="R19" i="15"/>
  <c r="R243" i="15"/>
  <c r="P211" i="15"/>
  <c r="X188" i="15"/>
  <c r="T159" i="15"/>
  <c r="T135" i="15"/>
  <c r="O116" i="15"/>
  <c r="W98" i="15"/>
  <c r="P76" i="15"/>
  <c r="W63" i="15"/>
  <c r="V50" i="15"/>
  <c r="Q37" i="15"/>
  <c r="Q19" i="15"/>
  <c r="R8" i="15"/>
  <c r="O234" i="15"/>
  <c r="T115" i="15"/>
  <c r="U50" i="15"/>
  <c r="V266" i="15"/>
  <c r="X230" i="15"/>
  <c r="P200" i="15"/>
  <c r="S168" i="15"/>
  <c r="Q134" i="15"/>
  <c r="S115" i="15"/>
  <c r="O84" i="15"/>
  <c r="T62" i="15"/>
  <c r="U43" i="15"/>
  <c r="O19" i="15"/>
  <c r="P8" i="15"/>
  <c r="T266" i="15"/>
  <c r="O243" i="15"/>
  <c r="V221" i="15"/>
  <c r="T188" i="15"/>
  <c r="S156" i="15"/>
  <c r="V146" i="15"/>
  <c r="P114" i="15"/>
  <c r="V107" i="15"/>
  <c r="X82" i="15"/>
  <c r="X67" i="15"/>
  <c r="Q56" i="15"/>
  <c r="U48" i="15"/>
  <c r="Q30" i="15"/>
  <c r="R18" i="15"/>
  <c r="W218" i="15"/>
  <c r="W82" i="15"/>
  <c r="U7" i="15"/>
  <c r="V274" i="15"/>
  <c r="W241" i="15"/>
  <c r="V218" i="15"/>
  <c r="Q187" i="15"/>
  <c r="W176" i="15"/>
  <c r="V164" i="15"/>
  <c r="Q272" i="15"/>
  <c r="W260" i="15"/>
  <c r="V248" i="15"/>
  <c r="S239" i="15"/>
  <c r="S217" i="15"/>
  <c r="V183" i="15"/>
  <c r="P176" i="15"/>
  <c r="V163" i="15"/>
  <c r="P141" i="15"/>
  <c r="W120" i="15"/>
  <c r="V79" i="15"/>
  <c r="O41" i="15"/>
  <c r="V260" i="15"/>
  <c r="S205" i="15"/>
  <c r="O141" i="15"/>
  <c r="V102" i="15"/>
  <c r="U59" i="15"/>
  <c r="P23" i="15"/>
  <c r="T260" i="15"/>
  <c r="T227" i="15"/>
  <c r="S183" i="15"/>
  <c r="R151" i="15"/>
  <c r="X117" i="15"/>
  <c r="U87" i="15"/>
  <c r="T66" i="15"/>
  <c r="W40" i="15"/>
  <c r="W10" i="15"/>
  <c r="V247" i="15"/>
  <c r="P194" i="15"/>
  <c r="O130" i="15"/>
  <c r="T94" i="15"/>
  <c r="S59" i="15"/>
  <c r="Q33" i="15"/>
  <c r="P5" i="15"/>
  <c r="W271" i="15"/>
  <c r="S235" i="15"/>
  <c r="X204" i="15"/>
  <c r="V170" i="15"/>
  <c r="P151" i="15"/>
  <c r="V117" i="15"/>
  <c r="S94" i="15"/>
  <c r="R66" i="15"/>
  <c r="R51" i="15"/>
  <c r="P33" i="15"/>
  <c r="Q15" i="15"/>
  <c r="O151" i="15"/>
  <c r="Q45" i="15"/>
  <c r="V258" i="15"/>
  <c r="P223" i="15"/>
  <c r="R193" i="15"/>
  <c r="O160" i="15"/>
  <c r="X127" i="15"/>
  <c r="Q94" i="15"/>
  <c r="Q64" i="15"/>
  <c r="U32" i="15"/>
  <c r="V8" i="15"/>
  <c r="T258" i="15"/>
  <c r="Q213" i="15"/>
  <c r="V169" i="15"/>
  <c r="R117" i="15"/>
  <c r="X84" i="15"/>
  <c r="O51" i="15"/>
  <c r="T32" i="15"/>
  <c r="U8" i="15"/>
  <c r="R255" i="15"/>
  <c r="X222" i="15"/>
  <c r="T169" i="15"/>
  <c r="V127" i="15"/>
  <c r="O93" i="15"/>
  <c r="O64" i="15"/>
  <c r="S32" i="15"/>
  <c r="O247" i="15"/>
  <c r="S200" i="15"/>
  <c r="P147" i="15"/>
  <c r="X108" i="15"/>
  <c r="Q70" i="15"/>
  <c r="Q44" i="15"/>
  <c r="V14" i="15"/>
  <c r="P255" i="15"/>
  <c r="V222" i="15"/>
  <c r="V168" i="15"/>
  <c r="O124" i="15"/>
  <c r="W92" i="15"/>
  <c r="T56" i="15"/>
  <c r="X25" i="15"/>
  <c r="W266" i="15"/>
  <c r="T222" i="15"/>
  <c r="W188" i="15"/>
  <c r="T168" i="15"/>
  <c r="R134" i="15"/>
  <c r="V92" i="15"/>
  <c r="U62" i="15"/>
  <c r="P32" i="15"/>
  <c r="Q8" i="15"/>
  <c r="W253" i="15"/>
  <c r="W221" i="15"/>
  <c r="P177" i="15"/>
  <c r="T156" i="15"/>
  <c r="W122" i="15"/>
  <c r="U92" i="15"/>
  <c r="X69" i="15"/>
  <c r="R56" i="15"/>
  <c r="U36" i="15"/>
  <c r="S14" i="15"/>
  <c r="O200" i="15"/>
  <c r="T98" i="15"/>
  <c r="U25" i="15"/>
  <c r="S266" i="15"/>
  <c r="Q230" i="15"/>
  <c r="P199" i="15"/>
  <c r="W164" i="15"/>
  <c r="O134" i="15"/>
  <c r="O114" i="15"/>
  <c r="Q90" i="15"/>
  <c r="W67" i="15"/>
  <c r="P56" i="15"/>
  <c r="S43" i="15"/>
  <c r="P30" i="15"/>
  <c r="Q18" i="15"/>
  <c r="P230" i="15"/>
  <c r="V241" i="15"/>
  <c r="R98" i="15"/>
  <c r="O30" i="15"/>
  <c r="S206" i="15"/>
  <c r="P18" i="15"/>
  <c r="V17" i="15"/>
  <c r="V176" i="15"/>
  <c r="T164" i="15"/>
  <c r="X153" i="15"/>
  <c r="V152" i="15"/>
  <c r="V144" i="15"/>
  <c r="W133" i="15"/>
  <c r="R43" i="15"/>
  <c r="R264" i="15"/>
  <c r="T252" i="15"/>
  <c r="O230" i="15"/>
  <c r="Q98" i="15"/>
  <c r="X29" i="15"/>
  <c r="Q88" i="15"/>
  <c r="R82" i="15"/>
  <c r="Q82" i="15"/>
  <c r="T75" i="15"/>
  <c r="Q62" i="15"/>
  <c r="X133" i="15"/>
  <c r="S48" i="15"/>
  <c r="R122" i="15"/>
  <c r="W112" i="15"/>
  <c r="X105" i="15"/>
  <c r="T218" i="15"/>
  <c r="R88" i="15"/>
  <c r="S25" i="15"/>
  <c r="R25" i="15"/>
  <c r="P187" i="15"/>
  <c r="U75" i="15"/>
  <c r="U67" i="15"/>
  <c r="T67" i="15"/>
  <c r="T144" i="15"/>
  <c r="O56" i="15"/>
  <c r="X112" i="15"/>
  <c r="T274" i="15"/>
  <c r="V35" i="15"/>
  <c r="U35" i="15"/>
  <c r="X197" i="15"/>
  <c r="S12" i="15"/>
  <c r="R12" i="15"/>
  <c r="T7" i="15"/>
  <c r="S7" i="15"/>
  <c r="P62" i="15"/>
  <c r="X54" i="15"/>
  <c r="S122" i="15"/>
  <c r="R48" i="15"/>
  <c r="Q43" i="15"/>
  <c r="W105" i="15"/>
  <c r="AK121" i="24"/>
  <c r="AL121" i="24"/>
  <c r="AK122" i="24"/>
  <c r="AL122" i="24"/>
  <c r="BB50" i="24"/>
  <c r="AK117" i="24"/>
  <c r="AL117" i="24"/>
  <c r="BB46" i="24"/>
  <c r="AK113" i="24"/>
  <c r="AL113" i="24"/>
  <c r="AJ90" i="15"/>
  <c r="AG191" i="15"/>
  <c r="AI225" i="15"/>
  <c r="AI175" i="15"/>
  <c r="AI21" i="15"/>
  <c r="AC4" i="15"/>
  <c r="AI260" i="15"/>
  <c r="AE158" i="15"/>
  <c r="AH225" i="15"/>
  <c r="AE226" i="15"/>
  <c r="AT47" i="24"/>
  <c r="AS47" i="24"/>
  <c r="AQ47" i="24"/>
  <c r="AR47" i="24"/>
  <c r="AP47" i="24"/>
  <c r="AO47" i="24"/>
  <c r="AZ47" i="24"/>
  <c r="BA47" i="24"/>
  <c r="AY47" i="24"/>
  <c r="AX47" i="24"/>
  <c r="AV47" i="24"/>
  <c r="AU47" i="24"/>
  <c r="AW47" i="24"/>
  <c r="W7" i="13"/>
  <c r="AU54" i="24"/>
  <c r="AT54" i="24"/>
  <c r="AS54" i="24"/>
  <c r="AR54" i="24"/>
  <c r="AQ54" i="24"/>
  <c r="AP54" i="24"/>
  <c r="AO54" i="24"/>
  <c r="BA54" i="24"/>
  <c r="AX54" i="24"/>
  <c r="AZ54" i="24"/>
  <c r="AY54" i="24"/>
  <c r="AW54" i="24"/>
  <c r="AV54" i="24"/>
  <c r="AU49" i="24"/>
  <c r="AT49" i="24"/>
  <c r="AV49" i="24"/>
  <c r="AZ49" i="24"/>
  <c r="AY49" i="24"/>
  <c r="AX49" i="24"/>
  <c r="AW49" i="24"/>
  <c r="AS49" i="24"/>
  <c r="BA49" i="24"/>
  <c r="AR49" i="24"/>
  <c r="AQ49" i="24"/>
  <c r="AP49" i="24"/>
  <c r="AO49" i="24"/>
  <c r="BA53" i="24"/>
  <c r="AW53" i="24"/>
  <c r="AU53" i="24"/>
  <c r="AZ53" i="24"/>
  <c r="AV53" i="24"/>
  <c r="AT53" i="24"/>
  <c r="AY53" i="24"/>
  <c r="AX53" i="24"/>
  <c r="AS53" i="24"/>
  <c r="AR53" i="24"/>
  <c r="AQ53" i="24"/>
  <c r="AP53" i="24"/>
  <c r="AO53" i="24"/>
  <c r="W17" i="13"/>
  <c r="AZ52" i="24"/>
  <c r="AX52" i="24"/>
  <c r="AY52" i="24"/>
  <c r="AW52" i="24"/>
  <c r="AV52" i="24"/>
  <c r="AU52" i="24"/>
  <c r="AT52" i="24"/>
  <c r="AS52" i="24"/>
  <c r="AP52" i="24"/>
  <c r="BA52" i="24"/>
  <c r="AR52" i="24"/>
  <c r="AQ52" i="24"/>
  <c r="AO52" i="24"/>
  <c r="AT51" i="24"/>
  <c r="AS51" i="24"/>
  <c r="AR51" i="24"/>
  <c r="AQ51" i="24"/>
  <c r="AZ51" i="24"/>
  <c r="AP51" i="24"/>
  <c r="AO51" i="24"/>
  <c r="BA51" i="24"/>
  <c r="AY51" i="24"/>
  <c r="AX51" i="24"/>
  <c r="AW51" i="24"/>
  <c r="AV51" i="24"/>
  <c r="AU51" i="24"/>
  <c r="BA48" i="24"/>
  <c r="AP48" i="24"/>
  <c r="AZ48" i="24"/>
  <c r="AY48" i="24"/>
  <c r="AX48" i="24"/>
  <c r="AW48" i="24"/>
  <c r="AV48" i="24"/>
  <c r="AU48" i="24"/>
  <c r="AT48" i="24"/>
  <c r="AS48" i="24"/>
  <c r="AO48" i="24"/>
  <c r="AR48" i="24"/>
  <c r="AQ48" i="24"/>
  <c r="AG175" i="15"/>
  <c r="AH22" i="15"/>
  <c r="AL174" i="15"/>
  <c r="AG260" i="15"/>
  <c r="AF192" i="15"/>
  <c r="AI157" i="15"/>
  <c r="AI192" i="15"/>
  <c r="AI39" i="15"/>
  <c r="AD90" i="15"/>
  <c r="AJ56" i="15"/>
  <c r="AJ260" i="15"/>
  <c r="AD4" i="15"/>
  <c r="AE38" i="15"/>
  <c r="AH38" i="15"/>
  <c r="AK5" i="15"/>
  <c r="AH226" i="15"/>
  <c r="AC157" i="15"/>
  <c r="AL55" i="15"/>
  <c r="AH158" i="15"/>
  <c r="AK174" i="15"/>
  <c r="AD226" i="15"/>
  <c r="AL226" i="15"/>
  <c r="AI4" i="15"/>
  <c r="AJ73" i="15"/>
  <c r="AD175" i="15"/>
  <c r="AH174" i="15"/>
  <c r="AK72" i="15"/>
  <c r="AG158" i="15"/>
  <c r="AE123" i="15"/>
  <c r="AF21" i="15"/>
  <c r="AC158" i="15"/>
  <c r="AC39" i="15"/>
  <c r="AF259" i="15"/>
  <c r="AH21" i="15"/>
  <c r="AK21" i="15"/>
  <c r="AF226" i="15"/>
  <c r="AG22" i="15"/>
  <c r="AD73" i="15"/>
  <c r="AL225" i="15"/>
  <c r="AC174" i="15"/>
  <c r="AI191" i="15"/>
  <c r="AI226" i="15"/>
  <c r="AE4" i="15"/>
  <c r="AC38" i="15"/>
  <c r="AD22" i="15"/>
  <c r="AC175" i="15"/>
  <c r="AI123" i="15"/>
  <c r="AI158" i="15"/>
  <c r="AJ158" i="15"/>
  <c r="AG21" i="15"/>
  <c r="AC55" i="15"/>
  <c r="AK123" i="15"/>
  <c r="AH192" i="15"/>
  <c r="AF55" i="15"/>
  <c r="AK259" i="15"/>
  <c r="AL260" i="15"/>
  <c r="AJ5" i="15"/>
  <c r="AE175" i="15"/>
  <c r="AG174" i="15"/>
  <c r="AG157" i="15"/>
  <c r="AL72" i="15"/>
  <c r="AE260" i="15"/>
  <c r="AL38" i="15"/>
  <c r="AC5" i="15"/>
  <c r="AL56" i="15"/>
  <c r="AG124" i="15"/>
  <c r="AJ123" i="15"/>
  <c r="AG73" i="15"/>
  <c r="AJ259" i="15"/>
  <c r="AC225" i="15"/>
  <c r="AG5" i="15"/>
  <c r="AK22" i="15"/>
  <c r="AD89" i="15"/>
  <c r="AD56" i="15"/>
  <c r="AF225" i="15"/>
  <c r="AF158" i="15"/>
  <c r="AL21" i="15"/>
  <c r="AC56" i="15"/>
  <c r="AE22" i="15"/>
  <c r="AH4" i="15"/>
  <c r="AG72" i="15"/>
  <c r="AD192" i="15"/>
  <c r="AI22" i="15"/>
  <c r="AL39" i="15"/>
  <c r="AE5" i="15"/>
  <c r="AL157" i="15"/>
  <c r="AE73" i="15"/>
  <c r="AH175" i="15"/>
  <c r="AF4" i="15"/>
  <c r="AD38" i="15"/>
  <c r="AC192" i="15"/>
  <c r="AC90" i="15"/>
  <c r="AJ192" i="15"/>
  <c r="AD55" i="15"/>
  <c r="AG225" i="15"/>
  <c r="AH124" i="15"/>
  <c r="AJ4" i="15"/>
  <c r="AK39" i="15"/>
  <c r="AJ226" i="15"/>
  <c r="AJ225" i="15"/>
  <c r="AE174" i="15"/>
  <c r="AF56" i="15"/>
  <c r="AE21" i="15"/>
  <c r="AK175" i="15"/>
  <c r="AI56" i="15"/>
  <c r="AJ55" i="15"/>
  <c r="AF38" i="15"/>
  <c r="AK56" i="15"/>
  <c r="AK191" i="15"/>
  <c r="AE89" i="15"/>
  <c r="AE56" i="15"/>
  <c r="AE124" i="15"/>
  <c r="AG192" i="15"/>
  <c r="AC72" i="15"/>
  <c r="AG39" i="15"/>
  <c r="AD124" i="15"/>
  <c r="AL175" i="15"/>
  <c r="AK55" i="15"/>
  <c r="AC124" i="15"/>
  <c r="AK73" i="15"/>
  <c r="AD259" i="15"/>
  <c r="AH123" i="15"/>
  <c r="AC89" i="15"/>
  <c r="AF191" i="15"/>
  <c r="AL73" i="15"/>
  <c r="AH5" i="15"/>
  <c r="AK157" i="15"/>
  <c r="AJ191" i="15"/>
  <c r="AF174" i="15"/>
  <c r="AL89" i="15"/>
  <c r="AH72" i="15"/>
  <c r="AH260" i="15"/>
  <c r="AF175" i="15"/>
  <c r="AC260" i="15"/>
  <c r="AE192" i="15"/>
  <c r="AE39" i="15"/>
  <c r="AE191" i="15"/>
  <c r="AL90" i="15"/>
  <c r="AH55" i="15"/>
  <c r="AC226" i="15"/>
  <c r="AF89" i="15"/>
  <c r="AG55" i="15"/>
  <c r="AC73" i="15"/>
  <c r="AD225" i="15"/>
  <c r="AH89" i="15"/>
  <c r="AL5" i="15"/>
  <c r="AC259" i="15"/>
  <c r="AF157" i="15"/>
  <c r="AJ89" i="15"/>
  <c r="AI124" i="15"/>
  <c r="AI259" i="15"/>
  <c r="AI174" i="15"/>
  <c r="AK4" i="15"/>
  <c r="AD21" i="15"/>
  <c r="AH39" i="15"/>
  <c r="AG226" i="15"/>
  <c r="AE90" i="15"/>
  <c r="AJ21" i="15"/>
  <c r="AL22" i="15"/>
  <c r="AI55" i="15"/>
  <c r="AH73" i="15"/>
  <c r="AF39" i="15"/>
  <c r="AL4" i="15"/>
  <c r="AJ38" i="15"/>
  <c r="AI73" i="15"/>
  <c r="AK158" i="15"/>
  <c r="AE55" i="15"/>
  <c r="AL158" i="15"/>
  <c r="AC191" i="15"/>
  <c r="AI38" i="15"/>
  <c r="AF73" i="15"/>
  <c r="AI90" i="15"/>
  <c r="AK89" i="15"/>
  <c r="AC21" i="15"/>
  <c r="AD174" i="15"/>
  <c r="AG38" i="15"/>
  <c r="AK226" i="15"/>
  <c r="AJ175" i="15"/>
  <c r="AD191" i="15"/>
  <c r="AL124" i="15"/>
  <c r="AL192" i="15"/>
  <c r="AE259" i="15"/>
  <c r="AG4" i="15"/>
  <c r="AJ157" i="15"/>
  <c r="AD123" i="15"/>
  <c r="AG56" i="15"/>
  <c r="AD158" i="15"/>
  <c r="AD157" i="15"/>
  <c r="AL191" i="15"/>
  <c r="AH259" i="15"/>
  <c r="AL259" i="15"/>
  <c r="AK124" i="15"/>
  <c r="AK90" i="15"/>
  <c r="AD72" i="15"/>
  <c r="AH56" i="15"/>
  <c r="AI72" i="15"/>
  <c r="AF260" i="15"/>
  <c r="AG259" i="15"/>
  <c r="AE72" i="15"/>
  <c r="AD39" i="15"/>
  <c r="AH157" i="15"/>
  <c r="AK192" i="15"/>
  <c r="AI89" i="15"/>
  <c r="AJ72" i="15"/>
  <c r="AD260" i="15"/>
  <c r="AF123" i="15"/>
  <c r="AF22" i="15"/>
  <c r="AG89" i="15"/>
  <c r="AH191" i="15"/>
  <c r="AF72" i="15"/>
  <c r="AK260" i="15"/>
  <c r="AL123" i="15"/>
  <c r="AK225" i="15"/>
  <c r="AJ174" i="15"/>
  <c r="AH90" i="15"/>
  <c r="AK38" i="15"/>
  <c r="AD5" i="15"/>
  <c r="AF124" i="15"/>
  <c r="AC22" i="15"/>
  <c r="AF90" i="15"/>
  <c r="AC123" i="15"/>
  <c r="AE225" i="15"/>
  <c r="AG90" i="15"/>
  <c r="AJ22" i="15"/>
  <c r="AF5" i="15"/>
  <c r="AJ124" i="15"/>
  <c r="AI5" i="15"/>
  <c r="AE157" i="15"/>
  <c r="AG123" i="15"/>
  <c r="AJ39" i="15"/>
  <c r="AK116" i="24"/>
  <c r="AL116" i="24"/>
  <c r="AK112" i="24"/>
  <c r="AL112" i="24"/>
  <c r="AK118" i="24"/>
  <c r="AL118" i="24"/>
  <c r="AK119" i="24"/>
  <c r="AL119" i="24"/>
  <c r="AK114" i="24"/>
  <c r="AL114" i="24"/>
  <c r="AH35" i="3"/>
  <c r="AH34" i="3"/>
  <c r="AH33" i="3"/>
  <c r="AH31" i="3"/>
  <c r="BD33" i="3"/>
  <c r="BD32" i="3"/>
  <c r="BD31" i="3"/>
  <c r="BD30" i="3"/>
  <c r="BD29" i="3"/>
  <c r="BD28" i="3"/>
  <c r="BD27" i="3"/>
  <c r="BD26" i="3"/>
  <c r="BD25" i="3"/>
  <c r="BI30" i="24"/>
  <c r="BJ31" i="24"/>
  <c r="BY34" i="24"/>
  <c r="BZ35" i="24"/>
  <c r="BX34" i="24"/>
  <c r="BY35" i="24"/>
  <c r="BW34" i="24"/>
  <c r="BX35" i="24"/>
  <c r="BV34" i="24"/>
  <c r="BW35" i="24"/>
  <c r="BU34" i="24"/>
  <c r="BV35" i="24"/>
  <c r="BQ34" i="24"/>
  <c r="BR35" i="24"/>
  <c r="BO34" i="24"/>
  <c r="BP35" i="24"/>
  <c r="BI34" i="24"/>
  <c r="BJ35" i="24"/>
  <c r="BS34" i="24"/>
  <c r="BT35" i="24"/>
  <c r="BP34" i="24"/>
  <c r="BQ35" i="24"/>
  <c r="CA34" i="24"/>
  <c r="CB35" i="24"/>
  <c r="BM34" i="24"/>
  <c r="BN35" i="24"/>
  <c r="BT34" i="24"/>
  <c r="BU35" i="24"/>
  <c r="BJ34" i="24"/>
  <c r="BK35" i="24"/>
  <c r="BR34" i="24"/>
  <c r="BS35" i="24"/>
  <c r="CB34" i="24"/>
  <c r="BK34" i="24"/>
  <c r="BL35" i="24"/>
  <c r="BN34" i="24"/>
  <c r="BO35" i="24"/>
  <c r="BL34" i="24"/>
  <c r="BM35" i="24"/>
  <c r="BZ34" i="24"/>
  <c r="CA35" i="24"/>
  <c r="BU30" i="24"/>
  <c r="BV31" i="24"/>
  <c r="BQ30" i="24"/>
  <c r="BR31" i="24"/>
  <c r="BW30" i="24"/>
  <c r="BX31" i="24"/>
  <c r="BR30" i="24"/>
  <c r="BS31" i="24"/>
  <c r="BS30" i="24"/>
  <c r="BT31" i="24"/>
  <c r="BK30" i="24"/>
  <c r="BL31" i="24"/>
  <c r="BN30" i="24"/>
  <c r="BO31" i="24"/>
  <c r="BV30" i="24"/>
  <c r="BW31" i="24"/>
  <c r="BH34" i="24"/>
  <c r="BI35" i="24"/>
  <c r="BO30" i="24"/>
  <c r="BP31" i="24"/>
  <c r="BY30" i="24"/>
  <c r="BZ31" i="24"/>
  <c r="BX30" i="24"/>
  <c r="BY31" i="24"/>
  <c r="BZ30" i="24"/>
  <c r="CA31" i="24"/>
  <c r="CB30" i="24"/>
  <c r="BP30" i="24"/>
  <c r="BQ31" i="24"/>
  <c r="CA30" i="24"/>
  <c r="CB31" i="24"/>
  <c r="BH30" i="24"/>
  <c r="BI31" i="24"/>
  <c r="BJ30" i="24"/>
  <c r="BK31" i="24"/>
  <c r="BL30" i="24"/>
  <c r="BM31" i="24"/>
  <c r="BT30" i="24"/>
  <c r="BU31" i="24"/>
  <c r="BM30" i="24"/>
  <c r="BN31" i="24"/>
  <c r="BY38" i="24"/>
  <c r="BZ39" i="24"/>
  <c r="BX38" i="24"/>
  <c r="BY39" i="24"/>
  <c r="BW38" i="24"/>
  <c r="BX39" i="24"/>
  <c r="BV38" i="24"/>
  <c r="BW39" i="24"/>
  <c r="BU38" i="24"/>
  <c r="BV39" i="24"/>
  <c r="BY42" i="24"/>
  <c r="BZ43" i="24"/>
  <c r="BX42" i="24"/>
  <c r="BY43" i="24"/>
  <c r="BW42" i="24"/>
  <c r="BX43" i="24"/>
  <c r="BU42" i="24"/>
  <c r="BV43" i="24"/>
  <c r="BV42" i="24"/>
  <c r="BW43" i="24"/>
  <c r="CB38" i="24"/>
  <c r="BZ38" i="24"/>
  <c r="CA39" i="24"/>
  <c r="BL42" i="24"/>
  <c r="BM43" i="24"/>
  <c r="BZ42" i="24"/>
  <c r="CA43" i="24"/>
  <c r="BI38" i="24"/>
  <c r="BJ39" i="24"/>
  <c r="BQ42" i="24"/>
  <c r="BR43" i="24"/>
  <c r="BQ38" i="24"/>
  <c r="BR39" i="24"/>
  <c r="CA38" i="24"/>
  <c r="CB39" i="24"/>
  <c r="BJ42" i="24"/>
  <c r="BK43" i="24"/>
  <c r="BN38" i="24"/>
  <c r="BO39" i="24"/>
  <c r="BT38" i="24"/>
  <c r="BU39" i="24"/>
  <c r="BI42" i="24"/>
  <c r="BJ43" i="24"/>
  <c r="BP38" i="24"/>
  <c r="BQ39" i="24"/>
  <c r="BS38" i="24"/>
  <c r="BT39" i="24"/>
  <c r="BS42" i="24"/>
  <c r="BT43" i="24"/>
  <c r="CA42" i="24"/>
  <c r="CB43" i="24"/>
  <c r="BJ38" i="24"/>
  <c r="BK39" i="24"/>
  <c r="BR38" i="24"/>
  <c r="BS39" i="24"/>
  <c r="BM38" i="24"/>
  <c r="BN39" i="24"/>
  <c r="BR42" i="24"/>
  <c r="BS43" i="24"/>
  <c r="BM42" i="24"/>
  <c r="BN43" i="24"/>
  <c r="CB42" i="24"/>
  <c r="BK38" i="24"/>
  <c r="BL39" i="24"/>
  <c r="BO38" i="24"/>
  <c r="BP39" i="24"/>
  <c r="BK42" i="24"/>
  <c r="BL43" i="24"/>
  <c r="BP42" i="24"/>
  <c r="BQ43" i="24"/>
  <c r="BN42" i="24"/>
  <c r="BO43" i="24"/>
  <c r="BO42" i="24"/>
  <c r="BP43" i="24"/>
  <c r="BH42" i="24"/>
  <c r="BI43" i="24"/>
  <c r="BT42" i="24"/>
  <c r="BU43" i="24"/>
  <c r="BL38" i="24"/>
  <c r="BM39" i="24"/>
  <c r="BH38" i="24"/>
  <c r="BI39" i="24"/>
  <c r="BY50" i="24"/>
  <c r="BZ51" i="24"/>
  <c r="BX50" i="24"/>
  <c r="BY51" i="24"/>
  <c r="BW50" i="24"/>
  <c r="BX51" i="24"/>
  <c r="BV50" i="24"/>
  <c r="BW51" i="24"/>
  <c r="BU50" i="24"/>
  <c r="BV51" i="24"/>
  <c r="BP46" i="24"/>
  <c r="BQ47" i="24"/>
  <c r="BT50" i="24"/>
  <c r="BU51" i="24"/>
  <c r="BO50" i="24"/>
  <c r="BP51" i="24"/>
  <c r="BL50" i="24"/>
  <c r="BM51" i="24"/>
  <c r="BZ46" i="24"/>
  <c r="CA47" i="24"/>
  <c r="BX46" i="24"/>
  <c r="BY47" i="24"/>
  <c r="BH46" i="24"/>
  <c r="BI47" i="24"/>
  <c r="BI46" i="24"/>
  <c r="BJ47" i="24"/>
  <c r="BS46" i="24"/>
  <c r="BT47" i="24"/>
  <c r="BS50" i="24"/>
  <c r="BT51" i="24"/>
  <c r="BJ46" i="24"/>
  <c r="BK47" i="24"/>
  <c r="BR46" i="24"/>
  <c r="BS47" i="24"/>
  <c r="BV46" i="24"/>
  <c r="BW47" i="24"/>
  <c r="BR50" i="24"/>
  <c r="BS51" i="24"/>
  <c r="BK46" i="24"/>
  <c r="BL47" i="24"/>
  <c r="BP50" i="24"/>
  <c r="BQ51" i="24"/>
  <c r="BN50" i="24"/>
  <c r="BO51" i="24"/>
  <c r="BY46" i="24"/>
  <c r="BZ47" i="24"/>
  <c r="BK50" i="24"/>
  <c r="BL51" i="24"/>
  <c r="BL46" i="24"/>
  <c r="BM47" i="24"/>
  <c r="BZ50" i="24"/>
  <c r="CA51" i="24"/>
  <c r="CA46" i="24"/>
  <c r="CB47" i="24"/>
  <c r="CB46" i="24"/>
  <c r="BQ46" i="24"/>
  <c r="BR47" i="24"/>
  <c r="BI50" i="24"/>
  <c r="BJ51" i="24"/>
  <c r="BQ50" i="24"/>
  <c r="BR51" i="24"/>
  <c r="CA50" i="24"/>
  <c r="CB51" i="24"/>
  <c r="BH50" i="24"/>
  <c r="BI51" i="24"/>
  <c r="BU46" i="24"/>
  <c r="BV47" i="24"/>
  <c r="BJ50" i="24"/>
  <c r="BK51" i="24"/>
  <c r="BM46" i="24"/>
  <c r="BN47" i="24"/>
  <c r="CB50" i="24"/>
  <c r="BM50" i="24"/>
  <c r="BN51" i="24"/>
  <c r="BN46" i="24"/>
  <c r="BO47" i="24"/>
  <c r="BW46" i="24"/>
  <c r="BX47" i="24"/>
  <c r="BO46" i="24"/>
  <c r="BP47" i="24"/>
  <c r="BT46" i="24"/>
  <c r="BU47" i="24"/>
  <c r="CC31" i="24"/>
  <c r="AK106" i="24"/>
  <c r="AL106" i="24"/>
  <c r="AK81" i="24"/>
  <c r="AL81" i="24"/>
  <c r="AK105" i="24"/>
  <c r="AL105" i="24"/>
  <c r="AK80" i="24"/>
  <c r="AL80" i="24"/>
  <c r="CC39" i="24"/>
  <c r="CC43" i="24"/>
  <c r="CC47" i="24"/>
  <c r="CC51" i="24"/>
  <c r="CC35" i="24"/>
  <c r="AG30" i="3"/>
  <c r="AH30" i="3"/>
  <c r="AG29" i="3"/>
  <c r="AH29" i="3"/>
  <c r="AG27" i="3"/>
  <c r="AG26" i="3"/>
  <c r="AH26" i="3"/>
  <c r="AG25" i="3"/>
  <c r="AH25" i="3"/>
  <c r="AH28" i="3"/>
  <c r="AH27" i="3"/>
  <c r="AX56" i="24"/>
  <c r="AV56" i="24"/>
  <c r="AW56" i="24"/>
  <c r="AZ56" i="24"/>
  <c r="AU56" i="24"/>
  <c r="AS56" i="24"/>
  <c r="AR56" i="24"/>
  <c r="AT56" i="24"/>
  <c r="AQ56" i="24"/>
  <c r="BA56" i="24"/>
  <c r="AY56" i="24"/>
  <c r="AP56" i="24"/>
  <c r="AO56" i="24"/>
  <c r="AU57" i="24"/>
  <c r="AT57" i="24"/>
  <c r="AX57" i="24"/>
  <c r="AW57" i="24"/>
  <c r="AV57" i="24"/>
  <c r="AS57" i="24"/>
  <c r="AR57" i="24"/>
  <c r="BA57" i="24"/>
  <c r="AY57" i="24"/>
  <c r="AZ57" i="24"/>
  <c r="AQ57" i="24"/>
  <c r="AP57" i="24"/>
  <c r="AO57" i="24"/>
  <c r="AU50" i="24"/>
  <c r="AO46" i="24"/>
  <c r="AV55" i="24"/>
  <c r="AV50" i="24"/>
  <c r="AP46" i="24"/>
  <c r="AX55" i="24"/>
  <c r="AS50" i="24"/>
  <c r="AQ46" i="24"/>
  <c r="AX50" i="24"/>
  <c r="AW50" i="24"/>
  <c r="AP50" i="24"/>
  <c r="AQ50" i="24"/>
  <c r="AY50" i="24"/>
  <c r="AZ50" i="24"/>
  <c r="BA50" i="24"/>
  <c r="AO55" i="24"/>
  <c r="AX46" i="24"/>
  <c r="AP55" i="24"/>
  <c r="AY46" i="24"/>
  <c r="AY55" i="24"/>
  <c r="AW46" i="24"/>
  <c r="BA55" i="24"/>
  <c r="AR46" i="24"/>
  <c r="AQ55" i="24"/>
  <c r="AU46" i="24"/>
  <c r="AT55" i="24"/>
  <c r="AT46" i="24"/>
  <c r="AR55" i="24"/>
  <c r="AV46" i="24"/>
  <c r="AS55" i="24"/>
  <c r="AO50" i="24"/>
  <c r="AS46" i="24"/>
  <c r="AU55" i="24"/>
  <c r="AR50" i="24"/>
  <c r="AZ46" i="24"/>
  <c r="AZ55" i="24"/>
  <c r="AT50" i="24"/>
  <c r="BA46" i="24"/>
  <c r="AW55" i="24"/>
  <c r="J14" i="44" l="1"/>
  <c r="L15" i="44"/>
  <c r="L19" i="44"/>
  <c r="L18" i="44"/>
  <c r="L14" i="44"/>
  <c r="L17" i="44"/>
  <c r="L12" i="44"/>
  <c r="L16" i="44"/>
  <c r="K18" i="44"/>
  <c r="K17" i="44"/>
  <c r="K19" i="44"/>
  <c r="K14" i="44"/>
  <c r="K16" i="44"/>
  <c r="K13" i="44"/>
  <c r="K15" i="44"/>
  <c r="J15" i="44"/>
  <c r="J17" i="44"/>
  <c r="J12" i="44"/>
  <c r="J16" i="44"/>
  <c r="J13" i="44"/>
  <c r="J19" i="44"/>
  <c r="O25" i="48"/>
  <c r="L25" i="48"/>
  <c r="P25" i="48"/>
  <c r="Q25" i="48"/>
  <c r="R9" i="53" s="1"/>
  <c r="K25" i="48"/>
  <c r="L3" i="53" s="1"/>
  <c r="M25" i="48"/>
  <c r="N25" i="48"/>
  <c r="O7" i="53" s="1"/>
  <c r="L19" i="48"/>
  <c r="N19" i="48"/>
  <c r="P19" i="48"/>
  <c r="M19" i="48"/>
  <c r="K19" i="48"/>
  <c r="O19" i="48"/>
  <c r="Q19" i="48"/>
  <c r="L18" i="48"/>
  <c r="M18" i="48"/>
  <c r="N18" i="48"/>
  <c r="O18" i="48"/>
  <c r="P18" i="48"/>
  <c r="Q18" i="48"/>
  <c r="K18" i="48"/>
  <c r="O14" i="53"/>
  <c r="O15" i="53"/>
  <c r="M18" i="53"/>
  <c r="P23" i="53"/>
  <c r="Q23" i="53" s="1"/>
  <c r="R23" i="53" s="1"/>
  <c r="O20" i="53"/>
  <c r="N20" i="53"/>
  <c r="N21" i="53"/>
  <c r="N19" i="53"/>
  <c r="M19" i="53"/>
  <c r="M20" i="53"/>
  <c r="P22" i="53"/>
  <c r="Q22" i="53" s="1"/>
  <c r="P21" i="53"/>
  <c r="O22" i="53"/>
  <c r="O21" i="53"/>
  <c r="M13" i="53"/>
  <c r="P16" i="53"/>
  <c r="Q16" i="53" s="1"/>
  <c r="R16" i="53" s="1"/>
  <c r="M11" i="53"/>
  <c r="M12" i="53"/>
  <c r="N13" i="53"/>
  <c r="P14" i="53"/>
  <c r="P15" i="53"/>
  <c r="Q15" i="53" s="1"/>
  <c r="N12" i="53"/>
  <c r="N14" i="53"/>
  <c r="P7" i="53"/>
  <c r="P8" i="53"/>
  <c r="O6" i="53" l="1"/>
  <c r="Q8" i="53"/>
  <c r="Q9" i="53"/>
  <c r="N5" i="53"/>
  <c r="N6" i="53"/>
  <c r="L4" i="53"/>
  <c r="L5" i="53"/>
  <c r="M4" i="53"/>
  <c r="M5" i="5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 W</author>
  </authors>
  <commentList>
    <comment ref="Q15" authorId="0" shapeId="0" xr:uid="{44362238-9567-425F-9434-81F560FE1717}">
      <text>
        <r>
          <rPr>
            <b/>
            <sz val="9"/>
            <color indexed="81"/>
            <rFont val="Tahoma"/>
            <family val="2"/>
          </rPr>
          <t>L W:</t>
        </r>
        <r>
          <rPr>
            <sz val="9"/>
            <color indexed="81"/>
            <rFont val="Tahoma"/>
            <family val="2"/>
          </rPr>
          <t xml:space="preserve">
Apply 'CFAF' factors to segment heavy trucks into long-haul and non long-haul for ON only</t>
        </r>
      </text>
    </comment>
    <comment ref="A19" authorId="0" shapeId="0" xr:uid="{584973C7-D3FD-481D-B225-F40F4072720C}">
      <text>
        <r>
          <rPr>
            <b/>
            <sz val="9"/>
            <color indexed="81"/>
            <rFont val="Tahoma"/>
            <family val="2"/>
          </rPr>
          <t>L W:</t>
        </r>
        <r>
          <rPr>
            <sz val="9"/>
            <color indexed="81"/>
            <rFont val="Tahoma"/>
            <family val="2"/>
          </rPr>
          <t xml:space="preserve">
Adjust capacity factor for BETs, FCETs due to any lost payload capacity.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 W</author>
  </authors>
  <commentList>
    <comment ref="Q15" authorId="0" shapeId="0" xr:uid="{00AAD357-039A-453F-B806-6BFE47E06E34}">
      <text>
        <r>
          <rPr>
            <b/>
            <sz val="9"/>
            <color indexed="81"/>
            <rFont val="Tahoma"/>
            <family val="2"/>
          </rPr>
          <t>L W:</t>
        </r>
        <r>
          <rPr>
            <sz val="9"/>
            <color indexed="81"/>
            <rFont val="Tahoma"/>
            <family val="2"/>
          </rPr>
          <t xml:space="preserve">
Apply 'CFAF' factors to segment heavy trucks into long-haul and non long-haul for ON only</t>
        </r>
      </text>
    </comment>
    <comment ref="A19" authorId="0" shapeId="0" xr:uid="{0AD767F9-64CC-40F5-9573-B110157FFB45}">
      <text>
        <r>
          <rPr>
            <b/>
            <sz val="9"/>
            <color indexed="81"/>
            <rFont val="Tahoma"/>
            <family val="2"/>
          </rPr>
          <t>L W:</t>
        </r>
        <r>
          <rPr>
            <sz val="9"/>
            <color indexed="81"/>
            <rFont val="Tahoma"/>
            <family val="2"/>
          </rPr>
          <t xml:space="preserve">
Adjust capacity factor for BETs, FCETs due to any lost payload capacity.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tc={014A8250-35AD-4628-A2B4-6884DBE3FA76}</author>
    <author>tc={01E0881B-4E9C-46C0-B352-851E64497A07}</author>
    <author>tc={32723FD0-B8E5-46F3-8C25-846145EDA569}</author>
    <author>tc={3A944772-9122-4807-9401-32D55299625D}</author>
    <author>tc={C855BD0B-18CE-4F5E-910D-D99972F24462}</author>
    <author>tc={25556C78-D8D7-4015-8FC2-B19B34AF82B8}</author>
    <author>tc={BE4877DA-4657-4CEF-9BA3-BC32D0900801}</author>
    <author>tc={E8DFB52A-D586-4041-971E-10CC5D688CA6}</author>
    <author>tc={0D98447F-A414-40A5-8A3C-76C5D060767C}</author>
    <author>tc={EB71B2E9-760A-46FB-BEE7-3062BC919874}</author>
    <author>tc={84A9FF11-FB24-409C-BD12-6DD64B56F8CF}</author>
    <author>tc={0F10A120-C164-4F1D-91BE-1508C4640A63}</author>
    <author>tc={FCE78505-3822-49F7-B960-2587EDC8FDC9}</author>
    <author>tc={315093ED-69A6-429D-A6C6-AB7B25C2E224}</author>
    <author>tc={CBEE5243-94F9-4D3E-836C-5D784E29F261}</author>
    <author>tc={26E6D269-060F-4020-A014-E341D34EFE81}</author>
    <author>tc={56AC9C31-97A2-4FEE-A260-89FB95631019}</author>
    <author>tc={DD44C917-D8E5-4D80-91E5-EB34A86C1F11}</author>
    <author>tc={DFBBE19E-2E9A-4A47-8F41-3A6043F52C27}</author>
    <author>tc={3C85A7D0-0429-420E-BF0F-147B3F813501}</author>
    <author>tc={7B0BAFEE-BADC-45BF-9471-D777F98CFA44}</author>
    <author>tc={C0147C5D-7CB5-40D7-B741-1930324DB4E7}</author>
    <author>tc={752C2A8F-9753-4F7C-B956-172320FB2AB7}</author>
    <author>tc={F48D2936-7563-441E-AB3E-0360389133CE}</author>
    <author>tc={BEECE8B6-FADB-47F9-8052-8E04ABA803CE}</author>
    <author>tc={1D0BA893-2C81-4E40-A722-346437715C4C}</author>
    <author>tc={3682645A-5802-4EA4-8079-78777C4FD66B}</author>
    <author>tc={03BA14A3-FEAD-4243-8284-430147FCC4CA}</author>
    <author>tc={523E63E5-A40D-4FDF-80A2-EFD40033F1B9}</author>
    <author>tc={F0990790-7D1D-4C88-935E-FF432F4BF1FC}</author>
    <author>tc={7AA8FAD2-0B31-4A20-B114-E4A3119985DC}</author>
    <author>tc={0D20563F-ADD1-4A56-9C9A-3AA015248B15}</author>
    <author>tc={4223C4C3-CBE3-492C-87A7-2396E6373C33}</author>
    <author>tc={A2967ED5-6E88-4993-A569-75A01DB48059}</author>
    <author>tc={68DF7734-0AC5-44DE-A58F-EBFBEE1B6E47}</author>
    <author>tc={E666B4FB-8580-4585-967E-91700FEFA79B}</author>
    <author>tc={2E0F271B-8E61-4FF0-A641-7B9BCE1FBF5E}</author>
    <author>tc={84DB6472-5795-4094-8CE2-900ADFBB8BFE}</author>
    <author>tc={2F7EF923-CA8F-4F81-84F4-74C98361949E}</author>
    <author>tc={A680FE45-1535-45B1-BE5C-3639FA68463C}</author>
    <author>tc={4996D47A-F504-4E47-B54C-DF521B6B09D9}</author>
    <author>tc={388E4E1B-D456-40B2-ACFC-37624D6317A1}</author>
  </authors>
  <commentList>
    <comment ref="D144" authorId="0" shapeId="0" xr:uid="{014A8250-35AD-4628-A2B4-6884DBE3FA76}">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E144" authorId="1" shapeId="0" xr:uid="{01E0881B-4E9C-46C0-B352-851E64497A07}">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F144" authorId="2" shapeId="0" xr:uid="{32723FD0-B8E5-46F3-8C25-846145EDA569}">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G144" authorId="3" shapeId="0" xr:uid="{3A944772-9122-4807-9401-32D55299625D}">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H144" authorId="4" shapeId="0" xr:uid="{C855BD0B-18CE-4F5E-910D-D99972F24462}">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I144" authorId="5" shapeId="0" xr:uid="{25556C78-D8D7-4015-8FC2-B19B34AF82B8}">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J144" authorId="6" shapeId="0" xr:uid="{BE4877DA-4657-4CEF-9BA3-BC32D090080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K144" authorId="7" shapeId="0" xr:uid="{E8DFB52A-D586-4041-971E-10CC5D688CA6}">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L144" authorId="8" shapeId="0" xr:uid="{0D98447F-A414-40A5-8A3C-76C5D060767C}">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M144" authorId="9" shapeId="0" xr:uid="{EB71B2E9-760A-46FB-BEE7-3062BC919874}">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N144" authorId="10" shapeId="0" xr:uid="{84A9FF11-FB24-409C-BD12-6DD64B56F8CF}">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O144" authorId="11" shapeId="0" xr:uid="{0F10A120-C164-4F1D-91BE-1508C4640A63}">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P144" authorId="12" shapeId="0" xr:uid="{FCE78505-3822-49F7-B960-2587EDC8FDC9}">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Q144" authorId="13" shapeId="0" xr:uid="{315093ED-69A6-429D-A6C6-AB7B25C2E224}">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R144" authorId="14" shapeId="0" xr:uid="{CBEE5243-94F9-4D3E-836C-5D784E29F26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S144" authorId="15" shapeId="0" xr:uid="{26E6D269-060F-4020-A014-E341D34EFE8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U144" authorId="16" shapeId="0" xr:uid="{56AC9C31-97A2-4FEE-A260-89FB95631019}">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AC144" authorId="17" shapeId="0" xr:uid="{DD44C917-D8E5-4D80-91E5-EB34A86C1F1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AD144" authorId="18" shapeId="0" xr:uid="{DFBBE19E-2E9A-4A47-8F41-3A6043F52C27}">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AE144" authorId="19" shapeId="0" xr:uid="{3C85A7D0-0429-420E-BF0F-147B3F81350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R190" authorId="20" shapeId="0" xr:uid="{7B0BAFEE-BADC-45BF-9471-D777F98CFA44}">
      <text>
        <t>[Threaded comment]
Your version of Excel allows you to read this threaded comment; however, any edits to it will get removed if the file is opened in a newer version of Excel. Learn more: https://go.microsoft.com/fwlink/?linkid=870924
Comment:
    For original and residual Starch EtOH</t>
      </text>
    </comment>
    <comment ref="T190" authorId="21" shapeId="0" xr:uid="{C0147C5D-7CB5-40D7-B741-1930324DB4E7}">
      <text>
        <t>[Threaded comment]
Your version of Excel allows you to read this threaded comment; however, any edits to it will get removed if the file is opened in a newer version of Excel. Learn more: https://go.microsoft.com/fwlink/?linkid=870924
Comment:
    For Fiber EtOH only</t>
      </text>
    </comment>
    <comment ref="CD193" authorId="22" shapeId="0" xr:uid="{752C2A8F-9753-4F7C-B956-172320FB2AB7}">
      <text>
        <t>[Threaded comment]
Your version of Excel allows you to read this threaded comment; however, any edits to it will get removed if the file is opened in a newer version of Excel. Learn more: https://go.microsoft.com/fwlink/?linkid=870924
Comment:
    mmBtu</t>
      </text>
    </comment>
    <comment ref="CD194" authorId="23" shapeId="0" xr:uid="{F48D2936-7563-441E-AB3E-0360389133CE}">
      <text>
        <t>[Threaded comment]
Your version of Excel allows you to read this threaded comment; however, any edits to it will get removed if the file is opened in a newer version of Excel. Learn more: https://go.microsoft.com/fwlink/?linkid=870924
Comment:
    mmBtu</t>
      </text>
    </comment>
    <comment ref="CD195" authorId="24" shapeId="0" xr:uid="{BEECE8B6-FADB-47F9-8052-8E04ABA803CE}">
      <text>
        <t>[Threaded comment]
Your version of Excel allows you to read this threaded comment; however, any edits to it will get removed if the file is opened in a newer version of Excel. Learn more: https://go.microsoft.com/fwlink/?linkid=870924
Comment:
    mmBtu</t>
      </text>
    </comment>
    <comment ref="CD196" authorId="25" shapeId="0" xr:uid="{1D0BA893-2C81-4E40-A722-346437715C4C}">
      <text>
        <t>[Threaded comment]
Your version of Excel allows you to read this threaded comment; however, any edits to it will get removed if the file is opened in a newer version of Excel. Learn more: https://go.microsoft.com/fwlink/?linkid=870924
Comment:
    mmBtu</t>
      </text>
    </comment>
    <comment ref="CD197" authorId="26" shapeId="0" xr:uid="{3682645A-5802-4EA4-8079-78777C4FD66B}">
      <text>
        <t>[Threaded comment]
Your version of Excel allows you to read this threaded comment; however, any edits to it will get removed if the file is opened in a newer version of Excel. Learn more: https://go.microsoft.com/fwlink/?linkid=870924
Comment:
    mmBtu</t>
      </text>
    </comment>
    <comment ref="CC214" authorId="27" shapeId="0" xr:uid="{03BA14A3-FEAD-4243-8284-430147FCC4CA}">
      <text>
        <t>[Threaded comment]
Your version of Excel allows you to read this threaded comment; however, any edits to it will get removed if the file is opened in a newer version of Excel. Learn more: https://go.microsoft.com/fwlink/?linkid=870924
Comment:
    Part of Co-optima project. 
Gaspar, D. J. 2021. Top 13 Blendstocks Derived from Biomass for Mixing-Controlled
Compression-Ignition (Diesel) Engines: Bioblendstocks with Potential for Lower Emissions and
Increased Operability. PNNL-31421. Pacific Northwest National Laboratory, Richland, WA.</t>
      </text>
    </comment>
    <comment ref="W216" authorId="28" shapeId="0" xr:uid="{523E63E5-A40D-4FDF-80A2-EFD40033F1B9}">
      <text>
        <t>[Threaded comment]
Your version of Excel allows you to read this threaded comment; however, any edits to it will get removed if the file is opened in a newer version of Excel. Learn more: https://go.microsoft.com/fwlink/?linkid=870924
Comment:
    Tallow is treated as a waste product of beef production and therefore has no impacts assigned to its generation.</t>
      </text>
    </comment>
    <comment ref="AD216" authorId="29" shapeId="0" xr:uid="{F0990790-7D1D-4C88-935E-FF432F4BF1FC}">
      <text>
        <t>[Threaded comment]
Your version of Excel allows you to read this threaded comment; however, any edits to it will get removed if the file is opened in a newer version of Excel. Learn more: https://go.microsoft.com/fwlink/?linkid=870924
Comment:
    Assuming PFAD is converted to BD in Singapore then shipped via tanker</t>
      </text>
    </comment>
    <comment ref="AG216" authorId="30" shapeId="0" xr:uid="{7AA8FAD2-0B31-4A20-B114-E4A3119985DC}">
      <text>
        <t>[Threaded comment]
Your version of Excel allows you to read this threaded comment; however, any edits to it will get removed if the file is opened in a newer version of Excel. Learn more: https://go.microsoft.com/fwlink/?linkid=870924
Comment:
    UCO is treated as a waste feedstock; emissions associated with oilseeds and virgin production are not included here</t>
      </text>
    </comment>
    <comment ref="BC216" authorId="31" shapeId="0" xr:uid="{0D20563F-ADD1-4A56-9C9A-3AA015248B15}">
      <text>
        <t>[Threaded comment]
Your version of Excel allows you to read this threaded comment; however, any edits to it will get removed if the file is opened in a newer version of Excel. Learn more: https://go.microsoft.com/fwlink/?linkid=870924
Comment:
    Tallow is treated as a waste product of beef production and therefore has no impacts assigned to its generation.</t>
      </text>
    </comment>
    <comment ref="BE216" authorId="32" shapeId="0" xr:uid="{4223C4C3-CBE3-492C-87A7-2396E6373C33}">
      <text>
        <t>[Threaded comment]
Your version of Excel allows you to read this threaded comment; however, any edits to it will get removed if the file is opened in a newer version of Excel. Learn more: https://go.microsoft.com/fwlink/?linkid=870924
Comment:
    UCO is treated as a waste feedstock; emissions associated with oilseeds and virgin production are not included here</t>
      </text>
    </comment>
    <comment ref="I219" authorId="33" shapeId="0" xr:uid="{A2967ED5-6E88-4993-A569-75A01DB48059}">
      <text>
        <t>[Threaded comment]
Your version of Excel allows you to read this threaded comment; however, any edits to it will get removed if the file is opened in a newer version of Excel. Learn more: https://go.microsoft.com/fwlink/?linkid=870924
Comment:
    This is the energy incuding the soy oil consumptions. So, energy in the soy oil is included.</t>
      </text>
    </comment>
    <comment ref="J219" authorId="34" shapeId="0" xr:uid="{68DF7734-0AC5-44DE-A58F-EBFBEE1B6E47}">
      <text>
        <t>[Threaded comment]
Your version of Excel allows you to read this threaded comment; however, any edits to it will get removed if the file is opened in a newer version of Excel. Learn more: https://go.microsoft.com/fwlink/?linkid=870924
Comment:
    This is the energy incuding the soy meal consumptions. So, energy in the soy meal is included.</t>
      </text>
    </comment>
    <comment ref="CC219" authorId="35" shapeId="0" xr:uid="{E666B4FB-8580-4585-967E-91700FEFA79B}">
      <text>
        <t>[Threaded comment]
Your version of Excel allows you to read this threaded comment; however, any edits to it will get removed if the file is opened in a newer version of Excel. Learn more: https://go.microsoft.com/fwlink/?linkid=870924
Comment:
    Note1: We assumed the upstream of tallow as a proxy for yellow grease, which includes both rendering and transportation for yellow grease. User can also choose used cooking oil (UCO)
Note 2: The Factor (0.03382), represents 0.03382 tons feedstock ton/mmbtu of co-optima fuel produced</t>
      </text>
    </comment>
    <comment ref="CE219" authorId="36" shapeId="0" xr:uid="{2E0F271B-8E61-4FF0-A641-7B9BCE1FBF5E}">
      <text>
        <t>[Threaded comment]
Your version of Excel allows you to read this threaded comment; however, any edits to it will get removed if the file is opened in a newer version of Excel. Learn more: https://go.microsoft.com/fwlink/?linkid=870924
Comment:
    Note 1: The Factor (0.03382), represents 0.03382 tons feedstock ton/mmbtu of co-optima fuel produced</t>
      </text>
    </comment>
    <comment ref="CG219" authorId="37" shapeId="0" xr:uid="{84DB6472-5795-4094-8CE2-900ADFBB8BFE}">
      <text>
        <t>[Threaded comment]
Your version of Excel allows you to read this threaded comment; however, any edits to it will get removed if the file is opened in a newer version of Excel. Learn more: https://go.microsoft.com/fwlink/?linkid=870924
Comment:
    Note1: We assumed the upstream of tallow as a proxy for yellow grease, which includes both rendering and transportation for yellow grease. User can also choose used cooking oil (UCO)
Note 2: The Factor (0.03382), represents 0.03382 tons feedstock ton/mmbtu of co-optima fuel produced</t>
      </text>
    </comment>
    <comment ref="CE235" authorId="38" shapeId="0" xr:uid="{2F7EF923-CA8F-4F81-84F4-74C98361949E}">
      <text>
        <t>[Threaded comment]
Your version of Excel allows you to read this threaded comment; however, any edits to it will get removed if the file is opened in a newer version of Excel. Learn more: https://go.microsoft.com/fwlink/?linkid=870924
Comment:
    Including the ILUC for soybean oil</t>
      </text>
    </comment>
    <comment ref="CG235" authorId="39" shapeId="0" xr:uid="{A680FE45-1535-45B1-BE5C-3639FA68463C}">
      <text>
        <t>[Threaded comment]
Your version of Excel allows you to read this threaded comment; however, any edits to it will get removed if the file is opened in a newer version of Excel. Learn more: https://go.microsoft.com/fwlink/?linkid=870924
Comment:
    Including iLUC for the Soybean portion</t>
      </text>
    </comment>
    <comment ref="EQ259" authorId="40" shapeId="0" xr:uid="{4996D47A-F504-4E47-B54C-DF521B6B09D9}">
      <text>
        <t xml:space="preserve">[Threaded comment]
Your version of Excel allows you to read this threaded comment; however, any edits to it will get removed if the file is opened in a newer version of Excel. Learn more: https://go.microsoft.com/fwlink/?linkid=870924
Comment:
    Does not include fossil carbon emission from fuel combustion. </t>
      </text>
    </comment>
    <comment ref="AH264" authorId="41" shapeId="0" xr:uid="{388E4E1B-D456-40B2-ACFC-37624D6317A1}">
      <text>
        <t>[Threaded comment]
Your version of Excel allows you to read this threaded comment; however, any edits to it will get removed if the file is opened in a newer version of Excel. Learn more: https://go.microsoft.com/fwlink/?linkid=870924
Comment:
    Consider hydrogen produced on site</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cfaf_province_longhaul_threshold_stats" description="Connection to the 'cfaf_province_longhaul_threshold_stats' query in the workbook." type="5" refreshedVersion="8" background="1" saveData="1">
    <dbPr connection="Provider=Microsoft.Mashup.OleDb.1;Data Source=$Workbook$;Location=cfaf_province_longhaul_threshold_stats;Extended Properties=&quot;&quot;" command="SELECT * FROM [cfaf_province_longhaul_threshold_stat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<sst xmlns="http://schemas.openxmlformats.org/spreadsheetml/2006/main" count="11133" uniqueCount="3150">
  <si>
    <t>Description</t>
  </si>
  <si>
    <t>Details</t>
  </si>
  <si>
    <t>CO2</t>
  </si>
  <si>
    <t>N2O</t>
  </si>
  <si>
    <t>NOX</t>
  </si>
  <si>
    <t>SO2</t>
  </si>
  <si>
    <t>CH4</t>
  </si>
  <si>
    <t>Sales (thousands)</t>
  </si>
  <si>
    <t>Cars</t>
  </si>
  <si>
    <t>Stock (thousands)</t>
  </si>
  <si>
    <t>Car Energy Use (PJ)</t>
  </si>
  <si>
    <t>Natural Gas</t>
  </si>
  <si>
    <t>Motor Gasoline</t>
  </si>
  <si>
    <t>Diesel Fuel Oil</t>
  </si>
  <si>
    <t>Ethanol</t>
  </si>
  <si>
    <t>n.a.</t>
  </si>
  <si>
    <t>Propane</t>
  </si>
  <si>
    <t>Passenger Light Trucks</t>
  </si>
  <si>
    <t>Freight Light Trucks</t>
  </si>
  <si>
    <t>Medium Trucks</t>
  </si>
  <si>
    <t>Heavy Trucks</t>
  </si>
  <si>
    <t>Gasoline Average Fuel Consumption (L/100 km)</t>
  </si>
  <si>
    <t>Diesel Average Fuel Consumption (L/100 km)</t>
  </si>
  <si>
    <t>Passenger Light Truck Energy Use (PJ)</t>
  </si>
  <si>
    <t>Freight Light Truck Energy Use (PJ)</t>
  </si>
  <si>
    <t>Activity</t>
  </si>
  <si>
    <t>Cars (M Passenger-km)</t>
  </si>
  <si>
    <t>Passenger Light Trucks (M Passenger-km)</t>
  </si>
  <si>
    <t>Freight Light Trucks (M Tonne-km)</t>
  </si>
  <si>
    <t>Medium Truck Energy Use (PJ)</t>
  </si>
  <si>
    <t>Medium Trucks (M Tonne-km)</t>
  </si>
  <si>
    <t>Heavy Trucks (M Tonne-km)</t>
  </si>
  <si>
    <t>Heavy trucks</t>
  </si>
  <si>
    <t>Motorcycle</t>
  </si>
  <si>
    <t>Heavy Truck Energy Use (PJ) - Diesel</t>
  </si>
  <si>
    <t>Motorcycle Energy Use (PJ) - Gasoline</t>
  </si>
  <si>
    <t>Motorcycles (M Passenger-km)</t>
  </si>
  <si>
    <t>Motorcycles</t>
  </si>
  <si>
    <t>School Buses</t>
  </si>
  <si>
    <t>Urban Transit</t>
  </si>
  <si>
    <t>Inter-City Buses</t>
  </si>
  <si>
    <t>School Bus Energy Use (PJ)</t>
  </si>
  <si>
    <t>School Bus</t>
  </si>
  <si>
    <t>Urban Transit Energy Use (PJ)</t>
  </si>
  <si>
    <t>Electricity</t>
  </si>
  <si>
    <t>Urban Transit (M Passenger-km)</t>
  </si>
  <si>
    <t>Energy Intensity (MJ/Pkm or Tkm)</t>
  </si>
  <si>
    <t>Inter-City Bus Energy Use (PJ)</t>
  </si>
  <si>
    <t>Inter-City Buses (M Passenger-km)</t>
  </si>
  <si>
    <t>School Buses (M Passenger-km)</t>
  </si>
  <si>
    <t>Passenger Air Transportation Energy Use (PJ)</t>
  </si>
  <si>
    <t>Aviation Gasoline</t>
  </si>
  <si>
    <t>Aviation Turbo Fuel</t>
  </si>
  <si>
    <t>Freight Air Transportation Energy Use (PJ) - Jetfuel</t>
  </si>
  <si>
    <t>Passenger Rail Energy Use (PJ) - Diesel</t>
  </si>
  <si>
    <t>Freight Rail Energy Use (PJ) - Diesel</t>
  </si>
  <si>
    <t>Passenger Rail</t>
  </si>
  <si>
    <t>Freight Rail</t>
  </si>
  <si>
    <t>Heavy Fuel Oil</t>
  </si>
  <si>
    <t xml:space="preserve">Marine Freight </t>
  </si>
  <si>
    <t>Marine Freight Energy Use (PJ)</t>
  </si>
  <si>
    <t>Airplanes</t>
  </si>
  <si>
    <t>Helicopters</t>
  </si>
  <si>
    <t>Gliders</t>
  </si>
  <si>
    <t>Gyroplanes</t>
  </si>
  <si>
    <t>Balloons</t>
  </si>
  <si>
    <t>Other</t>
  </si>
  <si>
    <t>Total Civil Aviation Stock (units)</t>
  </si>
  <si>
    <t>Ontario aviation fleet stock - Canadian Civil Aircraft Register</t>
  </si>
  <si>
    <t>Freight Air Transport (M Tonne-km)</t>
  </si>
  <si>
    <t>Passenger Air Transport</t>
  </si>
  <si>
    <t>Freight Air Transport</t>
  </si>
  <si>
    <t>Total freight locomotives</t>
  </si>
  <si>
    <t>Total passenger locomotives</t>
  </si>
  <si>
    <t>Total yard locomotives</t>
  </si>
  <si>
    <t>Associated equipment</t>
  </si>
  <si>
    <t>Total locomotives (units)</t>
  </si>
  <si>
    <t>Total freight cars (units)</t>
  </si>
  <si>
    <t>Total passenger cars (units)</t>
  </si>
  <si>
    <t>Passenger Rail (M Passenger-km)</t>
  </si>
  <si>
    <t>Freight Rail (M Tonne-km)</t>
  </si>
  <si>
    <t>Marine Freight (M Tonne-km)</t>
  </si>
  <si>
    <t>Technology</t>
  </si>
  <si>
    <t>Unit</t>
  </si>
  <si>
    <t>ON</t>
  </si>
  <si>
    <t>*“Off Road” includes vehicles not registered for on-road travel such as ATVs, snowmobiles, golf carts and some military vehicles.</t>
  </si>
  <si>
    <t>Off-road, construction, farm vehicles*</t>
  </si>
  <si>
    <t>Diesel buses</t>
  </si>
  <si>
    <t>Bio-diesel buses</t>
  </si>
  <si>
    <t>Electric buses</t>
  </si>
  <si>
    <t>Natural gas buses</t>
  </si>
  <si>
    <t>Hybrid buses (includes diesel, biodiesel and natural gas)</t>
  </si>
  <si>
    <t>Streetcars</t>
  </si>
  <si>
    <t>Years</t>
  </si>
  <si>
    <t>Mode of transport</t>
  </si>
  <si>
    <t>CAN</t>
  </si>
  <si>
    <t>Diesel</t>
  </si>
  <si>
    <t>Gasoline</t>
  </si>
  <si>
    <t>Heavy railcars (subway)3</t>
  </si>
  <si>
    <t>Commuter railcars (locomotives and passenger)4</t>
  </si>
  <si>
    <t>Light railcars5</t>
  </si>
  <si>
    <t>[1]: Other buses includes battery, fuel cell, trolley and all other types of buses</t>
  </si>
  <si>
    <t>[2]: Includes salt water, open water ferries and river ferries. Excludes ferries that form part of highway system.</t>
  </si>
  <si>
    <t>[3]: Heavy rail (subways) usually operate in tunnels, but may also operate at grade. Includes rail or guided tire based heavy rail (subways).</t>
  </si>
  <si>
    <t>[4]: Commuter rail (locomotive and passenger) link regional centres with outlaying communities and may operate along some of the same corridors and track used by freight and inter-city passenger rail services.</t>
  </si>
  <si>
    <t>[5]: Light rail transit (LRT)/Advanced light rail transit (ALRT): LRT/ALRT usually operates above ground in their own rights-of-way, however, some systems are operated in tunnels and on elevated guideways.</t>
  </si>
  <si>
    <r>
      <t>Other buses</t>
    </r>
    <r>
      <rPr>
        <vertAlign val="superscript"/>
        <sz val="11"/>
        <color theme="1"/>
        <rFont val="Calibri"/>
        <family val="2"/>
        <scheme val="minor"/>
      </rPr>
      <t>1</t>
    </r>
  </si>
  <si>
    <r>
      <t>Ferries</t>
    </r>
    <r>
      <rPr>
        <vertAlign val="superscript"/>
        <sz val="11"/>
        <color theme="1"/>
        <rFont val="Calibri"/>
        <family val="2"/>
        <scheme val="minor"/>
      </rPr>
      <t>2</t>
    </r>
  </si>
  <si>
    <t>Average lifetime in years</t>
  </si>
  <si>
    <t xml:space="preserve">Bus </t>
  </si>
  <si>
    <t>Motorbikes</t>
  </si>
  <si>
    <t>Source</t>
  </si>
  <si>
    <t>Class</t>
  </si>
  <si>
    <t>Car (50% survival rate)</t>
  </si>
  <si>
    <t>(Energy Inovation, 2023) - Canada EPS</t>
  </si>
  <si>
    <t>(Boeing, 2013) - Exhibits 1-3</t>
  </si>
  <si>
    <t>Aircraft (50% survival rate)</t>
  </si>
  <si>
    <t>Rail Freight</t>
  </si>
  <si>
    <t>Marine Freight</t>
  </si>
  <si>
    <t>Vehicle type</t>
  </si>
  <si>
    <t>Battery electric</t>
  </si>
  <si>
    <t>Hybrid electric</t>
  </si>
  <si>
    <t>Plug-in hybrid electric</t>
  </si>
  <si>
    <t>Passenger cars (units)</t>
  </si>
  <si>
    <t>[1]: Total vehicle type excludes buses, trailers, recreational vehicles, motorcycles, snowmobiles, golf carts, etcetera.</t>
  </si>
  <si>
    <t>[2]: Pickup trucks correspond to gross vehicle weight rate (GVWR) ranging from 0-14000lb (for example, classes 1, 2, and 3).</t>
  </si>
  <si>
    <t>[3]: Multi-purpose vehicles include sports utility vehicles (SUVs) and Crossovers.</t>
  </si>
  <si>
    <t>[4]: Vans include all minivans and cargo vans.</t>
  </si>
  <si>
    <t>[5]: Other fuel types include liquid propane, natural gas, hydrogen, etcetera.</t>
  </si>
  <si>
    <t>Multi-purpose vehicles (Light Trucks)</t>
  </si>
  <si>
    <t>Vans (Light Trucks)</t>
  </si>
  <si>
    <t>Pickup Trucks (Light/Medium Trucks)</t>
  </si>
  <si>
    <t>(StatCan, 2023) Table: 20-10-0021-01</t>
  </si>
  <si>
    <t>btkm</t>
  </si>
  <si>
    <t>DQI</t>
  </si>
  <si>
    <t>Reliability</t>
  </si>
  <si>
    <t>Temporal</t>
  </si>
  <si>
    <t>Geographical</t>
  </si>
  <si>
    <t>Technological</t>
  </si>
  <si>
    <t>Representativeness</t>
  </si>
  <si>
    <t>Holland, S. P., Mansur, E. T., Muller, N. Z., &amp; Yates, A. J. (2016). Are There Environmental Benefits from Driving Electric Vehicles? The Importance of Local Factors. American Economic Review, 106(12), 3700–3729. https://doi.org/10.1257/aer.20150897</t>
  </si>
  <si>
    <t>Bahn, O., Marcy, M., Vaillancourt, K., &amp; Waaub, J.-P. (2013). Electrification of the Canadian road transportation sector: A 2050 outlook with TIMES-Canada. Energy Policy, 62, 593–606. https://doi.org/10.1016/j.enpol.2013.07.023</t>
  </si>
  <si>
    <t>Canada Energy Regulator. (2022, July 8). CER – Market Snapshot: Levelized costs of driving EVs and conventional vehicles. https://www.cer-rec.gc.ca/en/data-analysis/energy-markets/market-snapshots/2019/market-snapshot-levelized-costs-driving-evs-conventional-vehicles.html</t>
  </si>
  <si>
    <t>Canada Energy Research Institute. (2017). GHG emissions reductions in Canada through electrification of energy services (No. 162). https://natural-resources.canada.ca/sites/www.nrcan.gc.ca/files/energy/energy-resources/CERI_Study_162_Full_Report.pdf</t>
  </si>
  <si>
    <t>Canada Energy Research Institute. (2022, August 9). CERI Database. https://www.policyschool.ca/ceri-canadian-energy-research-institute/</t>
  </si>
  <si>
    <t>Dodds, P. E., &amp; McDowall, W. (2014). Methodologies for representing the road transport sector in energy system models. International Journal of Hydrogen Energy, 39(5), 2345–2358. https://doi.org/10.1016/j.ijhydene.2013.11.021</t>
  </si>
  <si>
    <t>Environment and Climate Change Canada. (2022, September 27). Marine Emissions Inventory Tool. https://www.canada.ca/en/environment-climate-change/services/managing-pollution/marine-emissions-inventory-tool.html</t>
  </si>
  <si>
    <t>Keller, V., English, J., Fernandez, J., Wade, C., Fowler, M., Scholtysik, S., Palmer-Wilson, K., Donald, J., Robertson, B., Wild, P., Crawford, C., &amp; Rowe, A. (2019). Electrification of road transportation with utility controlled charging: A case study for British Columbia with a 93% renewable electricity target. Applied Energy, 253, 113536. https://doi.org/10.1016/j.apenergy.2019.113536</t>
  </si>
  <si>
    <t>Natural Resources Canada. (2023b). Transportation Sector – Ontario. Government of Canada, Natural Resources Canada. https://oee.nrcan.gc.ca/corporate/statistics/neud/dpa/menus/trends/comprehensive/trends_tran_on.cfm</t>
  </si>
  <si>
    <t>Neniškis, E., Galinis, A., &amp; Norvaiša, E. (2021). Improving Transport Modeling in MESSAGE Energy Planning Model: Vehicle Age Distributions. Energies, 14(21), Article 21. https://doi.org/10.3390/en14217279</t>
  </si>
  <si>
    <t>NREL, Brinkman, G., Bain, D., Buster, G., Draxl, C., Das, P., Ho, J., Ibanez, E., Jones, R., Koebrich, S., Murphy, S., Narwade, V., Novacheck, J., Purkayastha, A., Rossol, M., Sigrin, B., Stephen, G., &amp; Zhang, J. (2021). The North American Renewable Integration Study (NARIS): A Canadian Perspective (NREL/TP-6A20-79225). https://doi.org/10.2172/1804702</t>
  </si>
  <si>
    <t>NREL, Hunter, C., Penev, M., Reznicek, E., Lustbader, J., Birky, A., &amp; Zhang, C. (2021). Spatial and Temporal Analysis of the Total Cost of Ownership for Class 8 Tractors and Class 4 Parcel Delivery Trucks (NREL/TP-5400-71796). https://doi.org/10.2172/1821615</t>
  </si>
  <si>
    <t>NREL, Mai, T. T., Jadun, P., Logan, J. S., McMillan, C. A., Muratori, M., Steinberg, D. C., Vimmerstedt, L. J., Haley, B., Jones, R., &amp; Nelson, B. (2018). Electrification Futures Study: Scenarios of Electric Technology Adoption and Power Consumption for the United States (NREL/TP--6A20-71500). https://doi.org/10.2172/1459351</t>
  </si>
  <si>
    <t>Oak Ridge National Laboratory, Davis, S. C., &amp; Boundy, R. G. (2022). Transportation Energy Data Book: Edition 40 (ORNL/TM-2022/2376). https://tedb.ornl.gov/wp-content/uploads/2022/03/TEDB_Ed_40.pdf</t>
  </si>
  <si>
    <t>Saeid Atabaki, M., Bagheri, M., &amp; Aryanpur, V. (2023). Exploring the role of electrification and modal shift in decarbonizing the road passenger transport in British Columbia. Sustainable Energy Technologies and Assessments, 56, 103070. https://doi.org/10.1016/j.seta.2023.103070</t>
  </si>
  <si>
    <t>Statistics Canada. (2010, July). Canadian Vehicle Survey: Annual Tables. https://www150.statcan.gc.ca/n1/pub/53-223-x/2009000/tablesectlist-listetableauxsect-eng.htm</t>
  </si>
  <si>
    <t>Statistics Canada. (2020, February). Vehicle registrations, by type of vehicle, inactive. https://www150.statcan.gc.ca/t1/tbl1/en/tv.action?pid=2310006701</t>
  </si>
  <si>
    <t>Statistics Canada. (2022a, April). Average expected useful life of new municipally owned public transit assets, by urban and rural, and population size, Infrastructure Canada. https://www150.statcan.gc.ca/t1/tbl1/en/tv.action?pid=3410025501</t>
  </si>
  <si>
    <t>Statistics Canada. (2022b, April). New motor vehicle registrations. https://www150.statcan.gc.ca/t1/tbl1/en/tv.action?pid=2010002101</t>
  </si>
  <si>
    <t>Statistics Canada. (2022c, December 1). Vehicle registrations, by type of vehicle and fuel type. https://www150.statcan.gc.ca/t1/tbl1/en/tv.action?pid=2310030801</t>
  </si>
  <si>
    <t>Statistics Canada. (2023, July). Railway transport survey, inventory of equipment in service summary of regional railways. https://www150.statcan.gc.ca/t1/tbl1/en/tv.action?pid=2310005901</t>
  </si>
  <si>
    <t>Transport Canada. (2020, April). Canadian Civil Aircraft Register. Civil Aviation Web Team (AARAD). https://wwwapps.tc.gc.ca/Saf-Sec-Sur/2/CCARCS-RIACC/SmRp.aspx</t>
  </si>
  <si>
    <t>Vaillancourt, K., Bahn, O., Frenette, E., &amp; Sigvaldason, O. (2017). Exploring deep decarbonization pathways to 2050 for Canada using an optimization energy model framework. Applied Energy, 195, 774–785. https://doi.org/10.1016/j.apenergy.2017.03.104</t>
  </si>
  <si>
    <t>Greene &amp; Leard. (2022). A Statistical Analysis of Trends in Light-duty Vehicle Scrappage and Survival: 2003-2020. Howard H. Baker Jr. Center for Public Policy. https://bakercenterdev.utk.edu/images/20220628%20Vehicle%20Scrappage%20and%20Survival.pdf</t>
  </si>
  <si>
    <t>References</t>
  </si>
  <si>
    <t>*StatCan - Vehicle registrations, by type of vehicle. Table 23-10-0067-01</t>
  </si>
  <si>
    <t>Reference</t>
  </si>
  <si>
    <t>Environmental Protection Agency &amp; Carol Lenox. (2019, September). EPAUS9rT database for use with the TIMES modeling platform. https://cfpub.epa.gov/si/si_public_record_report.cfm?Lab=NRMRL&amp;dirEntryId=346478</t>
  </si>
  <si>
    <t>(EPA, 2019) - EPAUS9rT TRNHDV data</t>
  </si>
  <si>
    <t>Ontario transport fleet sales, stock and activity - NRCan Comprehensive Energy Use Database</t>
  </si>
  <si>
    <t>Ontario transport fleet energy use and GHG emissions - NRCan Comprehensive Energy Use Database</t>
  </si>
  <si>
    <t>Ontario transport fleet energy and emissions intensities - NRCan Comprehensive Energy Use Database</t>
  </si>
  <si>
    <t>Canada transport fleet energy intensities - NRCan Comprehensive Energy Use Database</t>
  </si>
  <si>
    <t>All vehicle types (units) [1]</t>
  </si>
  <si>
    <t>Other fuel types [5]</t>
  </si>
  <si>
    <t>Pickup trucks (units) [2]</t>
  </si>
  <si>
    <t>Multi-purpose vehicles (units) [3]</t>
  </si>
  <si>
    <t>Vans (units) [4]</t>
  </si>
  <si>
    <t>Light Passenger Trucks</t>
  </si>
  <si>
    <t>Light Freight Trucks</t>
  </si>
  <si>
    <t>Total Energy Use (PJ)</t>
  </si>
  <si>
    <t>Energy Use by Transportation Mode (PJ)</t>
  </si>
  <si>
    <t>Passenger Air</t>
  </si>
  <si>
    <t>Freight Air</t>
  </si>
  <si>
    <t>Marine</t>
  </si>
  <si>
    <t>Convert to GGE</t>
  </si>
  <si>
    <t>Convert to DGE</t>
  </si>
  <si>
    <t>gasoline gallon</t>
  </si>
  <si>
    <t>diesel gallon</t>
  </si>
  <si>
    <t>kWh</t>
  </si>
  <si>
    <t>Gaseous Hydrogen (G.H2)</t>
  </si>
  <si>
    <t>H2 kg</t>
  </si>
  <si>
    <t>Biodiesel (B20)</t>
  </si>
  <si>
    <t>B20 gallon</t>
  </si>
  <si>
    <t>Biodiesel (B100)</t>
  </si>
  <si>
    <t>B100 gallon</t>
  </si>
  <si>
    <t>Renewable Diesel (RD20)</t>
  </si>
  <si>
    <t>RD20 gallon</t>
  </si>
  <si>
    <t>Renewable Diesel (RD100)</t>
  </si>
  <si>
    <t>RD100 gallon</t>
  </si>
  <si>
    <t>Ethanol (E85)</t>
  </si>
  <si>
    <t>E85 gallon</t>
  </si>
  <si>
    <t>Propane (LPG)</t>
  </si>
  <si>
    <t>LPG gallon</t>
  </si>
  <si>
    <t>Compressed Natural Gas (CNG)</t>
  </si>
  <si>
    <t>CNG GGE</t>
  </si>
  <si>
    <t>Liquefied Natural Gas (LNG)</t>
  </si>
  <si>
    <t>LNG DGE</t>
  </si>
  <si>
    <t>Fuel</t>
  </si>
  <si>
    <t>Crude oil</t>
  </si>
  <si>
    <t>Gasoline blendstock</t>
  </si>
  <si>
    <t>Gasoline (formerly reformulated gasoline)</t>
  </si>
  <si>
    <t>Low-sulfur diesel</t>
  </si>
  <si>
    <t>Biodiesel (methyl ester)</t>
  </si>
  <si>
    <t>Renewable Diesel II (UOP-HDO)</t>
  </si>
  <si>
    <t>LPG</t>
  </si>
  <si>
    <t>LNG</t>
  </si>
  <si>
    <t>Liquid Hydrogen</t>
  </si>
  <si>
    <t>Natural Gas (per ft3)</t>
  </si>
  <si>
    <t>Gaseous Hydrogen (per ft3)</t>
  </si>
  <si>
    <t>LHV (Btu/gal)</t>
  </si>
  <si>
    <t>HHV (Btu/gal)</t>
  </si>
  <si>
    <t>Biodiesel</t>
  </si>
  <si>
    <t>E85</t>
  </si>
  <si>
    <t>CNG</t>
  </si>
  <si>
    <t>Car</t>
  </si>
  <si>
    <t>Transit Bus</t>
  </si>
  <si>
    <t>SUV</t>
  </si>
  <si>
    <t>B20</t>
  </si>
  <si>
    <t>Vehicle Type</t>
  </si>
  <si>
    <t>BEV</t>
  </si>
  <si>
    <t>Total</t>
  </si>
  <si>
    <t>Type</t>
  </si>
  <si>
    <t>Natural gas</t>
  </si>
  <si>
    <t>CO</t>
  </si>
  <si>
    <t>PM10</t>
  </si>
  <si>
    <t>PM2.5</t>
  </si>
  <si>
    <t>VOC</t>
  </si>
  <si>
    <t>Off-Road</t>
  </si>
  <si>
    <t>gasoline</t>
  </si>
  <si>
    <t>Light Truck</t>
  </si>
  <si>
    <t>Mode</t>
  </si>
  <si>
    <t>Fuel Type</t>
  </si>
  <si>
    <t>School bus</t>
  </si>
  <si>
    <t>Inter-city bus</t>
  </si>
  <si>
    <t>km/mile</t>
  </si>
  <si>
    <t>Class 1 - includes all car vehicle classes.</t>
  </si>
  <si>
    <t>Classes 1 and 2 - vehicles up to 8,500 lb gross weight, inc. pickup trucks, vans and SUVs.</t>
  </si>
  <si>
    <t>Classes 1 and 2 - vehicles up to 8,500 lb gross weight, inc. pickup trucks and vans.</t>
  </si>
  <si>
    <t xml:space="preserve">Class 8 - vehicles of more than 33,000 lbs gross weight. </t>
  </si>
  <si>
    <t xml:space="preserve">Only on-road motor bikes. </t>
  </si>
  <si>
    <t>School and employee bus transportation (NAICS class 485410)</t>
  </si>
  <si>
    <t>Urban Transit Buses</t>
  </si>
  <si>
    <t>Urban transit buses, exc. commuter rails, subways, streetcars.</t>
  </si>
  <si>
    <t>Off-road</t>
  </si>
  <si>
    <t>Off-road (ATVs, snowmobiles, etc), construction, farm vehicles.</t>
  </si>
  <si>
    <t>Exc. non-commercial aviation.</t>
  </si>
  <si>
    <t>Exc. recreative boating, which is part of off-road.</t>
  </si>
  <si>
    <t>GSL, DSL, CNG</t>
  </si>
  <si>
    <t>Lifetime of buses is assumed to be 11 years for CNG fuel type and 13 years for the rest of technologies, sourced from StatCan Table: 34-10-0254-01.
Fuel type distributions are estimated based on the activity per year, calculated with the energy use and efficiencies.</t>
  </si>
  <si>
    <t>Downscaling Source</t>
  </si>
  <si>
    <t>Canada transport fleet activity - NRCan Comprehensive Energy Use Database</t>
  </si>
  <si>
    <t>Quebec</t>
  </si>
  <si>
    <t>Compressed/Liquefied Natural Gas</t>
  </si>
  <si>
    <t>- -</t>
  </si>
  <si>
    <t>Urban transit bus</t>
  </si>
  <si>
    <t>Inter-city Buses</t>
  </si>
  <si>
    <t>Passenger Air Transport (M Passenger-km)*</t>
  </si>
  <si>
    <t>*Exc. Non-commercial activity</t>
  </si>
  <si>
    <t>Canada transport fleet energy use - NRCan Comprehensive Energy Use Database</t>
  </si>
  <si>
    <t>Passenger Rail Energy Use (PJ) - Diesel*</t>
  </si>
  <si>
    <t>Freight Rail Energy Use (PJ) - Diesel*</t>
  </si>
  <si>
    <t>*Rail transportation consumes only diesel fuel oil.</t>
  </si>
  <si>
    <t>Passenger Transportation</t>
  </si>
  <si>
    <t>Freight Transportation</t>
  </si>
  <si>
    <t>Shares (%)</t>
  </si>
  <si>
    <t>Capacity</t>
  </si>
  <si>
    <t>First Year</t>
  </si>
  <si>
    <t>Available</t>
  </si>
  <si>
    <t>LIFE</t>
  </si>
  <si>
    <t>INVCOST</t>
  </si>
  <si>
    <t>FIXOM</t>
  </si>
  <si>
    <t>EFF</t>
  </si>
  <si>
    <t>(M2000$ per demand unit/a)</t>
  </si>
  <si>
    <t>(demand unit/PJ)</t>
  </si>
  <si>
    <t>TAJE</t>
  </si>
  <si>
    <t>Air Jet, Passenger Existing</t>
  </si>
  <si>
    <t>Stock - passenger</t>
  </si>
  <si>
    <t>Jet fuel (naphtha)</t>
  </si>
  <si>
    <t>TAJ</t>
  </si>
  <si>
    <t xml:space="preserve">Air Jet, Passenger </t>
  </si>
  <si>
    <t>Existing Technology - passenger</t>
  </si>
  <si>
    <t>over stock</t>
  </si>
  <si>
    <t>TAJSYN</t>
  </si>
  <si>
    <t>Air Jet, Passenger, Syn fuel</t>
  </si>
  <si>
    <t>Switch to Synthetic Fuel - passenger</t>
  </si>
  <si>
    <t>Synthetic Fuel</t>
  </si>
  <si>
    <t>over base</t>
  </si>
  <si>
    <t>TAJWT</t>
  </si>
  <si>
    <t>Air Jet, Passenger (Wing tips)</t>
  </si>
  <si>
    <t>Wing Tip Device - passenger</t>
  </si>
  <si>
    <t>Switch to Hydrogen Fuel - passenger</t>
  </si>
  <si>
    <t>Hydrogen Fuel</t>
  </si>
  <si>
    <t>TAJAPU</t>
  </si>
  <si>
    <t xml:space="preserve">Air Jet Passeneger (APU) </t>
  </si>
  <si>
    <t>Fuel-cell Auxiliary Power Unit (APU) - passenger</t>
  </si>
  <si>
    <t>TAJBW</t>
  </si>
  <si>
    <t>Air Jet, Passenger(blended wing)</t>
  </si>
  <si>
    <t>Blended Wing Design - passenger</t>
  </si>
  <si>
    <t>TAJAE</t>
  </si>
  <si>
    <t>Air Jet, Passenger (improved aero)</t>
  </si>
  <si>
    <t>Subtle Aerodynamic Improvements - passenger</t>
  </si>
  <si>
    <t>High Bypass Ratio Engine - passenger</t>
  </si>
  <si>
    <t>TAJGE</t>
  </si>
  <si>
    <t>Air Jet Passenger, (geared engine)</t>
  </si>
  <si>
    <t>Geared Jet Engine - passenger</t>
  </si>
  <si>
    <t>Open Rotor Engine (Propfan) - passenger</t>
  </si>
  <si>
    <t>TAPE</t>
  </si>
  <si>
    <t>Airplane, General Aviation, exisiting</t>
  </si>
  <si>
    <t>General aviation  exsiting</t>
  </si>
  <si>
    <t>TAP</t>
  </si>
  <si>
    <t xml:space="preserve">Airplane, General Aviation </t>
  </si>
  <si>
    <t>General aviation  assumed eff improvement</t>
  </si>
  <si>
    <t>Cargo planes</t>
  </si>
  <si>
    <t>Stock - cargo</t>
  </si>
  <si>
    <t>Existing Technology - cargo</t>
  </si>
  <si>
    <t>Switch to Synthetic Fuel - cargo</t>
  </si>
  <si>
    <t>Wing Tip Device - cargo</t>
  </si>
  <si>
    <t>Switch to Hydrogen Fuel - cargo</t>
  </si>
  <si>
    <t>Fuel-cell Auxiliary Power Unit (APU) - cargo</t>
  </si>
  <si>
    <t>Blended Wing Design - cargo</t>
  </si>
  <si>
    <t>Subtle Aerodynamic Improvements - cargo</t>
  </si>
  <si>
    <t>High Bypass Ratio Engine - cargo</t>
  </si>
  <si>
    <t>Geared Jet Engine - cargo</t>
  </si>
  <si>
    <t>Open Rotor Engine (Propfan) - cargo</t>
  </si>
  <si>
    <t>TSDSLE</t>
  </si>
  <si>
    <t>Water Shipping, Diesel exisiting</t>
  </si>
  <si>
    <t>Existing</t>
  </si>
  <si>
    <t>TSDSL10</t>
  </si>
  <si>
    <t>Water Shipping, Diesel Fuel Inj, 2015</t>
  </si>
  <si>
    <t>Fuel Injection Engine Improvements</t>
  </si>
  <si>
    <t>TSDSLFI15</t>
  </si>
  <si>
    <t>Water Shipping, Diesel,2010</t>
  </si>
  <si>
    <t>Common rail</t>
  </si>
  <si>
    <t>TSDSLHE15</t>
  </si>
  <si>
    <t>Water Shipping, Diesel, Hybrid Electric, 2015</t>
  </si>
  <si>
    <t>Diesel Electric</t>
  </si>
  <si>
    <t>TSDSHE</t>
  </si>
  <si>
    <t>Water Shipping, Residual Oil exisiting</t>
  </si>
  <si>
    <t>Exisiting</t>
  </si>
  <si>
    <t>residual</t>
  </si>
  <si>
    <t>TSDSH10</t>
  </si>
  <si>
    <t>Water Shipping, Resid Fuel Inject, 2015</t>
  </si>
  <si>
    <t>Residual</t>
  </si>
  <si>
    <t>TSDSHFI15</t>
  </si>
  <si>
    <t>Water Shipping, Residual Oil, 2010</t>
  </si>
  <si>
    <t>TSDSHBL15</t>
  </si>
  <si>
    <t>Water Shipping, Resid Bubble Lub, 2015</t>
  </si>
  <si>
    <t>Bubble lubrication</t>
  </si>
  <si>
    <t>Emissions</t>
  </si>
  <si>
    <t>2015-2050</t>
  </si>
  <si>
    <t>grams/gross-ton-mile</t>
  </si>
  <si>
    <t>N20</t>
  </si>
  <si>
    <t>Water Shipping, Diesel, New vessels</t>
  </si>
  <si>
    <t>Water Shipping, Residual oil, New vessels</t>
  </si>
  <si>
    <t>These data from projects performed by ERG.</t>
  </si>
  <si>
    <t>BCPM2.5</t>
  </si>
  <si>
    <t>OCPM2.5</t>
  </si>
  <si>
    <r>
      <t xml:space="preserve">Aviation data from worksheet </t>
    </r>
    <r>
      <rPr>
        <i/>
        <sz val="8"/>
        <rFont val="Arial"/>
        <family val="2"/>
      </rPr>
      <t>MARKAL Aviation Cost Calculations 072111</t>
    </r>
  </si>
  <si>
    <t>data sources: EPA (emissions), DOD, FAA, several manufacturers and some trade and journal literature</t>
  </si>
  <si>
    <r>
      <t xml:space="preserve">Shipping data is from worksheet </t>
    </r>
    <r>
      <rPr>
        <i/>
        <sz val="8"/>
        <rFont val="Arial"/>
        <family val="2"/>
      </rPr>
      <t>MARKAL MV 7-22-11</t>
    </r>
  </si>
  <si>
    <t>data sources: EPA reports, ship manufacturers, Swedish Environmental Protection Agency (emission factors)</t>
  </si>
  <si>
    <t>Factors for black carbon and organic carbon from RTI.</t>
  </si>
  <si>
    <t>LDV market share by vehicle class and technology type in Ontario</t>
  </si>
  <si>
    <t>Number of Vessels</t>
  </si>
  <si>
    <t>Dry bulk</t>
  </si>
  <si>
    <t>Ferries</t>
  </si>
  <si>
    <t>General cargo</t>
  </si>
  <si>
    <t>Tankers</t>
  </si>
  <si>
    <t>Type of Vessel</t>
  </si>
  <si>
    <t>Note: Includes self-propelled passenger and cargo vessels with gross tonnage of 1,000 and over, including government-owned ferries. Does not include fishing vessels, platforms, working vessels, tugs, pleasure craft or unclassified vessels.</t>
  </si>
  <si>
    <t>Canadian registered fleet by vessel type - Transportation Data Information Hub, Table M10 Statistical Addendum</t>
  </si>
  <si>
    <t>Gross Tonnage (thousands)</t>
  </si>
  <si>
    <t>Avg. annual fleet retirement</t>
  </si>
  <si>
    <t>Note: 50% survival rate (median vehicle age, after retirement) has been used in several studies and models.</t>
  </si>
  <si>
    <t>Energy Information Administration. (2023). AEO 2023—Transportation Demand Module Assumptions. https://www.eia.gov/outlooks/aeo/assumptions/pdf/TDM_Assumptions.pdf</t>
  </si>
  <si>
    <t>Energy Innovation &amp; Pembina Institute. (2023, June). Canada Energy Policy Simulator v3.4.7. https://docs.energypolicy.solutions/models/canada</t>
  </si>
  <si>
    <t>Statistics Canada. (2022d, December 21). Aircraft movements, by geography, airports with NAV CANADA services and other selected airports, monthly. https://www150.statcan.gc.ca/t1/tbl1/en/tv.action?pid=2310030301</t>
  </si>
  <si>
    <t>Transport Canada. (2021, June 30). Transportation in Canada 2020—Overview Report. Transport Canada. https://tc.canada.ca/en/corporate-services/transparency/corporate-management-reporting/transportation-canada-annual-reports/transportation-canada-2020-overview-report</t>
  </si>
  <si>
    <t>Transport Canada. (2023, August). Transportation Data Information Hub—Addendum Tables. https://tdih-cdit.tc.canada.ca/en/addendum-tables</t>
  </si>
  <si>
    <t>Avg.</t>
  </si>
  <si>
    <t>p</t>
  </si>
  <si>
    <t>d</t>
  </si>
  <si>
    <t>PJ</t>
  </si>
  <si>
    <t>billion tonne-km</t>
  </si>
  <si>
    <t>LH2</t>
  </si>
  <si>
    <t>Liquid hydrogen</t>
  </si>
  <si>
    <t>L/gal</t>
  </si>
  <si>
    <t>HHV-based Conversions</t>
  </si>
  <si>
    <t>Electricity (per kWh)†</t>
  </si>
  <si>
    <t>Btu/kWh†</t>
  </si>
  <si>
    <t>†Not taking into account the generation and distribution efficiencies, approximately 33%. Taking those into account would yield 1 kWh = 10,339 Btu.</t>
  </si>
  <si>
    <t>L/100km to mpg (to be divided)</t>
  </si>
  <si>
    <t>CO2 Emissions (g/km)</t>
  </si>
  <si>
    <t>Vehicle Class</t>
  </si>
  <si>
    <t>MINICOMPACT</t>
  </si>
  <si>
    <t>SUBCOMPACT</t>
  </si>
  <si>
    <t>COMPACT</t>
  </si>
  <si>
    <t>MID-SIZE</t>
  </si>
  <si>
    <t>FULL-SIZE</t>
  </si>
  <si>
    <t>STATION WAGON - SMALL</t>
  </si>
  <si>
    <t>STATION WAGON - MID-SIZE</t>
  </si>
  <si>
    <t>PICKUP TRUCK - SMALL</t>
  </si>
  <si>
    <t>PICKUP TRUCK - STANDARD</t>
  </si>
  <si>
    <t>MINIVAN</t>
  </si>
  <si>
    <t>VAN - CARGO</t>
  </si>
  <si>
    <t>VAN - PASSENGER</t>
  </si>
  <si>
    <t>SUV - SMALL</t>
  </si>
  <si>
    <t>SUV - STANDARD</t>
  </si>
  <si>
    <t>SPECIAL PURPOSE VEHICLE</t>
  </si>
  <si>
    <t>Minicompact</t>
  </si>
  <si>
    <t>Subcompact</t>
  </si>
  <si>
    <t>Compact</t>
  </si>
  <si>
    <t>Mid-size</t>
  </si>
  <si>
    <t>Full-size</t>
  </si>
  <si>
    <t>Station wagon: Small</t>
  </si>
  <si>
    <t>Station wagon: Mid-size</t>
  </si>
  <si>
    <t>Pickup truck: Small</t>
  </si>
  <si>
    <t>Pickup truck: Standard</t>
  </si>
  <si>
    <t>SUV: Small</t>
  </si>
  <si>
    <t>SUV: Standard</t>
  </si>
  <si>
    <t>Minivan</t>
  </si>
  <si>
    <t>Van: Passenger</t>
  </si>
  <si>
    <t>Special purpose vehicle</t>
  </si>
  <si>
    <t>Combined Fuel Economy* (L/100km)</t>
  </si>
  <si>
    <t>Range Class</t>
  </si>
  <si>
    <t>NRCan 2012-2023 Battery Electric Vehicles - Avg. data per class</t>
  </si>
  <si>
    <t>Combined Consumption* (kWh/100km)</t>
  </si>
  <si>
    <t>Gasoline Hybrid</t>
  </si>
  <si>
    <t>NRCan 2005-2009 Fuel Consumption Ratings - Avg. data per class†</t>
  </si>
  <si>
    <t>NRCan 2010-2014 Fuel Consumption Ratings - Avg. data per class†</t>
  </si>
  <si>
    <t>NRCan 2018 Fuel Consumption Ratings - Avg. data per class†</t>
  </si>
  <si>
    <t>NRCan 2023 Fuel Consumption Ratings - Avg. data per class†</t>
  </si>
  <si>
    <t>Range (km)</t>
  </si>
  <si>
    <t>Electricity*</t>
  </si>
  <si>
    <t>Reformulated gasoline</t>
  </si>
  <si>
    <t>100% Low-sulfur Diesel</t>
  </si>
  <si>
    <t>*Fuel to electricity equivalence is based on LHVs, as there is no moisture to evaporate.</t>
  </si>
  <si>
    <t>NRCan 2012-2023 Plug-in Hybrid EVs - Avg. data per class</t>
  </si>
  <si>
    <t>Range Class**</t>
  </si>
  <si>
    <t>NRCan 2020 Fuel Consumption Ratings - Avg. data per class†</t>
  </si>
  <si>
    <t>Btu/gal to PJ/ML</t>
  </si>
  <si>
    <t>Electricity - PJ/M kWh</t>
  </si>
  <si>
    <t>Gasoline - PJ/ML</t>
  </si>
  <si>
    <t>Diesel - PJ/ML</t>
  </si>
  <si>
    <t>E85 - PJ/ML</t>
  </si>
  <si>
    <t>Cars (passengers)</t>
  </si>
  <si>
    <t>Turbo Direct Injection Diesel</t>
  </si>
  <si>
    <t>Plug-in 10 Gasoline Hybrid</t>
  </si>
  <si>
    <t>Plug-in 40 Gasoline Hybrid</t>
  </si>
  <si>
    <t>Ethanol Flex</t>
  </si>
  <si>
    <t>Compressed/Liquefied Natural Gas Bi-Fuel</t>
  </si>
  <si>
    <t>Propane Bi-Fuel</t>
  </si>
  <si>
    <t>100 Mile Electric Vehicle</t>
  </si>
  <si>
    <t>200 Mile Electric Vehicle</t>
  </si>
  <si>
    <t>300 Mile Electric Vehicle</t>
  </si>
  <si>
    <t>Diesel-Electric Hybrid</t>
  </si>
  <si>
    <t>Gasoline-Electric Hybrid</t>
  </si>
  <si>
    <t>Fuel Cell Methanol</t>
  </si>
  <si>
    <t>Fuel Cell Hydrogen</t>
  </si>
  <si>
    <t>Table 51.  New Light-Duty Vehicle Fuel Economy (L/100km)</t>
  </si>
  <si>
    <t xml:space="preserve">  Mini-compact Cars</t>
  </si>
  <si>
    <t xml:space="preserve">  Subcompact Cars</t>
  </si>
  <si>
    <t xml:space="preserve">  Compact Cars</t>
  </si>
  <si>
    <t xml:space="preserve">  Midsize Cars</t>
  </si>
  <si>
    <t xml:space="preserve">  Large Cars</t>
  </si>
  <si>
    <t xml:space="preserve">  Two Seater Cars</t>
  </si>
  <si>
    <t xml:space="preserve">  Small Crossover Cars</t>
  </si>
  <si>
    <t xml:space="preserve">  Large Crossover Cars</t>
  </si>
  <si>
    <t xml:space="preserve">  Small Pickup</t>
  </si>
  <si>
    <t xml:space="preserve">  Large Pickup</t>
  </si>
  <si>
    <t xml:space="preserve">  Small Van</t>
  </si>
  <si>
    <t xml:space="preserve">  Large Van</t>
  </si>
  <si>
    <t xml:space="preserve">  Small Utility</t>
  </si>
  <si>
    <t xml:space="preserve">  Large Utility</t>
  </si>
  <si>
    <t xml:space="preserve">  Small Crossover Trucks</t>
  </si>
  <si>
    <t xml:space="preserve">  Large Crossover Trucks</t>
  </si>
  <si>
    <t>AEO2013</t>
  </si>
  <si>
    <t>AEO2017</t>
  </si>
  <si>
    <t>AEO2023</t>
  </si>
  <si>
    <t>AEO2021</t>
  </si>
  <si>
    <t>BEV (100-mile range)</t>
  </si>
  <si>
    <t>BEV (200-mile range)</t>
  </si>
  <si>
    <t>BEV (300-mile range)</t>
  </si>
  <si>
    <t>PHEV (20-mile range)</t>
  </si>
  <si>
    <t>PHEV (50-mile range)</t>
  </si>
  <si>
    <t>FCEV</t>
  </si>
  <si>
    <t>HEV (Gasoline-only)</t>
  </si>
  <si>
    <t>Table 51.  New Light-Duty Vehicle Fuel Economy (MPGe)</t>
  </si>
  <si>
    <t>Light Trucks (passengers)</t>
  </si>
  <si>
    <t>Light Trucks (tonnes)</t>
  </si>
  <si>
    <t>Heavy Trucks (tonnes)</t>
  </si>
  <si>
    <t>Medium Trucks (tonnes)</t>
  </si>
  <si>
    <t>Motorcycles (passengers)</t>
  </si>
  <si>
    <t>Freight Air Transportation Energy Use (PJ)</t>
  </si>
  <si>
    <t>Class/Technology</t>
  </si>
  <si>
    <t>GREET1_2022</t>
  </si>
  <si>
    <t>AFLEET2023</t>
  </si>
  <si>
    <t>HEV (diesel)</t>
  </si>
  <si>
    <t>Fuel LHV → HHV</t>
  </si>
  <si>
    <t>Diesel - GREET reference values</t>
  </si>
  <si>
    <t>2025
Relative change to diesel</t>
  </si>
  <si>
    <t>2030
Relative change to diesel</t>
  </si>
  <si>
    <t>2035
Relative change to diesel</t>
  </si>
  <si>
    <t>2040
Relative change to diesel</t>
  </si>
  <si>
    <t>2045
Relative change to diesel</t>
  </si>
  <si>
    <t>2050
Relative change to diesel</t>
  </si>
  <si>
    <t>Passenger load factors - TEDB 40 Table 2.13 &amp; NHTS 2017</t>
  </si>
  <si>
    <t>Van</t>
  </si>
  <si>
    <t>Aircraft (domestic)</t>
  </si>
  <si>
    <t>Intercity Rail</t>
  </si>
  <si>
    <t>Transit Rail</t>
  </si>
  <si>
    <t>Commuter Rail</t>
  </si>
  <si>
    <t>Persons/vehicle</t>
  </si>
  <si>
    <t>Name</t>
  </si>
  <si>
    <t>Marine shipping</t>
  </si>
  <si>
    <t>Passenger planes</t>
  </si>
  <si>
    <t>(M2005$ per demand unit/a)</t>
  </si>
  <si>
    <t>Current Fleet</t>
  </si>
  <si>
    <t>Freight</t>
  </si>
  <si>
    <t xml:space="preserve">Engine Improvements - 25% </t>
  </si>
  <si>
    <t>Currently Available</t>
  </si>
  <si>
    <t xml:space="preserve">Engine Improvements - 2015 and 2020 25% </t>
  </si>
  <si>
    <t xml:space="preserve">Engine Improvements - 10% </t>
  </si>
  <si>
    <t xml:space="preserve">Engine Improvements - 2015 and 2020 10% </t>
  </si>
  <si>
    <t>APUs/anti-idling strategies</t>
  </si>
  <si>
    <t xml:space="preserve">Assume engine remanufacturing cost is 1% of capital </t>
  </si>
  <si>
    <t>and there are 6 remanufactures in a life-time</t>
  </si>
  <si>
    <t>2015-2019 Average</t>
  </si>
  <si>
    <t>Petroleum Jetfuel</t>
  </si>
  <si>
    <t>Synthetic Paraffinic Kerosene (SPK)</t>
  </si>
  <si>
    <t>Payload Fuel Energy Intensity
(kJ/kg-km)</t>
  </si>
  <si>
    <t>Single Aisle (SA) - Passenger</t>
  </si>
  <si>
    <t>Small Twin Aisle (STA) - Passenger</t>
  </si>
  <si>
    <t>Large Twin Aisle (LTA) - Passenger</t>
  </si>
  <si>
    <t>Large Quad (LQ) - Passenger</t>
  </si>
  <si>
    <t>Regional Jet (RJ) - Passenger</t>
  </si>
  <si>
    <t>Business Jet (BJ) - Passenger</t>
  </si>
  <si>
    <t>Single Aisle (SA-F) - Freight</t>
  </si>
  <si>
    <t>Small Twin Aisle (STA-F) - Freight</t>
  </si>
  <si>
    <t>Large Twin Aisle (LTA-F) - Freight</t>
  </si>
  <si>
    <t>Large Quad (LQ-F) - Freight</t>
  </si>
  <si>
    <t>CH4 (g/kg-km)</t>
  </si>
  <si>
    <t>N2O (g/kg-km)</t>
  </si>
  <si>
    <t>CO2 (g/kg-km)</t>
  </si>
  <si>
    <t>CO2 with C in VOC and CO (g/kg-km)</t>
  </si>
  <si>
    <t>VOC (g/kg-km)</t>
  </si>
  <si>
    <t>CO (g/kg-km)</t>
  </si>
  <si>
    <t>NOx (g/kg-km)</t>
  </si>
  <si>
    <t>PM10 (g/kg-km)</t>
  </si>
  <si>
    <t>SOx (g/kg-km)</t>
  </si>
  <si>
    <t>BC (g/kg-km)</t>
  </si>
  <si>
    <t>OC (g/kg-km)</t>
  </si>
  <si>
    <t>Passenger Average</t>
  </si>
  <si>
    <t>Freight Average</t>
  </si>
  <si>
    <t>† Average passenger+luggage payload assumed to be 200 lb.</t>
  </si>
  <si>
    <t>lb/kg</t>
  </si>
  <si>
    <t>Bus vehicle class activity estimation in Ontario (bkm)</t>
  </si>
  <si>
    <t>GSL, BEV</t>
  </si>
  <si>
    <t>DSL, H2</t>
  </si>
  <si>
    <t>Existing capacity 
(b-pkm/b-tkm)</t>
  </si>
  <si>
    <t>Fuel types</t>
  </si>
  <si>
    <t>Technology lifetime (years)</t>
  </si>
  <si>
    <t>(NAICS class 485210)</t>
  </si>
  <si>
    <t>Vehicle efficiency
(demand unit/PJ)</t>
  </si>
  <si>
    <t>Market shares
(NRCan EUD)</t>
  </si>
  <si>
    <t>(NRCan EUD)</t>
  </si>
  <si>
    <t>Estimated distance shares
(NRCan EUD)</t>
  </si>
  <si>
    <t>Itinerant aircraft movements
(NRCan EUD)</t>
  </si>
  <si>
    <t>Energy use shares
(NRCan EUD)</t>
  </si>
  <si>
    <t>Activity shares
(NRCan EUD)</t>
  </si>
  <si>
    <t>(CAFE 2022)</t>
  </si>
  <si>
    <t>(Can EPS)</t>
  </si>
  <si>
    <t>(StatsCan)</t>
  </si>
  <si>
    <t>(Boeing)</t>
  </si>
  <si>
    <t>(EPAUS9rT)</t>
  </si>
  <si>
    <t>Demand 
(b-pkm/b-tkm)</t>
  </si>
  <si>
    <t>Variable Costs ($M CAD/demand unit)</t>
  </si>
  <si>
    <t>Transportation fleet techno-economic parameter sources, data geo-resolution and downscaling method</t>
  </si>
  <si>
    <t>US</t>
  </si>
  <si>
    <t>Shipment type</t>
  </si>
  <si>
    <t>Tonne-kilometres</t>
  </si>
  <si>
    <t>[3]: The data value for All shipments" is equal to the sum of domestic and transborder shipments or the sum of local and long distance shipments. The sum may not add up to the total due to rounding."</t>
  </si>
  <si>
    <t>[5]: Domestic shipments are shipments whose origins and destinations are in Canada.</t>
  </si>
  <si>
    <t>[6]: Transborder shipments are shipments whose origins or destinations are in the United States or Mexico.</t>
  </si>
  <si>
    <t>[7]: Local shipments are shipments that are transported less than 25 kilometres.</t>
  </si>
  <si>
    <t xml:space="preserve">[8]: Long distance shipments are shipments that are transported 25 or more kilometres.
</t>
  </si>
  <si>
    <t>[4]: A shipment is a quantity of freight transported by truck from an origin to a destination.</t>
  </si>
  <si>
    <t>Weight per shipment (kg)</t>
  </si>
  <si>
    <t>Distance per shipment (km)</t>
  </si>
  <si>
    <t>Weight (kg)</t>
  </si>
  <si>
    <t>Distance (km)</t>
  </si>
  <si>
    <t>Shipments [4]</t>
  </si>
  <si>
    <t>All shipments [3]</t>
  </si>
  <si>
    <t>Domestic shipments [5]</t>
  </si>
  <si>
    <t>Transborder shipments [6]</t>
  </si>
  <si>
    <t>Local shipments [7]</t>
  </si>
  <si>
    <t>Long distance shipments [8]</t>
  </si>
  <si>
    <t>Trucking commodity industry activity by shipment type - StatCan Table: 23-10-0219-01</t>
  </si>
  <si>
    <t>Average expected useful life of new publicly owned public transit assets in Ontario - StatCan Table: 34-10-0254-01</t>
  </si>
  <si>
    <t>Registration shares
(NRCan EUD)</t>
  </si>
  <si>
    <t>Canada rail fleet stock - Canadian Railway Transport Survey*</t>
  </si>
  <si>
    <t>Investment Costs 
($M CAD/demand unit)</t>
  </si>
  <si>
    <t>Total, road motor vehicle registrations</t>
  </si>
  <si>
    <t>Passenger cars, weighing less than 4,535 kilograms</t>
  </si>
  <si>
    <t>Vans, weighing 4,536 to 11,793 kilograms</t>
  </si>
  <si>
    <t>Other fuel types [4]</t>
  </si>
  <si>
    <t>Multi-purpose vehicles, weighing less than 4,535 kilograms [7]</t>
  </si>
  <si>
    <t>Pickup trucks, weighing less than 4,535 kilograms [8]</t>
  </si>
  <si>
    <t>Vans, weighing less than 4,535 kilograms [9]</t>
  </si>
  <si>
    <t>Other vehicles, weighing less than 4,535 kilograms [10]</t>
  </si>
  <si>
    <t>Multi-purpose vehicles, weighing 4,536 to 11,793 kilograms [7]</t>
  </si>
  <si>
    <t>Pickup trucks, weighing 4,536 to 11,793 kilograms [8]</t>
  </si>
  <si>
    <t>Other vehicles, weighing 4,536 to 11,793 kilograms [10]</t>
  </si>
  <si>
    <t>[1]: Starting with 2017 registration data, a new and improved method to assign vehicle types was used. As a result, comparisons to table 23-10-0067-01 is not recommended.</t>
  </si>
  <si>
    <t>[2]: This table excludes vehicles that were determined to have no Gross Vehicle Weight Rate (GVWR) and/or unknown vehicles types.</t>
  </si>
  <si>
    <t>[3]: This tables excludes trailers and off-road categories such as snowmobiles, golf carts, etcetera.</t>
  </si>
  <si>
    <t>[4]: Other fuel types include liquid propane, natural gas, hydrogen, etcetera.</t>
  </si>
  <si>
    <t>[5]: Weight refers to Gross Vehicle Weight Rating (GVWR) which is the maximum weight a vehicle is designed to carry. Manufacturers set the GVWR.</t>
  </si>
  <si>
    <t>[6]: Light-duty vehicles refer to vehicles with a GVWR less than 4,535 kilograms and includes GVWR classes 1 and 2.</t>
  </si>
  <si>
    <t>[7]: Multi-purpose vehicles include sports utility vehicles (SUVs) and crossovers.</t>
  </si>
  <si>
    <t>[8]: Pickup truck counts can be obtained in two pickup truck categories: weighing less than 4,535 kg (GVWR classes 1 and 2), and in the category weighing between 4,536 kg and 11,793 kg (GVWR class 3).</t>
  </si>
  <si>
    <t>[9]: Vans include all minivans and cargo vans.</t>
  </si>
  <si>
    <t>[10]: Other vehicles include incomplete vehicles that require further manufacturing operations to become a completed vehicle, trucks and/or recreational vehicles.</t>
  </si>
  <si>
    <t>[11]: Medium-duty vehicles refer to vehicles with a GVWR between 4,536 kilograms to 11,793 kilograms and includes GVWR classes 3, 4, 5 and 6.</t>
  </si>
  <si>
    <t>[12]: Heavy-duty vehicles refer to vehicles with a GVWR greater than 11,794 kilograms and includes GVWR classes 7 and 8.</t>
  </si>
  <si>
    <t>*</t>
  </si>
  <si>
    <t>*Suppressed to meet the confidentiality requirements of the Statistics Act.</t>
  </si>
  <si>
    <t>Vehicle registrations by vehicle and fuel type in Ontario - StatCan Table: 23-10-0308-01</t>
  </si>
  <si>
    <t>New motor vehicle registrations by vehicle and fuel type in Ontario - StatCan Table: 20-10-0021-01 &amp; 20-10-0024-02</t>
  </si>
  <si>
    <t>The lifetime of cars, light trucks, and medium trucks is assumed to be 14 and 16 years, respectively. Since the available market shares with fuel type resolution are only available from 2011-2021, the remaining market shares of gasoline vehicles are assumed to remain constant based on the 2011 shares. Diesel is assumed to account for the entire remaining share. MDVs are represented with registered vehicles instead, as only diesel and gasoline fuel types are reported.</t>
  </si>
  <si>
    <t>(StatCan, 2023) Table: 23-10-0308-01</t>
  </si>
  <si>
    <t>Classes 2 to 7 - vehicles from 8,501 to 33,000 lbs gross weight, inc. pickup trucks and vans.</t>
  </si>
  <si>
    <t>Cars - Survival weighted miles</t>
  </si>
  <si>
    <t>(NHTA, 2022) - CAFE model</t>
  </si>
  <si>
    <t>Van, SUV &amp; Pickups (50% survival rate)</t>
  </si>
  <si>
    <t>Class 2b &amp; 3 Trucks (50% survival rate)</t>
  </si>
  <si>
    <t>Van/SUV/Pickup - Survival weighted miles</t>
  </si>
  <si>
    <t>Class 2b/3 - Survival weighted miles</t>
  </si>
  <si>
    <t>(NREL, 2021) - TP/71796</t>
  </si>
  <si>
    <t>Lifetime VMT</t>
  </si>
  <si>
    <t>Vehicle lifetime mileage - NREL/TP-5400-71796, AFLEET2023 &amp; CAFE model</t>
  </si>
  <si>
    <t>(AFLEET, 2023) - Lifetime VMT</t>
  </si>
  <si>
    <t>Vehicle max annual VMT - ANL/ESD-22/6 LDV &amp; MHDV Techno-economic Analysis</t>
  </si>
  <si>
    <t>Cars - NHTSA NPRM 2016</t>
  </si>
  <si>
    <t>SUV/Pickup - NHTSA NPRM 2016</t>
  </si>
  <si>
    <t>(ANL, 2022) - ESD-22/6</t>
  </si>
  <si>
    <t>Max annual VMT (km)</t>
  </si>
  <si>
    <t>Class 4 - max distance (VMT schedules)</t>
  </si>
  <si>
    <t>Transit Bus - max distance (VMT schedules)</t>
  </si>
  <si>
    <t>Transit Bus - est. lifetime VMT</t>
  </si>
  <si>
    <t>Class 6 - max distance (VMT schedules)</t>
  </si>
  <si>
    <t>Class 8 Day/Sleeper Cab - max VMT</t>
  </si>
  <si>
    <t>Class 4/6 - est. lifetime VMT</t>
  </si>
  <si>
    <t>Class 8 - est. lifetime VMT</t>
  </si>
  <si>
    <t>n.a. (PJ)</t>
  </si>
  <si>
    <t>Emission Factors (kton/demand unit)</t>
  </si>
  <si>
    <t>(MOVES4)</t>
  </si>
  <si>
    <t>(GREET 2022)</t>
  </si>
  <si>
    <t>(GREET 2022 + Transport Canada)</t>
  </si>
  <si>
    <t>(OEO)</t>
  </si>
  <si>
    <t>HEV</t>
  </si>
  <si>
    <t>PHEV</t>
  </si>
  <si>
    <t>Class 8 - 500-mile range (miles/dge)</t>
  </si>
  <si>
    <t>Class 8 - 700-mile range (miles/dge)</t>
  </si>
  <si>
    <t>Class 8 - 300-mile range (miles/dge)</t>
  </si>
  <si>
    <t>Class 4 - parcel delivery (miles/dge)</t>
  </si>
  <si>
    <t>Bound</t>
  </si>
  <si>
    <t>Diesel, PHEV, HEV</t>
  </si>
  <si>
    <t>O&amp;M cost estimates of HDV - O&amp;M literature review summary from NREL/TP-5400-71796 Table 5</t>
  </si>
  <si>
    <t>Low</t>
  </si>
  <si>
    <t>Mid</t>
  </si>
  <si>
    <t>High</t>
  </si>
  <si>
    <t>Class 4 - parcel delivery (USD/mile)</t>
  </si>
  <si>
    <t>Class 8 tractor (USD/mile)</t>
  </si>
  <si>
    <t>MSRP of HDV - FASTSim model from NREL/TP-5400-71796 Figure 26-29†</t>
  </si>
  <si>
    <t>† To convert to an MSRP, costs are multiplied by 1.5 to account for price markup and integration into the vehicle powetrain system.</t>
  </si>
  <si>
    <t>Fuel economy projections of HDV - FASTSim model from NREL/TP-5400-71796 Figure 25†</t>
  </si>
  <si>
    <t>† FASTSim models each fuel economy based on input drive cycles along with vehicle specifications (e.g., drag coefficient, vehicle and cargo mass, engine parameters, etc.)</t>
  </si>
  <si>
    <t>Autonomie</t>
  </si>
  <si>
    <t xml:space="preserve">FASTSim </t>
  </si>
  <si>
    <t>(EPA, 2023) - MOVES4 model survival rates</t>
  </si>
  <si>
    <t>Vehicle lifetime (years) - CAFE, MOVES, Energy Policy Simulator &amp; EPA US Times models</t>
  </si>
  <si>
    <t>Heavy-duty Trucks (50% survival rate)*</t>
  </si>
  <si>
    <t>Argonne National Laboratory, Islam, E., Vijayagopal, R., &amp; Rousseau, A. (2022). A Comprehensive Simulation Study to Evaluate Future Vehicle Energy and Cost Reduction Potential (ANL/ESD-22/6). https://vms.taps.anl.gov/research-highlights/u-s-doe-vto-hfto-r-d-benefits/</t>
  </si>
  <si>
    <t>Argonne National Laboratory, Burnham, A., Gohlke, D., Rush, L., Stephens, T., Zhou, Y., Delucchi, M., Birky, A., Hunter, C., Lin, Z., Ou, S., Xie, F., Proctor, C., Wiryadinata, S., Liu, N., &amp; Boloor, M. (2021). Comprehensive Total Cost of Ownership Quantification for Vehicles with Different Size Classes and Powertrains (ANL/ESD-21/4, 1780970, 167399; p. ANL/ESD-21/4, 1780970, 167399). https://doi.org/10.2172/1780970</t>
  </si>
  <si>
    <t>EPA. (2023). Population and Activity of Onroad Vehicles in MOVES4 (EPA-420-R-23-005). https://www.epa.gov/system/files/documents/2023-08/420r23005.pdf</t>
  </si>
  <si>
    <t>NREL, Jadun, P., McMillan, C., Steinberg, D., Muratori, M., Vimmerstedt, L., &amp; Mai, T. (2017). Electrification Futures Study: End-Use Electric Technology Cost and Performance Projections through 2050 (NREL/TP-6A20-70485). https://www.nrel.gov/docs/fy18osti/70485.pdf</t>
  </si>
  <si>
    <t>Median lifetime based on input survival rates of "Heavy-duty trucks" vehicle class from MOVES4 model.</t>
  </si>
  <si>
    <t>Modelling approach</t>
  </si>
  <si>
    <t>NEMS (Transportation Demand Module)</t>
  </si>
  <si>
    <t>Model Characteristic</t>
  </si>
  <si>
    <t>Developer (latest version)</t>
  </si>
  <si>
    <t>EIA (2023)</t>
  </si>
  <si>
    <t>Argonne National Laboratory (2023)</t>
  </si>
  <si>
    <t>NREL (2023)</t>
  </si>
  <si>
    <t>Partial-equilibrium energy-economy model</t>
  </si>
  <si>
    <t>US Cost-performance vehicle simulation tool comparison of relevant characteristics for the CANOE model</t>
  </si>
  <si>
    <t>Vehicle physics-based direct simulation model</t>
  </si>
  <si>
    <t>Factors affecting fuel consumption and cost</t>
  </si>
  <si>
    <t>Flexibility (model configurability)</t>
  </si>
  <si>
    <t xml:space="preserve">Built on </t>
  </si>
  <si>
    <t>FORTRAN</t>
  </si>
  <si>
    <t>Python/Excel (until 2018)</t>
  </si>
  <si>
    <t>Technical support</t>
  </si>
  <si>
    <t>nemsmodel@eia.gov</t>
  </si>
  <si>
    <t>autonomie-​help@​anl.gov</t>
  </si>
  <si>
    <t>MATLAB/Simulink</t>
  </si>
  <si>
    <t>Usability</t>
  </si>
  <si>
    <t>Full configurability, +100 vehicle specifications</t>
  </si>
  <si>
    <t>Limited configurability, technology specifications have limited documentation</t>
  </si>
  <si>
    <t>Full configurability, limited to 53 vehicle specifications</t>
  </si>
  <si>
    <t>Publicly available (requires licensed software)</t>
  </si>
  <si>
    <t xml:space="preserve">Open-source </t>
  </si>
  <si>
    <t>No official support</t>
  </si>
  <si>
    <t>*Technology penetration
*Consumer preference for performance
*Vehicle market shares
*Current fuel economy and emission standards
*Exogenous incremental adjustment factors
*Vehicle weight</t>
  </si>
  <si>
    <t>Vehicle physical specifications (e.g., weight, drag coefficient, performance, efficiency curve, etc.) and driver behavior (e.g., drive cycle, VMT).</t>
  </si>
  <si>
    <t>US region-specificity</t>
  </si>
  <si>
    <t>Highly specific to the US regulatory and economic context; CAFE standards are incorporated (with penalties) into cost-effectiveness calculations.</t>
  </si>
  <si>
    <t>Follow CAFE standards (wherein fuel economy improvements were derived from Autonomie), modelled through 2026, after 2027 no standards are enforced, though improvements still possible.</t>
  </si>
  <si>
    <t>Analysis projections are aligned with expected OEM improvements and DOE-VTO technology goals.</t>
  </si>
  <si>
    <t>Hunter et al. (2021) - MHDV-only TCO analysis, includes sensitivity analysis on main TCO parameters.</t>
  </si>
  <si>
    <t>Islam et al. (2022) - low uncertainty (BAU OEM improvements) and high uncertainty (DOE-VTO technology goals).</t>
  </si>
  <si>
    <t>AEO 2023 - reference case &amp; IRA cases (no-IRA, low IRA uptake, and high IRA uptake).</t>
  </si>
  <si>
    <t>Analysis projections are aligned with DOE-VTO technology goals and an independent literature review.</t>
  </si>
  <si>
    <t xml:space="preserve">The AEO is widely used across the energy system modelling community. </t>
  </si>
  <si>
    <t>Analysis projections do not explicitly incorporate CAFE standards. Fuel economy improvements are assumed to continue through 2050.</t>
  </si>
  <si>
    <t>Overview</t>
  </si>
  <si>
    <t xml:space="preserve">FASTSim is a simpler and faster alternative to Autonomie, to quickly evaluate a large number of simple vehicle configurations. </t>
  </si>
  <si>
    <t>The NEMS is a robust simulation model that incorporates macroeconomic feedback, with limited adaptability and usability.</t>
  </si>
  <si>
    <t>Model validation/relevance</t>
  </si>
  <si>
    <t>Autonomie is a comprehensive vehicle system simulation tool used to assess energy consumption and cost of advanced powertrain technologies.</t>
  </si>
  <si>
    <t>(Autonomie, from Islam et al., 2022)</t>
  </si>
  <si>
    <t xml:space="preserve">Endorsed by the DOE; FASTSim has been validated for MHDVs against Autonomie and real-world empirical data in Hunter et al. (2021). </t>
  </si>
  <si>
    <t>Endorsed by the DOE; validated by numerous industry, academia, and government experts; with over 175 companies, suppliers, and research entities in its user base.
Autonomie ANL-DOE model results for efficiency and cost improvements are used in the latest versions of GREET, AFLEET, CAFE, MOVES, and the ATB.</t>
  </si>
  <si>
    <t xml:space="preserve">Most recent available projections and side-scenarios </t>
  </si>
  <si>
    <t>Relation with CAFE Standards</t>
  </si>
  <si>
    <t>Mass</t>
  </si>
  <si>
    <t>1 g</t>
  </si>
  <si>
    <t>1 kg</t>
  </si>
  <si>
    <t>1 metric tonne</t>
  </si>
  <si>
    <t>1 lb</t>
  </si>
  <si>
    <t>1 short ton</t>
  </si>
  <si>
    <t>g</t>
  </si>
  <si>
    <t>kg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</si>
  <si>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</si>
  <si>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</si>
  <si>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</si>
  <si>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</si>
  <si>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</si>
  <si>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</si>
  <si>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</si>
  <si>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</si>
  <si>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</si>
  <si>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</si>
  <si>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</si>
  <si>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</si>
  <si>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</si>
  <si>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</si>
  <si>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</si>
  <si>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</si>
  <si>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</si>
  <si>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</si>
  <si>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</si>
  <si>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</si>
  <si>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</si>
  <si>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</si>
  <si>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</si>
  <si>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</si>
  <si>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</si>
  <si>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</si>
  <si>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</si>
  <si>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BTU</t>
  </si>
  <si>
    <t>mmBTU</t>
  </si>
  <si>
    <t>hph</t>
  </si>
  <si>
    <t>Length</t>
  </si>
  <si>
    <t>mm</t>
  </si>
  <si>
    <t>m</t>
  </si>
  <si>
    <t>km</t>
  </si>
  <si>
    <t>ft</t>
  </si>
  <si>
    <t>mi</t>
  </si>
  <si>
    <t>Unit Conversions - selected from tables</t>
  </si>
  <si>
    <t>Vehicle Powertrain</t>
  </si>
  <si>
    <t>FC System Cost</t>
  </si>
  <si>
    <t>Starter Cost</t>
  </si>
  <si>
    <t>CI</t>
  </si>
  <si>
    <t>H2</t>
  </si>
  <si>
    <t>GHGs</t>
  </si>
  <si>
    <t>SOx</t>
  </si>
  <si>
    <t>BC</t>
  </si>
  <si>
    <t>OC</t>
  </si>
  <si>
    <t>Vehicle Year</t>
  </si>
  <si>
    <t>Tech. progress</t>
  </si>
  <si>
    <t>MDHD Class</t>
  </si>
  <si>
    <t>Generator Cost</t>
  </si>
  <si>
    <t>Conv</t>
  </si>
  <si>
    <t>Box</t>
  </si>
  <si>
    <t>ParHEV</t>
  </si>
  <si>
    <t>SeriesPHEV</t>
  </si>
  <si>
    <t>School</t>
  </si>
  <si>
    <t>StepVan</t>
  </si>
  <si>
    <t>Longhaul</t>
  </si>
  <si>
    <t>Drayage</t>
  </si>
  <si>
    <t>Transit</t>
  </si>
  <si>
    <t>Regional</t>
  </si>
  <si>
    <t>Manufacturing costs - low uncertainty case</t>
  </si>
  <si>
    <t>Charge efficiency (kWh/100km)</t>
  </si>
  <si>
    <t>Fuel efficiency
(PJ/bkm)</t>
  </si>
  <si>
    <t>Charge efficiency
(PJ/bkm)</t>
  </si>
  <si>
    <t>Fuel + Charge (PJ/bkm)</t>
  </si>
  <si>
    <t>% Fuel</t>
  </si>
  <si>
    <t>% Charge</t>
  </si>
  <si>
    <t>2040†</t>
  </si>
  <si>
    <t>2045†</t>
  </si>
  <si>
    <t>Change (2020-2050)</t>
  </si>
  <si>
    <t>Growth (2023-2050)</t>
  </si>
  <si>
    <t>Vehicle manufacturing costs 
($ 2020CAD)</t>
  </si>
  <si>
    <t>PHEV
Avg. % Fuel Consumption</t>
  </si>
  <si>
    <t>FCHEV</t>
  </si>
  <si>
    <t>Pickup</t>
  </si>
  <si>
    <t>Service</t>
  </si>
  <si>
    <t>Utility</t>
  </si>
  <si>
    <t>Construction</t>
  </si>
  <si>
    <t>Tractor</t>
  </si>
  <si>
    <t>Vocational</t>
  </si>
  <si>
    <t>Beverage</t>
  </si>
  <si>
    <t>Refuse</t>
  </si>
  <si>
    <t>Total, vehicles weighing less than 4,535 kilograms (Class 1-2) [5][6]</t>
  </si>
  <si>
    <t>Total, vehicles weighing 4,536 to 11,793 kilograms (Class 3-6) [5][11]</t>
  </si>
  <si>
    <t>Total, vehicles weighing 11,794 kilograms or more (Class 7-8) [5][12]</t>
  </si>
  <si>
    <t>Natural Resources Canada. (2023a). Fuel consumption ratings. https://open.canada.ca/data/en/dataset/98f1a129-f628-4ce4-b24d-6f16bf24dd64</t>
  </si>
  <si>
    <t>k units</t>
  </si>
  <si>
    <t>Linear retirement</t>
  </si>
  <si>
    <t>2020
Avg. Fuel Economy (mpgde)</t>
  </si>
  <si>
    <t>AFLEET 2023 &amp; GREET 2022 Fuel-Cycle Models - Avg. Fuel Economy (Lde/100km)</t>
  </si>
  <si>
    <t>Inter-city bus†</t>
  </si>
  <si>
    <t>†Efficiency changes and the remaining fuel type change %s relative to diesel were taken directly from the transit bus estimates.</t>
  </si>
  <si>
    <t>Freight airplane</t>
  </si>
  <si>
    <t>Passenger airplane</t>
  </si>
  <si>
    <t>Passenger rail</t>
  </si>
  <si>
    <t>Freight rail</t>
  </si>
  <si>
    <t>Marine freight - MDO</t>
  </si>
  <si>
    <t>Marine freight - HFO</t>
  </si>
  <si>
    <t>GREET 2022 Fuel-Cycle Model - Default Jet Plane Energy Intensities and Emission Factors†</t>
  </si>
  <si>
    <t>SPK50 (50/50 w/petroleum jetfuel)</t>
  </si>
  <si>
    <t>Pre-defined Bulk Vessel, Domestic Travel, Great Lakes</t>
  </si>
  <si>
    <t>Selected Trip</t>
  </si>
  <si>
    <t>HFO (0.1% sulphur)
Energy intensity
(MJ/M tonne-km)</t>
  </si>
  <si>
    <t>MDO (0.1% sulphur)
Energy intensity
(MJ/M tonne-km)</t>
  </si>
  <si>
    <t>Pre-defined Tanker Vessel, Domestic Travel, Great Lakes</t>
  </si>
  <si>
    <t>AFLEET 2023 &amp; GREET 2022 Fuel-Cycle Models - Default Bus Classes Fuel Economies and Load Factors</t>
  </si>
  <si>
    <t>Freight - Diesel</t>
  </si>
  <si>
    <t>Intercity - additive</t>
  </si>
  <si>
    <t>LHV to HHV Diesel</t>
  </si>
  <si>
    <t>GREET 2020 Fuel-Cycle Model - Default Rail Energy Intensities (LHV Btu/passenger-mile or ton-mile)</t>
  </si>
  <si>
    <t>Annual change %</t>
  </si>
  <si>
    <t>GREET 2022 Fuel-Cycle Model - Energy consumption ratio by fuel type relative to diesel in locomotive operation</t>
  </si>
  <si>
    <t>Locomotive operation</t>
  </si>
  <si>
    <t>Hydrogen</t>
  </si>
  <si>
    <t>Line Haul</t>
  </si>
  <si>
    <t>Switcher</t>
  </si>
  <si>
    <t>Commuter Passenger</t>
  </si>
  <si>
    <t>Intercity Passenger</t>
  </si>
  <si>
    <t>GREET 2020 Fuel-Cycle Model - Avg. Rail Energy Intensities (HHV Btu/passenger-mile or ton-mile)†</t>
  </si>
  <si>
    <t>Intercity</t>
  </si>
  <si>
    <t>Open Energy Outlook 2022 - Marine freight energy intensities (btm/PJ)</t>
  </si>
  <si>
    <t>Vessel type</t>
  </si>
  <si>
    <t>Container</t>
  </si>
  <si>
    <t>MGO</t>
  </si>
  <si>
    <t>RFO</t>
  </si>
  <si>
    <t>Liquid bulk (tanker)</t>
  </si>
  <si>
    <t>Bulk vessel</t>
  </si>
  <si>
    <t>Tanker vessel</t>
  </si>
  <si>
    <t>Load Factor (passengers)</t>
  </si>
  <si>
    <t>GREET 2022 Fuel-Cycle Model - Avg. Marine freight energy intensities (PJ/btkm)†</t>
  </si>
  <si>
    <t>Open Energy Outlook 2022 - Marine freight energy intensities (change %s)</t>
  </si>
  <si>
    <t>†Future intensity changes are based on change rates from the OEO marine freight projections, which uses a constant 5.3% annual rate.</t>
  </si>
  <si>
    <t>HHV/LHV ratio</t>
  </si>
  <si>
    <t>Energy Information Administration. (2023). Annual Energy Outlook 2023—Table 49: Freight Transportation Energy Use. https://www.eia.gov/outlooks/aeo/data/browser/#/?id=58-AEO2023&amp;cases=ref2023&amp;sourcekey=0</t>
  </si>
  <si>
    <t>Class 8 - 700-mile range (k 2021USD)</t>
  </si>
  <si>
    <t>Class 8 - 500-mile range (k 2021USD)</t>
  </si>
  <si>
    <t>Class 8 - 300-mile range (k 2021USD)</t>
  </si>
  <si>
    <t>Class 4 - parcel delivery (k 2021USD)</t>
  </si>
  <si>
    <t>2020USD to 2020CAD</t>
  </si>
  <si>
    <t>Year</t>
  </si>
  <si>
    <t>Avg. annual inflation rate (%)</t>
  </si>
  <si>
    <t>All-items product group CPI</t>
  </si>
  <si>
    <t>Argonne National Laboratory, Wang, M., Elgowainy, A., Lee, U., Baek, K. H., Bafana, A., Benavides, P. T., Burnham, A., Cai, H., Cappello, V., Chen, P., Gan, Y., Gracida-Alvarez, U. R., Hawkins, T. R., Iyer, R. K., Kelly, J. C., Kim, T., Kumar, S., Kwon, H., … Zaimes, G. (2023). GREET 1 Series (Fuel-Cycle Model) 2022 rev1. https://doi.org/10.11578/GREET-Excel-2022/dc.20220908.1</t>
  </si>
  <si>
    <t>Argonne National Laboratory, Wang, M., Elgowainy, A., Lee, U., Bafana, A., Benavides, P. T., Burnham, A., Cai, H., Dai, Q., Gracida, U., Hawkins, T. R., Jaquez, P. V., Kelly, J. C., Kwon, H., Liu, X., Lu, Z., Ou, L., Sun, P., Winjobi, O., … Zang, G. (2021). GREET 1 Series (Fuel-Cycle Model) 2020 rev1. https://doi.org/10.11578/GREET-Excel-2020/dc.20200912.1</t>
  </si>
  <si>
    <t xml:space="preserve">†Energy intensities were converted to HHVs; 2045-2050 years were extrapolated based on % annual change. Hydrogen and LNG fuel alternative locomotives are based on energy consumption ratios from the GREET model, introduced in the year 2030 and 2025, respectively, as the OEO model does. </t>
  </si>
  <si>
    <t>LNG*</t>
  </si>
  <si>
    <t>*LNG fuel consumption ratio is taken from GREET2020 rev1 model.</t>
  </si>
  <si>
    <t>Cargo</t>
  </si>
  <si>
    <t>Dry Bulk</t>
  </si>
  <si>
    <t>Ferry/Ro-Ro</t>
  </si>
  <si>
    <t>Fishing</t>
  </si>
  <si>
    <t>Government/Research</t>
  </si>
  <si>
    <t>Others/Special Ships</t>
  </si>
  <si>
    <t>Passenger/Cruise</t>
  </si>
  <si>
    <t>Pleasure Vessels</t>
  </si>
  <si>
    <t>Tugs/Port</t>
  </si>
  <si>
    <t>Number of nautical miles sailed [2]</t>
  </si>
  <si>
    <t>Number of transits [1]</t>
  </si>
  <si>
    <t>Vessel trips in Canadian waters - Transportation Data Information Hub, Table M11 Statistical Addendum</t>
  </si>
  <si>
    <t>[1]: Transits are based on fused terrestrial and satellite Automatic Identification System (AIS) data processed and analyzed by Transport Canada.</t>
  </si>
  <si>
    <t>[2]: The number of nautical miles sailed are based on fused terrestrial and satellite Automatic Identification System (AIS) data processed and analyzed by Transport Canada.</t>
  </si>
  <si>
    <t>Belledune</t>
  </si>
  <si>
    <t>Halifax</t>
  </si>
  <si>
    <t>Montreal</t>
  </si>
  <si>
    <t>Nanaimo</t>
  </si>
  <si>
    <t>Port Alberni</t>
  </si>
  <si>
    <t>Prince Rupert</t>
  </si>
  <si>
    <t>Saguenay</t>
  </si>
  <si>
    <t>Saint John</t>
  </si>
  <si>
    <t>Sept-Iles</t>
  </si>
  <si>
    <t>St-John's</t>
  </si>
  <si>
    <t>Thunder Bay</t>
  </si>
  <si>
    <t>Toronto</t>
  </si>
  <si>
    <t xml:space="preserve">Total </t>
  </si>
  <si>
    <t>Vancouver-Fraser</t>
  </si>
  <si>
    <t>Windsor</t>
  </si>
  <si>
    <t>Trois Rivieres</t>
  </si>
  <si>
    <t>Hamilton-Oshawa</t>
  </si>
  <si>
    <t>Port Authority</t>
  </si>
  <si>
    <t>Cargo handled by Canada Port Authorities (millions of tonnes) - Transportation Data Information Hub, Table M17 Statistical Addendum</t>
  </si>
  <si>
    <t>Great Lakes Region Total (Ontario)</t>
  </si>
  <si>
    <t>Distillate</t>
  </si>
  <si>
    <t>bulk carrier</t>
  </si>
  <si>
    <t>chemical tanker</t>
  </si>
  <si>
    <t>container</t>
  </si>
  <si>
    <t>cruise</t>
  </si>
  <si>
    <t>ferry-pax only</t>
  </si>
  <si>
    <t>ferry-ropax</t>
  </si>
  <si>
    <t>general cargo</t>
  </si>
  <si>
    <t>miscellaneous-fishing</t>
  </si>
  <si>
    <t>miscellaneous-other</t>
  </si>
  <si>
    <t>offshore</t>
  </si>
  <si>
    <t>oil tanker</t>
  </si>
  <si>
    <t>ro-ro</t>
  </si>
  <si>
    <t>service-other</t>
  </si>
  <si>
    <t>service-tug</t>
  </si>
  <si>
    <t>yacht</t>
  </si>
  <si>
    <t>Grand Total</t>
  </si>
  <si>
    <t>Fuel consumption in tonnes by type of vessel in the Great Lakes Region - ICCT Briefing, Great Lakes-St Lawrence Seaway Ship Emissions Inventory, 2019</t>
  </si>
  <si>
    <t>Share of total</t>
  </si>
  <si>
    <t>Fuel consumption in tonnes by type of vessel in the St. Lawrence Seaway Region - ICCT Briefing, Great Lakes-St Lawrence Seaway Ship Emissions Inventory, 2019</t>
  </si>
  <si>
    <t>Share of total (freight-only)</t>
  </si>
  <si>
    <t>Tug Boat</t>
  </si>
  <si>
    <t>Number of identified vessels operating in the Great Lakes Region - ICCT Briefing, Great Lakes-St Lawrence Seaway Ship Emissions Inventory, 2019</t>
  </si>
  <si>
    <t>Bulk carrier</t>
  </si>
  <si>
    <t>Chemical tanker</t>
  </si>
  <si>
    <t>Ferry-ropax</t>
  </si>
  <si>
    <t>Oil tanker</t>
  </si>
  <si>
    <t>Service-tug</t>
  </si>
  <si>
    <t>All other ship types</t>
  </si>
  <si>
    <t>Number of identified Canadian vessels operating in the St. Lawrence Seaway Region - ICCT Briefing, Great Lakes-St Lawrence Seaway Ship Emissions Inventory, 2019</t>
  </si>
  <si>
    <t>Full voyage energy efficiency of Great Lakes-Seaway System operating vessels - Great Lakes-St. Lawrence System, Research and Traffic Group report, Table 9</t>
  </si>
  <si>
    <t>Fuel efficiency</t>
  </si>
  <si>
    <t>Full voyage, adjusted aux. power during hotel*</t>
  </si>
  <si>
    <t>*Adjusted auxiliary power excludes self-unloading power and reduces hotel power by 10% while at port.</t>
  </si>
  <si>
    <t>Tonne-km/liter</t>
  </si>
  <si>
    <t>Great Lakes St. Lawrence Seaway Development Corporation. (2013). Environmental and Social Impacts of Marine Transport. Prepared by: Research and Traffic Group. https://greatlakes-seaway.com/wp-content/uploads/2019/10/Impacts-Full_En.pdf</t>
  </si>
  <si>
    <t>GREET 2022 Fuel-Cycle Model - Marine module selected trip energy intensities, based on trip details from ECCC Marine Emissions Inventory Tool (MEIT) in Ontario and fuel use by type of vessel in the Great Lakes region (ICCT, 2019)†</t>
  </si>
  <si>
    <t>M tonne-km per trip (GREET default)</t>
  </si>
  <si>
    <t>Tug Boats (OEO, 2022)</t>
  </si>
  <si>
    <t xml:space="preserve">†The Marine module allows for trip detail configuration, based on MEIT provintial trip information of the Ontario region, the trip characteristics closest to Ontario's trip information were selected with pre-defined estimates, then averaged based on fuel use share in the Great Lakes Region. Tug boat energy intensities taken from OEO 2022, using MGO to MDO conversion ratios. </t>
  </si>
  <si>
    <t>Tug boat</t>
  </si>
  <si>
    <t>Domestic marine freight activity by type in Canada - Transportation Data and Information Hub, North American Transportation Statistics, Table 5-2</t>
  </si>
  <si>
    <t>Coastal shipping</t>
  </si>
  <si>
    <t>Great Lakes</t>
  </si>
  <si>
    <t>Type (bn tonne-km)</t>
  </si>
  <si>
    <t>Inland waterways</t>
  </si>
  <si>
    <t>Marine freight</t>
  </si>
  <si>
    <t>Bulk</t>
  </si>
  <si>
    <t>Tanker</t>
  </si>
  <si>
    <t>Canadian</t>
  </si>
  <si>
    <t>Activity from HFO use
(bn tonne-km)</t>
  </si>
  <si>
    <t>Activity from MDO use
(bn tonne-km)</t>
  </si>
  <si>
    <t>Distillate fuel use from Canadian vessels (PJ)</t>
  </si>
  <si>
    <t>Residual fuel use from Canadian vessels (PJ)</t>
  </si>
  <si>
    <t>Share of activity</t>
  </si>
  <si>
    <t>Estimation of marine freight activity by Canadian vessel type in Great Lakes, 2019</t>
  </si>
  <si>
    <t>DME</t>
  </si>
  <si>
    <t>FTD</t>
  </si>
  <si>
    <t>Renewable Diesel</t>
  </si>
  <si>
    <t>LNG (MJ/M tonne-km)</t>
  </si>
  <si>
    <t>Total activity (bn tonne-km)</t>
  </si>
  <si>
    <t>Marine freight - LNG</t>
  </si>
  <si>
    <t>2005</t>
  </si>
  <si>
    <t>2006</t>
  </si>
  <si>
    <t>2007</t>
  </si>
  <si>
    <t>2008</t>
  </si>
  <si>
    <t>2009</t>
  </si>
  <si>
    <t>2010</t>
  </si>
  <si>
    <t>2011</t>
  </si>
  <si>
    <t>2012</t>
  </si>
  <si>
    <t>2013</t>
  </si>
  <si>
    <t>2014</t>
  </si>
  <si>
    <t>2015</t>
  </si>
  <si>
    <t>2016</t>
  </si>
  <si>
    <t>2017</t>
  </si>
  <si>
    <t>2018</t>
  </si>
  <si>
    <t>2019</t>
  </si>
  <si>
    <t>2020</t>
  </si>
  <si>
    <t>2025</t>
  </si>
  <si>
    <t>2030</t>
  </si>
  <si>
    <t>2035</t>
  </si>
  <si>
    <t>2040</t>
  </si>
  <si>
    <t>2045</t>
  </si>
  <si>
    <t>2050</t>
  </si>
  <si>
    <t>Real Gross Domestic Product ($2012 Millions)</t>
  </si>
  <si>
    <t>Population (thousands)</t>
  </si>
  <si>
    <t>Gross Domestic Product Deflator (2012=100)</t>
  </si>
  <si>
    <t>Consumer Price Index (2002=100)</t>
  </si>
  <si>
    <t>Indicator</t>
  </si>
  <si>
    <t>Canada Energy Regulator - Canada's Energy Future 2021 Data Appendices, Macro Indicators from ON, Current Policies Scenario</t>
  </si>
  <si>
    <t>Canada Energy Regulator - Canada's Energy Future 2021 Data Appendices, Macro Indicators from ON, Evolving Policies Scenario</t>
  </si>
  <si>
    <t>Size class</t>
  </si>
  <si>
    <t>Medium</t>
  </si>
  <si>
    <t>Dunsky Energy &amp; Climate. (2022). Updated Projections of Canada’s Public Charging Infrastructure Needs. Natural Resources Canada. https://natural-resources.canada.ca/energy-efficiency/transportation-alternative-fuels/resource-library/updated-projections-canadas-public-charging-infrastructure-needs/24504</t>
  </si>
  <si>
    <t>Class 3</t>
  </si>
  <si>
    <t>Class 4</t>
  </si>
  <si>
    <t>Class 5</t>
  </si>
  <si>
    <t>Class 6</t>
  </si>
  <si>
    <t>Class 7</t>
  </si>
  <si>
    <t>Class 8</t>
  </si>
  <si>
    <t>Medium-duty</t>
  </si>
  <si>
    <t>Two-seater</t>
  </si>
  <si>
    <t>Yeh, S., Gil, J., Kyle, P., Kishimoto, P., Cazzola, P., Craglia, M., Edelenbosch, O., Fragkos, P., Fulton, L., Liao, Y., Martinez, L., McCollum, D. L., Miller, J., Pereira, R. H. M., &amp; Teter, J. (2022). Improving future travel demand projections: A pathway with an open science interdisciplinary approach. Progress in Energy, 4(4), 043002. https://doi.org/10.1088/2516-1083/ac86b5</t>
  </si>
  <si>
    <t>GDP growth</t>
  </si>
  <si>
    <t>Population growth</t>
  </si>
  <si>
    <t>Avg. Exchange Rates, inflated to real CAD - Bank of Canada</t>
  </si>
  <si>
    <t>Vocation Type</t>
  </si>
  <si>
    <t>MOVES Category</t>
  </si>
  <si>
    <t>Long Haul Freight Truck</t>
  </si>
  <si>
    <t>Combination Long-Haul Truck</t>
  </si>
  <si>
    <t>Regional Haul Freight Truck</t>
  </si>
  <si>
    <t>Combination Short-Haul Truck</t>
  </si>
  <si>
    <t>Delivery Straight Truck</t>
  </si>
  <si>
    <t>Single Unit Long-Haul Truck</t>
  </si>
  <si>
    <t>Delivery Step Van</t>
  </si>
  <si>
    <t>Single Unit Short-Haul Truck</t>
  </si>
  <si>
    <t>Dump Truck</t>
  </si>
  <si>
    <t>Bucket/Aerial Truck</t>
  </si>
  <si>
    <t>Snow Plow/Sander</t>
  </si>
  <si>
    <t>Sewer Cleaner</t>
  </si>
  <si>
    <t>Street Sweeper</t>
  </si>
  <si>
    <t>Fire Truck</t>
  </si>
  <si>
    <t>Refuse Truck</t>
  </si>
  <si>
    <t>Shuttle/Paratransit Bus</t>
  </si>
  <si>
    <t>Medium-Duty Pickup Truck</t>
  </si>
  <si>
    <t>Light Commercial Truck</t>
  </si>
  <si>
    <t>Utility Cargo Van</t>
  </si>
  <si>
    <t>Shuttle/Paratransit Van</t>
  </si>
  <si>
    <t>Ambulance</t>
  </si>
  <si>
    <t>Tow Truck</t>
  </si>
  <si>
    <t>B100</t>
  </si>
  <si>
    <t>Gasoline HEV</t>
  </si>
  <si>
    <t>Gasoline PHEV</t>
  </si>
  <si>
    <t>Diesel HEV</t>
  </si>
  <si>
    <t>Gasoline PHEV-ER</t>
  </si>
  <si>
    <t>Vehicle purchase price (2021 USD)</t>
  </si>
  <si>
    <t>Maintainance &amp; repair costs - year 1, for TCO (2021 USD/mile)</t>
  </si>
  <si>
    <t>AFLEET 2023 - Default vehicle price and M&amp;R costs per vehicle class and fuel type</t>
  </si>
  <si>
    <t xml:space="preserve">Burhe &amp; Sinha, 2020 - Ownership costs of buses and MHDV trucks </t>
  </si>
  <si>
    <t>Burke, A., &amp; Sinha, A. K. (2020). Technology, Sustainability, and Marketing of Battery Electric and Hydrogen Fuel Cell Medium-Duty and Heavy-Duty Trucks and Buses in 2020-2040. https://doi.org/10.7922/G2H993FJ</t>
  </si>
  <si>
    <t>Range (miles)</t>
  </si>
  <si>
    <t>DSL</t>
  </si>
  <si>
    <t>City delivery truck</t>
  </si>
  <si>
    <t>Energy capacity (kWh or kgH2)</t>
  </si>
  <si>
    <t>Vehicle cost</t>
  </si>
  <si>
    <t>Energy cost</t>
  </si>
  <si>
    <t>Running cost</t>
  </si>
  <si>
    <t xml:space="preserve">Vehicle depreciation </t>
  </si>
  <si>
    <t>Maintainance cost</t>
  </si>
  <si>
    <t>Miles travelled in 5 years</t>
  </si>
  <si>
    <t>TCO (USD/miles)</t>
  </si>
  <si>
    <t>City transit bus</t>
  </si>
  <si>
    <t>Intercity bus</t>
  </si>
  <si>
    <t>Long haul truck</t>
  </si>
  <si>
    <t>Short haul truck</t>
  </si>
  <si>
    <t>Heavy-duty pickup truck</t>
  </si>
  <si>
    <t>Energy consumption</t>
  </si>
  <si>
    <t>Rail class/technology</t>
  </si>
  <si>
    <t>Diesel freight</t>
  </si>
  <si>
    <t>H2 freight</t>
  </si>
  <si>
    <t>Diesel intercity</t>
  </si>
  <si>
    <t>H2 intercity</t>
  </si>
  <si>
    <t>Cost</t>
  </si>
  <si>
    <t>H2/Diesel</t>
  </si>
  <si>
    <t>H2/DSL</t>
  </si>
  <si>
    <t>Intercity rail uses 10% of investment costs, whereas freight rail uses 6% of investment costs as per EPAUS9rT assumptions.</t>
  </si>
  <si>
    <t>Open Energy Outlook 2022 - Rail transport investment costs (M 2018USD/bpm or btm)</t>
  </si>
  <si>
    <t>Open Energy Outlook 2022 - Rail transport variable costs (M 2018USD/bpm or btm)*</t>
  </si>
  <si>
    <t>Vessel type/technology</t>
  </si>
  <si>
    <t>HFO</t>
  </si>
  <si>
    <t>MDO</t>
  </si>
  <si>
    <t>Open Energy Outlook 2022 - Marine freight investment costs (M 2018USD/btm)</t>
  </si>
  <si>
    <t>Bulk carrier*</t>
  </si>
  <si>
    <t>Isaac &amp; Fulton 2016 - Rail investment costs (M USD)</t>
  </si>
  <si>
    <t>Incremental</t>
  </si>
  <si>
    <t>Fuel oil ICE</t>
  </si>
  <si>
    <t>LNG ICE</t>
  </si>
  <si>
    <t>H2 FC</t>
  </si>
  <si>
    <t xml:space="preserve">*Bulk carrier costs are obtained from general cargo vessels as they have the closest carrying capacity and gross tonnage. </t>
  </si>
  <si>
    <t>H2 ICE</t>
  </si>
  <si>
    <t>Taljegard et al. 2014 - deep sea vessel cost per kW installed engine capacity by fuel type (kUSD/kW)</t>
  </si>
  <si>
    <t>Isaac, R., &amp; Fulton, L. (2017). Propulsion Systems for 21st Century Rail. Transportation Research Procedia, 00. https://itspubs.ucdavis.edu/download_pdf.php?id=2703</t>
  </si>
  <si>
    <t>Taljegard, M., Brynolf, S., Grahn, M., Andersson, K., &amp; Johnson, H. (2014). Cost-Effective Choices of Marine Fuels in a Carbon-Constrained World: Results from a Global Energy Model. Environmental Science &amp; Technology, 48(21), 12986–12993. https://doi.org/10.1021/es5018575</t>
  </si>
  <si>
    <t>Open Energy Outlook 2022 - Marine freight variable costs (M 2018USD/btm)*</t>
  </si>
  <si>
    <t>Horvath, S., Fasihi, M., &amp; Breyer, C. (2018). Techno-economic analysis of a decarbonized shipping sector: Technology suggestions for a fleet in 2030 and 2040. Energy Conversion and Management, 164, 230–241. https://doi.org/10.1016/j.enconman.2018.02.098</t>
  </si>
  <si>
    <t>CPX/OPX</t>
  </si>
  <si>
    <t>2018USD to 2020CAD</t>
  </si>
  <si>
    <t>DeCarolis, J. F., Jaramillo, P., Johnson, J. X., McCollum, D. L., Trutnevyte, E., Daniels, D. C., Akın-Olçum, G., Bergerson, J., Cho, S., Choi, J.-H., Craig, M. T., de Queiroz, A. R., Eshraghi, H., Galik, C. S., Gutowski, T. G., Haapala, K. R., Hodge, B.-M., Hoque, S., Jenkins, J. D., … Zhou, Y. (2020). Open Energy Outlook—Leveraging Open-Source Tools for Collaborative Macro-energy System Modeling Efforts. Joule, 4(12), 2523–2526. https://doi.org/10.1016/j.joule.2020.11.002</t>
  </si>
  <si>
    <t>*As per Appendix C1 (page 172) of source reference, HDV survival rates come from TEDB40 Table 3.16, 1980 model year. 1990 model year rates were not used as they seemed unrealistically high.</t>
  </si>
  <si>
    <t>Transport Canada. (2018). Estimates of the Full Cost of Transportation in Canada (TP 14819E; In Collaboration with the Full Cost Investigation Task Force for the Policy and Planning Support Committee of the Council of Deputy Ministers Responsible of Transportation and Highway Safety). Economic Analysis Directorate of Transport Canada. https://publications.gc.ca/collections/collection_2009/tc/T22-165-2008E.pdf</t>
  </si>
  <si>
    <t>Infrastructure</t>
  </si>
  <si>
    <t>Land</t>
  </si>
  <si>
    <t>Intercity passenger</t>
  </si>
  <si>
    <t>LDV</t>
  </si>
  <si>
    <t>Coach bus</t>
  </si>
  <si>
    <t>Rail</t>
  </si>
  <si>
    <t>Ferry</t>
  </si>
  <si>
    <t>Air</t>
  </si>
  <si>
    <t>Sub-total</t>
  </si>
  <si>
    <t>Local passenger</t>
  </si>
  <si>
    <t>Urban bus</t>
  </si>
  <si>
    <t>Local rail</t>
  </si>
  <si>
    <t>Truck</t>
  </si>
  <si>
    <t>Capital</t>
  </si>
  <si>
    <t>Operating</t>
  </si>
  <si>
    <t>Vehicle &amp; carrier</t>
  </si>
  <si>
    <t>User charges</t>
  </si>
  <si>
    <t>Sector total</t>
  </si>
  <si>
    <t>Air (freight/intercity) - operating</t>
  </si>
  <si>
    <t>Air (freight/intercity) - vehicle &amp; carrier</t>
  </si>
  <si>
    <t>Transport Canada (2008) - financial cost estimates by modal sub-activities in 2000 (M 2000CAD)</t>
  </si>
  <si>
    <t>Calvin, K., Patel, P., Clarke, L., Asrar, G., Bond-Lamberty, B., Cui, R. Y., Di Vittorio, A., Dorheim, K., Edmonds, J., Hartin, C., Hejazi, M., Horowitz, R., Iyer, G., Kyle, P., Kim, S., Link, R., McJeon, H., Smith, S. J., Snyder, A., … Wise, M. (2019). GCAM v5.1: Representing the linkages between energy, water, land, climate, and economic systems. Geoscientific Model Development, 12(2), 677–698. https://doi.org/10.5194/gmd-12-677-2019</t>
  </si>
  <si>
    <r>
      <t xml:space="preserve">Wards Intelligence. (2022). </t>
    </r>
    <r>
      <rPr>
        <i/>
        <sz val="11"/>
        <color theme="1"/>
        <rFont val="Calibri"/>
        <family val="2"/>
        <scheme val="minor"/>
      </rPr>
      <t>Canada Car, Light truck, and Truck Sales by Line and GWVR in 2021 and 2020—Agreggated sales shares by line and GWVR</t>
    </r>
    <r>
      <rPr>
        <sz val="11"/>
        <color theme="1"/>
        <rFont val="Calibri"/>
        <family val="2"/>
        <scheme val="minor"/>
      </rPr>
      <t>.</t>
    </r>
  </si>
  <si>
    <t>Fuel type</t>
  </si>
  <si>
    <t>GSL</t>
  </si>
  <si>
    <t>Argonne National Laboratory &amp; Andrew Burnham. (2023, August). AFLEET Tool 2023. https://greet.anl.gov/afleet</t>
  </si>
  <si>
    <t>Canada Energy Regulator. (2021). Canada’s Energy Future 2021 Data Appendices [dataset]. https://doi.org/10.35002/zjr8-8x75</t>
  </si>
  <si>
    <t>2005USD to 2020CAD</t>
  </si>
  <si>
    <t>PJ/PJ</t>
  </si>
  <si>
    <t>*OEO assumes a baseline OPEX of 5% CAPEX + additional expenses from scrubbers/SCR systems</t>
  </si>
  <si>
    <t>International Civil Aviation Organization. (2023, July). ICAO Global Framework for Aviation Alternative Fuels. Conversion Processes. https://www.icao.int/environmental-protection/GFAAF/Pages/Conversion-processes.aspx</t>
  </si>
  <si>
    <t>ICCT. (2022, February). Assessing charging infrastructure needs in Québec. International Council on Clean Transportation. https://theicct.org/publication/lvs-ci-quebec-can-en-feb22/</t>
  </si>
  <si>
    <t>ICCT. (2023, November). EV CHARGE v1.1 Documentation. EV CHARGE Model Documentation. https://theicct.github.io/EVCHARGE-doc/versions/v1.1/</t>
  </si>
  <si>
    <t>Mogile Technologies Inc. (2022). 2022 Snapshot of Canada’s Electric Charging Network and Hydrogen Refuelling Stations for Light-duty Vehicles (NRCan-5000062968). Natural Resources Canada. https://natural-resources.canada.ca/energy-efficiency/transportation-alternative-fuels/resource-library/3489</t>
  </si>
  <si>
    <t>Lifetime obtained from the Open Energy Outlook 2022.</t>
  </si>
  <si>
    <t>Charger type</t>
  </si>
  <si>
    <t>*Weighted averages of charger installation and capital costs, plus extra transmission system upgrades for MHDV DCFCs.</t>
  </si>
  <si>
    <t>MHDV - DCFC (50, 150 and 250 kW)</t>
  </si>
  <si>
    <t>LDV - L2 home/public &amp; DCFC</t>
  </si>
  <si>
    <t>*1% of capital costs, as per Borlaug et al. 2020 and Borlaug et al. 2021.</t>
  </si>
  <si>
    <t>Environment and Climate Change Canada. (2020, December 18). Clean Fuel Regulations. Environment and Natural Resources. https://www.canada.ca/en/environment-climate-change/services/managing-pollution/energy-production/fuel-regulations/clean-fuel-regulations/about.html</t>
  </si>
  <si>
    <r>
      <t xml:space="preserve">NOTE: </t>
    </r>
    <r>
      <rPr>
        <sz val="11"/>
        <color theme="1"/>
        <rFont val="Calibri"/>
        <family val="2"/>
        <scheme val="minor"/>
      </rPr>
      <t>H2 technologies were not included for marine freight since the efficiencies were obtained from GREET 2023, which did not list H2 as fuel type.</t>
    </r>
  </si>
  <si>
    <t>Argonne National Laboratory, Amgad Elgowainy, &amp; Krishna Reddi. (2022). Hydrogen Delivery Scenario Analysis Model (HDSAM) v4.5. Hydrogen Delivery Infrastructure Analysis. https://hdsam.es.anl.gov/index.php</t>
  </si>
  <si>
    <t>Borlaug, B., Muratori, M., Gilleran, M., Woody, D., Muston, W., Canada, T., Ingram, A., Gresham, H., &amp; McQueen, C. (2021). Heavy-duty truck electrification and the impacts of depot charging on electricity distribution systems. Nature Energy, 6(6), Article 6. https://doi.org/10.1038/s41560-021-00855-0</t>
  </si>
  <si>
    <t>Borlaug, B., Salisbury, S., Gerdes, M., &amp; Muratori, M. (2020). Levelized Cost of Charging Electric Vehicles in the United States. Joule, 4(7), 1470–1485. https://doi.org/10.1016/j.joule.2020.05.013</t>
  </si>
  <si>
    <t>Device</t>
  </si>
  <si>
    <t>IEA. (2019). The Future of Hydrogen. https://www.iea.org/reports/the-future-of-hydrogen</t>
  </si>
  <si>
    <t>H2 LDV refuelling station</t>
  </si>
  <si>
    <t>H2 HDV refuelling station</t>
  </si>
  <si>
    <t>*Costs derived from the IEA Future of Hydrogen 2019 report, Annex table: distribution</t>
  </si>
  <si>
    <t>Class 8 (day cab)</t>
  </si>
  <si>
    <t>Class 8 (sleeper cab)</t>
  </si>
  <si>
    <t>School Buses (passengers)</t>
  </si>
  <si>
    <t>Transit Buses (passengers)</t>
  </si>
  <si>
    <t>Inter-city Buses (passengers)</t>
  </si>
  <si>
    <t>Estimated Load Factors by vehicle mode in Ontario (passengers carried/tonnes carried) - based on NRCan fleet activity, stock and avg. distance travelled*</t>
  </si>
  <si>
    <t>*Load factors were estimated by dividing mode activity by (distance travelled times fleet stock).</t>
  </si>
  <si>
    <t>Vehicle-class aggregated MHDV fuel efficiency (bkm/PJ)*</t>
  </si>
  <si>
    <t>Wards data (2022) - Canada sales by car model, aggregated car sales by size class</t>
  </si>
  <si>
    <t>Wards data (2022) - Canada sales by light truck model, aggregated light truck sales by size class</t>
  </si>
  <si>
    <t>Wards data (2022) - Canada sales by truck model, aggregated truck sales by size class</t>
  </si>
  <si>
    <t>2021 Sales</t>
  </si>
  <si>
    <t>2021 Shares</t>
  </si>
  <si>
    <t>2020 Sales</t>
  </si>
  <si>
    <t>2020 Shares</t>
  </si>
  <si>
    <t>2018 Sales</t>
  </si>
  <si>
    <t>2018 Shares</t>
  </si>
  <si>
    <t>† ICE Sizes bigger than 6 Liters and 8 cylinders have been neglected from all averages, as they only represent luxury and high performance vehicles.
Two-seater vehicles were also left out as they're mostly supercars.</t>
  </si>
  <si>
    <t>**Name of the class represents the majority of the models, only a few ones exceed the actual class limit.</t>
  </si>
  <si>
    <t>Wards (2022) share</t>
  </si>
  <si>
    <t>ParHEV†</t>
  </si>
  <si>
    <t>SeriesPHEV†</t>
  </si>
  <si>
    <t>BEV†</t>
  </si>
  <si>
    <t>FCEV†</t>
  </si>
  <si>
    <t>FCHEV†</t>
  </si>
  <si>
    <t>†New technologies are indexed to deployed technologies.</t>
  </si>
  <si>
    <t>Off-Road1</t>
  </si>
  <si>
    <t>Tonne-kilometres (millions)</t>
  </si>
  <si>
    <t>Passenger-kilometres (millions)</t>
  </si>
  <si>
    <t>Canada transportation fleet energy use - NRCan Comprehensive Energy Use Database</t>
  </si>
  <si>
    <t>NRCan Comprehensive EUD - Energy use by transportation mode and province in 2019 (PJ)</t>
  </si>
  <si>
    <t>Transportation mode</t>
  </si>
  <si>
    <t>Energy use (PJ)</t>
  </si>
  <si>
    <t>Off-Road*</t>
  </si>
  <si>
    <t>NL</t>
  </si>
  <si>
    <t>PEI</t>
  </si>
  <si>
    <t>NS</t>
  </si>
  <si>
    <t>NB</t>
  </si>
  <si>
    <t>QC</t>
  </si>
  <si>
    <t>MB</t>
  </si>
  <si>
    <t>SK</t>
  </si>
  <si>
    <t>AB</t>
  </si>
  <si>
    <t>CA</t>
  </si>
  <si>
    <t>BC &amp; T</t>
  </si>
  <si>
    <t>Intercity bus (mpge)</t>
  </si>
  <si>
    <t>US-REGEN Model Documentation, v2021A LCRI - Chart 4: Medium-Duty and Heavy-Duty Vehicle Efficiency Assumptions</t>
  </si>
  <si>
    <t>Intercity bus (2015 USD)</t>
  </si>
  <si>
    <t>Category</t>
  </si>
  <si>
    <t>Charging</t>
  </si>
  <si>
    <t>H2 refuelling</t>
  </si>
  <si>
    <t>h2_700</t>
  </si>
  <si>
    <t>T_D_tkm_hdv_t</t>
  </si>
  <si>
    <t>T_dsl</t>
  </si>
  <si>
    <t>Argonne National Laboratory, Wang, M., Elgowainy, A., Lee, U., Baek, K., Balchandani, S., Benavides, P., Burnham, A., Cai, H., Chen, P., Gan, Y., Gracida-Alvarez, U., Hawkins, T., Huang, T.-Y., Iyer, R., Kar, S., Kelly, J., Kim, T., Kolodziej, C., … Zhang, J. (2023). Greenhouse gases, Regulated Emissions, and Energy use in Technologies Model ® (2023 Excel) [database]. https://doi.org/10.11578/GREET-EXCEL-2023/DC.20230907.1</t>
  </si>
  <si>
    <t>Charge-sustaining Combined Consumption* (L/100km)</t>
  </si>
  <si>
    <r>
      <t>Charge-depletion Combined Consumptionª (L</t>
    </r>
    <r>
      <rPr>
        <b/>
        <vertAlign val="subscript"/>
        <sz val="11"/>
        <color theme="1"/>
        <rFont val="Calibri"/>
        <family val="2"/>
        <scheme val="minor"/>
      </rPr>
      <t>e</t>
    </r>
    <r>
      <rPr>
        <b/>
        <sz val="11"/>
        <color theme="1"/>
        <rFont val="Calibri"/>
        <family val="2"/>
        <scheme val="minor"/>
      </rPr>
      <t>/100km)</t>
    </r>
  </si>
  <si>
    <t>* The combined rating is a weighted sum of 55% city and 45% highway 
driving cycles.</t>
  </si>
  <si>
    <r>
      <rPr>
        <b/>
        <u/>
        <sz val="11"/>
        <color theme="1"/>
        <rFont val="Calibri"/>
        <family val="2"/>
        <scheme val="minor"/>
      </rPr>
      <t>Note:</t>
    </r>
    <r>
      <rPr>
        <sz val="11"/>
        <color theme="1"/>
        <rFont val="Calibri"/>
        <family val="2"/>
        <scheme val="minor"/>
      </rPr>
      <t xml:space="preserve"> All models use gasoline only. </t>
    </r>
  </si>
  <si>
    <t>* For charge sustaining operation it's assumed test is carried out with low SOC, as those ratings indicate no electricity use.</t>
  </si>
  <si>
    <t>Gonder, J., &amp; Simpson, A. (2007). Measuring and Reporting Fuel Economy of Plug-In Hybrid Electric Vehicles. World Electric Vehicle Journal, 1(1), Article 1. https://doi.org/10.3390/wevj1010134</t>
  </si>
  <si>
    <t>Fuel efficiency index of new MHDVs</t>
  </si>
  <si>
    <t>NRCan Comprehensive Energy Use Database</t>
  </si>
  <si>
    <t>Notes on data sources and simulation models</t>
  </si>
  <si>
    <t>Canada's Energy Future macro indicator projections</t>
  </si>
  <si>
    <t>Canadian data tables</t>
  </si>
  <si>
    <t>US data tables</t>
  </si>
  <si>
    <t>Province of Ontario</t>
  </si>
  <si>
    <t>Canadian Open Energy Model</t>
  </si>
  <si>
    <t>Reference Scenario</t>
  </si>
  <si>
    <t>Sustainable Systems Group</t>
  </si>
  <si>
    <t>Dept. of Civil and Mineral Engineering</t>
  </si>
  <si>
    <t>University of Toronto</t>
  </si>
  <si>
    <r>
      <rPr>
        <b/>
        <sz val="12"/>
        <color theme="1"/>
        <rFont val="Calibri"/>
        <family val="2"/>
        <scheme val="minor"/>
      </rPr>
      <t>Authored by:</t>
    </r>
    <r>
      <rPr>
        <sz val="12"/>
        <color theme="1"/>
        <rFont val="Calibri"/>
        <family val="2"/>
        <scheme val="minor"/>
      </rPr>
      <t xml:space="preserve"> Felipe Rashid Zetter Salcedo</t>
    </r>
  </si>
  <si>
    <t>MASc Thesis Project</t>
  </si>
  <si>
    <r>
      <rPr>
        <b/>
        <sz val="12"/>
        <color theme="1"/>
        <rFont val="Calibri"/>
        <family val="2"/>
        <scheme val="minor"/>
      </rPr>
      <t>Supervised by:</t>
    </r>
    <r>
      <rPr>
        <sz val="12"/>
        <color theme="1"/>
        <rFont val="Calibri"/>
        <family val="2"/>
        <scheme val="minor"/>
      </rPr>
      <t xml:space="preserve"> Prof. Daniel Posen &amp; Prof. Heather McLean</t>
    </r>
  </si>
  <si>
    <t>Description of CANOE TRN</t>
  </si>
  <si>
    <t>Sheet</t>
  </si>
  <si>
    <t>Contains the list of technologies and commodities that will be compiled and used by Temoa.</t>
  </si>
  <si>
    <t>Compilation of original data tables used for the calculation of harmonized parameters, mostly from the NRCan Energy Use Database, other Canadian sources, and US sources.</t>
  </si>
  <si>
    <t>Harmonized input parameters; ready to be compiled into the SQLite database used by Temoa. The ready-for-input table is located on the far left side of the sheet. At the right side of the ready-for-input table are the calculations.</t>
  </si>
  <si>
    <t>Compilation of input parameters and the underlying data tables used to run the stochastic aggregation of electric vehicle charging demand with RAMP-mobility.</t>
  </si>
  <si>
    <t>Original datasets from other large models, located in separate sheets to differentiate by source, used for the calculation of harmonized parameters.</t>
  </si>
  <si>
    <t>Contains the list of main database assumptions and all references used.</t>
  </si>
  <si>
    <t>Michael Wolinetz &amp; Sam Harrison. (2023). Biofuels in Canada 2023: Tracking biofuel consumption, feedstocks and avoided greenhouse gas emissions. Navius Research. https://www.naviusresearch.com/publications/2023-biofuels-in-canada/</t>
  </si>
  <si>
    <t>Soy Oil-based Biodiesel</t>
  </si>
  <si>
    <t>Pet Coke</t>
  </si>
  <si>
    <t>Conv. Diesel</t>
  </si>
  <si>
    <t>Corn Ethanol: Combined Dry and Wet Milling Ethanol</t>
  </si>
  <si>
    <t>Gasoline Blendstock</t>
  </si>
  <si>
    <t>Pertoleum Conv. Jet Fuel</t>
  </si>
  <si>
    <t>Natural Gas to Liquefied Natural Gas (as an intermediate fuel)</t>
  </si>
  <si>
    <t>Natural Gas as Stationary Fuels</t>
  </si>
  <si>
    <t>Crude for Use in U.S. Refineries</t>
  </si>
  <si>
    <t>Resi. Oil</t>
  </si>
  <si>
    <t>Biomass to Fischer-Tropsch Jet Fuel</t>
  </si>
  <si>
    <t>Landfill Gas to Fischer-Tropsch Jet Fuel</t>
  </si>
  <si>
    <t>Soy Oil-based Renewable Jet Fuel</t>
  </si>
  <si>
    <t>Renewable Diesel II</t>
  </si>
  <si>
    <t>Tallow-based Renewable Diesel II</t>
  </si>
  <si>
    <t>Coal</t>
  </si>
  <si>
    <t>HFO (0.5% sulfur)</t>
  </si>
  <si>
    <t>MDO (0.5% sulfur)</t>
  </si>
  <si>
    <t>Willow</t>
  </si>
  <si>
    <t>LHV/HHV</t>
  </si>
  <si>
    <t>Synthetic crude oil (SCO)</t>
  </si>
  <si>
    <t>Bitumen</t>
  </si>
  <si>
    <t>Dilbit (After Recovery)</t>
  </si>
  <si>
    <t>Dilbit (Before Recovery)</t>
  </si>
  <si>
    <t>Diluent</t>
  </si>
  <si>
    <t>Shale Oil (Bakken)</t>
  </si>
  <si>
    <t>Shale Oil (Eagle Ford)</t>
  </si>
  <si>
    <t>CA gasoline</t>
  </si>
  <si>
    <t>High Octane Fuel (E25)</t>
  </si>
  <si>
    <t>High Octane Fuel (E40)</t>
  </si>
  <si>
    <t>U.S. conventional diesel</t>
  </si>
  <si>
    <t>CA diesel</t>
  </si>
  <si>
    <t>Diesel for non-road engines</t>
  </si>
  <si>
    <t>Petroleum naphtha</t>
  </si>
  <si>
    <t>Low Octane Gasoline-Like Fuel (LOF)</t>
  </si>
  <si>
    <t>Conventional Jet Fuel</t>
  </si>
  <si>
    <t>ULS Jet Fuel</t>
  </si>
  <si>
    <t>NG-based FT naphtha</t>
  </si>
  <si>
    <t>Residual oil</t>
  </si>
  <si>
    <t>Bunker fuel for ocean tanker</t>
  </si>
  <si>
    <t>Methanol</t>
  </si>
  <si>
    <t>Butanol</t>
  </si>
  <si>
    <t>Acetone</t>
  </si>
  <si>
    <t>EtOH-Diesel Additives</t>
  </si>
  <si>
    <t>Liquefied petroleum gas (LPG)</t>
  </si>
  <si>
    <t>Liquefied natural gas (LNG)</t>
  </si>
  <si>
    <t>Dimethyl ether (DME)</t>
  </si>
  <si>
    <t>Dimethoxy methane (DMM)</t>
  </si>
  <si>
    <t>Methyl ester (biodiesel, BD)</t>
  </si>
  <si>
    <t>Fischer-Tropsch diesel (FTD)</t>
  </si>
  <si>
    <t>Renewable Diesel I (SuperCetane)</t>
  </si>
  <si>
    <t>Renewable Diesel III (PNNL-HTL)</t>
  </si>
  <si>
    <t>Renewable Diesel IV (Sludge HTL)</t>
  </si>
  <si>
    <t>Renewable Gasoline</t>
  </si>
  <si>
    <t>Renewable Gasoline (IDL)</t>
  </si>
  <si>
    <t>Renewable Gasoline (Ex Situ CFP)</t>
  </si>
  <si>
    <t xml:space="preserve">SPK (FT Jet Fuel/HRJ) </t>
  </si>
  <si>
    <t>Methyl tertiary butyl ether (MTBE)</t>
  </si>
  <si>
    <t>Ethyl tertiary butyl ether (ETBE)</t>
  </si>
  <si>
    <t>Tertiary amyl methyl ether (TAME)</t>
  </si>
  <si>
    <t>Butane</t>
  </si>
  <si>
    <t>Isobutane</t>
  </si>
  <si>
    <t>Isobutylene</t>
  </si>
  <si>
    <t>Natural gas liquids</t>
  </si>
  <si>
    <t>n-Hexane</t>
  </si>
  <si>
    <t>E_fuel Gasoline BOB</t>
  </si>
  <si>
    <t>E_fuel Jet</t>
  </si>
  <si>
    <t>E_fuel Diesel</t>
  </si>
  <si>
    <t>E_fuel FT mixed fuel</t>
  </si>
  <si>
    <t>Isobutanol</t>
  </si>
  <si>
    <t>ARHC</t>
  </si>
  <si>
    <t xml:space="preserve">Isoalkane from waste feedstock </t>
  </si>
  <si>
    <t>Fatty alkyl ether (FAE)</t>
  </si>
  <si>
    <t>FAFE (Fatty acid fusel ester)</t>
  </si>
  <si>
    <t>HTL - Partial Upgrading (Sludge)</t>
  </si>
  <si>
    <t>HTL - Partial Upgrading (Manure)</t>
  </si>
  <si>
    <t>FP (Biomass)</t>
  </si>
  <si>
    <t>CFP - ZSM5 (Biomass)</t>
  </si>
  <si>
    <t>CFP (Pt/TiO2)</t>
  </si>
  <si>
    <t>Pyrolysis diesel</t>
  </si>
  <si>
    <t>FT-Gasoline-Nuclear</t>
  </si>
  <si>
    <t>FT-Jet-Nuclear</t>
  </si>
  <si>
    <t>FT-Diesel-Nuclear</t>
  </si>
  <si>
    <t>FT-Fuel Mix-Nuclear</t>
  </si>
  <si>
    <t>Ammonia</t>
  </si>
  <si>
    <t>Btu/ft3</t>
  </si>
  <si>
    <t>gms/ft3</t>
  </si>
  <si>
    <t>Renewable Natural Gas</t>
  </si>
  <si>
    <t>Synthetic NG (SNG)</t>
  </si>
  <si>
    <t>Pure Methane</t>
  </si>
  <si>
    <t>Gaseous hydrogen</t>
  </si>
  <si>
    <t>Carbon Dioxide</t>
  </si>
  <si>
    <t>Still gas (in refineries)</t>
  </si>
  <si>
    <t>Liquid fuels</t>
  </si>
  <si>
    <t>Density (g/gal)</t>
  </si>
  <si>
    <t>C ratio (% by wt)</t>
  </si>
  <si>
    <t>Fuel Heating Values - AFLEET 2023</t>
  </si>
  <si>
    <t>Unit Conversions - GREET 2023</t>
  </si>
  <si>
    <t>Fuel Specifications - GREET 2023</t>
  </si>
  <si>
    <t>% by wt</t>
  </si>
  <si>
    <t>Gaseous Fuels (at 32F and 1atm)</t>
  </si>
  <si>
    <t>Currency-year</t>
  </si>
  <si>
    <t>Conversion factor</t>
  </si>
  <si>
    <t>MJ/L of HFO (HHV, GREET2023)</t>
  </si>
  <si>
    <t>MJ/L of MDO (HHV, GREET2023)</t>
  </si>
  <si>
    <t>HFO/MDO ratio (GREET2023)</t>
  </si>
  <si>
    <t>MGO/MDO ratio (GREET2023)</t>
  </si>
  <si>
    <t>PJ/MMBtu</t>
  </si>
  <si>
    <t>LINK TO SOURCE: Open Government - Fuel Consumption Ratings Datasets</t>
  </si>
  <si>
    <t>LINK TO SOURCES:</t>
  </si>
  <si>
    <t>GREET Fuel-cycle 2023</t>
  </si>
  <si>
    <t>AFLEET 2023</t>
  </si>
  <si>
    <t>LINK TO SOURCE: EPAUS9rT database</t>
  </si>
  <si>
    <t>LINK TO SOURCE: OEO2022 database</t>
  </si>
  <si>
    <t>LINK TO SOURCE: AEO2023</t>
  </si>
  <si>
    <t>Feedstocks</t>
  </si>
  <si>
    <t>Fuels</t>
  </si>
  <si>
    <t>High Octane Fuel</t>
  </si>
  <si>
    <t>Virgin Diluent to Oil Sands</t>
  </si>
  <si>
    <t>Intermediate Products for Refinery</t>
  </si>
  <si>
    <t xml:space="preserve">Asphalt </t>
  </si>
  <si>
    <t>Propylene</t>
  </si>
  <si>
    <t>Crude for Use in CA Refineries</t>
  </si>
  <si>
    <t>CA Gasoline Blendstock</t>
  </si>
  <si>
    <t>CA Gasoline</t>
  </si>
  <si>
    <t>LS Diesel</t>
  </si>
  <si>
    <t>CA Diesel</t>
  </si>
  <si>
    <t>Crude Naphtha</t>
  </si>
  <si>
    <t>Crude Naphtha to Oil Sands</t>
  </si>
  <si>
    <t>HOF E10</t>
  </si>
  <si>
    <t>HOF E25</t>
  </si>
  <si>
    <t>HOF E40</t>
  </si>
  <si>
    <t>Crude for Use in Chilean Refineries</t>
  </si>
  <si>
    <t>Gasoline in Chile</t>
  </si>
  <si>
    <t>LPG in Chile</t>
  </si>
  <si>
    <t>Resi. Oil in Chile</t>
  </si>
  <si>
    <t>Diesel in Chile</t>
  </si>
  <si>
    <t>Unfinished Oil</t>
  </si>
  <si>
    <t>Blendstock</t>
  </si>
  <si>
    <t>Loss factor</t>
  </si>
  <si>
    <t>Total energy</t>
  </si>
  <si>
    <t>Fossil fuels</t>
  </si>
  <si>
    <t>Petroleum</t>
  </si>
  <si>
    <t>Water consumption</t>
  </si>
  <si>
    <t>NOx</t>
  </si>
  <si>
    <t>CO2 (w/ C in VOC &amp; CO)</t>
  </si>
  <si>
    <t>Natural Gas for Electricity generation</t>
  </si>
  <si>
    <t>NGL to Oil Sands</t>
  </si>
  <si>
    <t>NGL (based on Shale Gas) to Steam Crackers</t>
  </si>
  <si>
    <t>Flare gas to Liquefied Natural Gas (as an intermediate fuel)</t>
  </si>
  <si>
    <t>NG or FG to Compressed Natural Gas</t>
  </si>
  <si>
    <t>Natural Gas to Liquefied Natural Gas (as a transportation fuel)</t>
  </si>
  <si>
    <t>Flare gas to Liquefied Natural Gas (as a transportation fuel)</t>
  </si>
  <si>
    <t>Landfill Gas to Liquefied Natural Gas (as a transportation fuel)</t>
  </si>
  <si>
    <t>Liquefied Natural Gas: Combined (as a transportation fuel)</t>
  </si>
  <si>
    <t>Natural Gas/Landfill Gas to Liquefied Petroleum Gas</t>
  </si>
  <si>
    <t>Crude Oil to Liquefied Petroleum Gas</t>
  </si>
  <si>
    <t>Liquefied Petroleum Gas: Combined</t>
  </si>
  <si>
    <t>NG as Stationary Fuels in Chile</t>
  </si>
  <si>
    <t>Natural Gas to Liquefied Petroleum Gas in Chile</t>
  </si>
  <si>
    <t>Crude Oil to Liquefied Petroleum Gas in Chile</t>
  </si>
  <si>
    <t>Liquefied Petroleum Gas in Chile: Combined</t>
  </si>
  <si>
    <t>Canadian NG as Stationary Fuels</t>
  </si>
  <si>
    <t>Canadian NG for Electricity generation</t>
  </si>
  <si>
    <t>Canadian Natural Gas Liquids  to Oil Sands</t>
  </si>
  <si>
    <t>Natural Gas for Ammonia Production</t>
  </si>
  <si>
    <t>Natural Gas for Methanol Production</t>
  </si>
  <si>
    <t>Feedstock</t>
  </si>
  <si>
    <t>GREET 2023 Fuel-Cycle Model - Default Summary of Energy Consumption, Water Consumption, and Emissions: Btu or Gallons or Grams per mmBtu of Fuel Throughput at Each Stage</t>
  </si>
  <si>
    <t>Integrated Corn/Stover Ethanol (Combined Gallon)</t>
  </si>
  <si>
    <t>Integrated Corn/Stover Ethanol (Associated with Corn Ethanol)</t>
  </si>
  <si>
    <t>Integrated Corn/Stover Ethanol (Associated with Corn Stover Ethanol)</t>
  </si>
  <si>
    <t>Summary of Integrated Corn/Stover Ethanol</t>
  </si>
  <si>
    <t>1.5 Gen Dry Milling Corn Ethanol w/ Corn Oil Extraction (Starch EtOH)</t>
  </si>
  <si>
    <t>1.5 Gen Dry Milling Corn Ethanol w/ Corn Oil Extraction (Fiber EtOH)</t>
  </si>
  <si>
    <t>Willow Ethanol: Fermentation</t>
  </si>
  <si>
    <t>Willow Ethanol: Gasification</t>
  </si>
  <si>
    <t>Willow Ethanol: Combined</t>
  </si>
  <si>
    <t>Poplar Ethanol: Fermentation</t>
  </si>
  <si>
    <t>Poplar Ethanol: Gasification</t>
  </si>
  <si>
    <t>Poplar Ethanol: Combined</t>
  </si>
  <si>
    <t>Switchgrass Ethanol: Fermentation</t>
  </si>
  <si>
    <t>Switchgrass Ethanol: Gasification</t>
  </si>
  <si>
    <t>Switchgrass Ethanol: Combined</t>
  </si>
  <si>
    <t>Miscanthus Ethanol: Fermentation</t>
  </si>
  <si>
    <t>Miscanthus Ethanol: Gasification</t>
  </si>
  <si>
    <t>Miscanthus Ethanol: Combined</t>
  </si>
  <si>
    <t>Corn Stover Ethanol: Fermentation</t>
  </si>
  <si>
    <t>Corn Stover Ethanol: Gasification</t>
  </si>
  <si>
    <t>Corn Stover Ethanol: Combined</t>
  </si>
  <si>
    <t>Forest Residue Ethanol: Fermentation</t>
  </si>
  <si>
    <t>Forest Residue Ethanol: Gasification</t>
  </si>
  <si>
    <t>Forest Residue: Combined</t>
  </si>
  <si>
    <t>Grain Sorghum Ethanol</t>
  </si>
  <si>
    <t>Sweet Sorghum Ethanol (Conventional)</t>
  </si>
  <si>
    <t>Sweet Sorghum Ethanol (Integrated)</t>
  </si>
  <si>
    <t>Forage Sorghum Ethanol</t>
  </si>
  <si>
    <t>Sorghum Ethanol: Combined</t>
  </si>
  <si>
    <t>Sugarcane Ethanol</t>
  </si>
  <si>
    <t>Waste to EtOH</t>
  </si>
  <si>
    <t>Ethanol: Combined Corn, Sugarcane, and Cellulosic Ethanol</t>
  </si>
  <si>
    <t>Ethanol for Gasoline Blending</t>
  </si>
  <si>
    <t>Corn-Butanol</t>
  </si>
  <si>
    <t>Corn-Acetone                   per lb</t>
  </si>
  <si>
    <t>Sugarcane Ethanol Produced in Brazil, Used in Chile</t>
  </si>
  <si>
    <t>Corn Oil</t>
  </si>
  <si>
    <t>Wheat straw</t>
  </si>
  <si>
    <t xml:space="preserve">Alfalfa </t>
  </si>
  <si>
    <t>Alfalfa meal</t>
  </si>
  <si>
    <t>Corn</t>
  </si>
  <si>
    <t>Stover</t>
  </si>
  <si>
    <t>Poplar</t>
  </si>
  <si>
    <t>Switchgrass</t>
  </si>
  <si>
    <t>Miscanthus</t>
  </si>
  <si>
    <t>Corn Stover</t>
  </si>
  <si>
    <t>Wood Residue</t>
  </si>
  <si>
    <t>Sorghum</t>
  </si>
  <si>
    <t>Sugarcane</t>
  </si>
  <si>
    <t>Per lb</t>
  </si>
  <si>
    <t>Per ston-dry WS</t>
  </si>
  <si>
    <t>Per dry lb</t>
  </si>
  <si>
    <t>Intermediate</t>
  </si>
  <si>
    <t>Glycerin</t>
  </si>
  <si>
    <t>Marine diesel</t>
  </si>
  <si>
    <t>Fatty Alkyl Ethers (FAE)</t>
  </si>
  <si>
    <t>Soybean</t>
  </si>
  <si>
    <t>Palm FFB</t>
  </si>
  <si>
    <t>Canola</t>
  </si>
  <si>
    <t>Jatropha</t>
  </si>
  <si>
    <t>Camelina</t>
  </si>
  <si>
    <t>Carinata</t>
  </si>
  <si>
    <t>Soybean (Brazilian)</t>
  </si>
  <si>
    <t>Soy oil for other uses</t>
  </si>
  <si>
    <t>Soybean meal for other uses</t>
  </si>
  <si>
    <t>Refined palm oil for other uses</t>
  </si>
  <si>
    <t>Palm Oil-based Biodiesel</t>
  </si>
  <si>
    <t>Canola Oil-based Biodiesel</t>
  </si>
  <si>
    <t>Jatropha Oil-based Biodiesel</t>
  </si>
  <si>
    <t>Camelina Oil-based Biodiesel</t>
  </si>
  <si>
    <t>Tallow-based Biodiesel</t>
  </si>
  <si>
    <t>Corn Oil-based Biodiesel</t>
  </si>
  <si>
    <t>Biodiesel Summary</t>
  </si>
  <si>
    <t>PFAD-based Biodiesel</t>
  </si>
  <si>
    <t>Carinata-based Biodiesel</t>
  </si>
  <si>
    <t>UCO-based Biodiesel</t>
  </si>
  <si>
    <t>Soy Oil-based Biodiesel (Brazilian)</t>
  </si>
  <si>
    <t>Soy Oil-based Renewable Diesel II</t>
  </si>
  <si>
    <t>Palm Oil-based Renewable Diesel II</t>
  </si>
  <si>
    <t>Canola Oil-based Renewable Diesel II</t>
  </si>
  <si>
    <t>Jatropha Oil-based Renewable Diesel II</t>
  </si>
  <si>
    <t>Camelina Oil-based Renewable Diesel II</t>
  </si>
  <si>
    <t>Corn Oil-based Renewable Diesel II</t>
  </si>
  <si>
    <t>Renewable Diesel II Summary</t>
  </si>
  <si>
    <t>PFAD-based Renewable Diesel II</t>
  </si>
  <si>
    <t>Carinata Oil-based Renewable Diesel II</t>
  </si>
  <si>
    <t>UCO-based Renewable Diesel II</t>
  </si>
  <si>
    <t>Renewable Diesel Summary</t>
  </si>
  <si>
    <t>Soy Oil-based Renewable Gasoline</t>
  </si>
  <si>
    <t>Palm Oil-based Renewable Gasoline</t>
  </si>
  <si>
    <t>Canola Oil-based Renewable Gasoline</t>
  </si>
  <si>
    <t>Jatropha Oil-based Renewable Gasoline</t>
  </si>
  <si>
    <t>Camelina Oil-based Renewable Gasoline</t>
  </si>
  <si>
    <t>Corn Oil-based Renewable Gasoline</t>
  </si>
  <si>
    <t>Renewable Gasoline Summary</t>
  </si>
  <si>
    <t>Soy Oil-based Glycerin</t>
  </si>
  <si>
    <t>Yellow grease</t>
  </si>
  <si>
    <t>Yellow grease + HFO</t>
  </si>
  <si>
    <t xml:space="preserve">Fatty Alkyl Ethers from 100% Yellow grease </t>
  </si>
  <si>
    <t xml:space="preserve">Fatty Alkyl Ethers from 100% Soybean oil </t>
  </si>
  <si>
    <t xml:space="preserve">Fatty Alkyl Ethers from 60%/40% Mix SoybeanOil/Yellow grease </t>
  </si>
  <si>
    <t>Per bushel</t>
  </si>
  <si>
    <t>Per dry ton</t>
  </si>
  <si>
    <t>Per dry MT</t>
  </si>
  <si>
    <t>Per dry kg</t>
  </si>
  <si>
    <t>per lb.</t>
  </si>
  <si>
    <t>per bone dry lb.</t>
  </si>
  <si>
    <t>per mmBtu</t>
  </si>
  <si>
    <t>permmBtu</t>
  </si>
  <si>
    <t>Fossi lfuels</t>
  </si>
  <si>
    <t>Petroleum Ultra Low-Sulfur Jet Fuel</t>
  </si>
  <si>
    <t>Pyrolysis Conv. Jet Fuel</t>
  </si>
  <si>
    <t>Pyrolysis Ultra Low-Sulfur Jet Fuel</t>
  </si>
  <si>
    <t>Combined: Jet Fuel</t>
  </si>
  <si>
    <t>Natural Gas to Fischer-Tropsch Jet Fuel</t>
  </si>
  <si>
    <t>Flared Gas to Fischer-Tropsch Jet Fuel</t>
  </si>
  <si>
    <t>Coal to Fischer-Tropsch Jet Fuel</t>
  </si>
  <si>
    <t>Coal/Biomass to Fischer-Tropsch Jet Fuel</t>
  </si>
  <si>
    <t>NG/Biomass to Fischer-Tropsch Jet Fuel</t>
  </si>
  <si>
    <t>Fischer-Tropsch Jet Fuel: Combined</t>
  </si>
  <si>
    <t>Palm Oil-based Renewable Jet Fuel</t>
  </si>
  <si>
    <t>Canola Oil-based Renewable Jet Fuel</t>
  </si>
  <si>
    <t>Jatropha Oil-based Renewable Jet Fuel</t>
  </si>
  <si>
    <t>Camelina Oil-based Renewable Jet Fuel</t>
  </si>
  <si>
    <t>Algae Oil-based Renewable Jet Fuel</t>
  </si>
  <si>
    <t>Corn Oil-based Renewable Jet Fuel</t>
  </si>
  <si>
    <t>Carinata Oil-based Renewable Jet Fuel</t>
  </si>
  <si>
    <t>Combined: Renewable Jet Fuel</t>
  </si>
  <si>
    <t>Combined: Ethanol-To-Jet</t>
  </si>
  <si>
    <t>SIP Jet - Sugarcane</t>
  </si>
  <si>
    <t>SIP Jet - Sugarbeet</t>
  </si>
  <si>
    <t>Iso-BuOH Jet - Sugarcane</t>
  </si>
  <si>
    <t>Iso-BuOH Jet - Agricultural residue</t>
  </si>
  <si>
    <t>Iso-BuOH Jet - Forest residue</t>
  </si>
  <si>
    <t>Iso-BuOH Jet - Corn grain</t>
  </si>
  <si>
    <t>Iso-BuOH Jet - Switchgrass</t>
  </si>
  <si>
    <t>Iso-BuOH Jet - Miscanthus</t>
  </si>
  <si>
    <t>Iso-BuOH Jet - Molasses</t>
  </si>
  <si>
    <t>Combined: Sugar-To-Jet</t>
  </si>
  <si>
    <t>Combined: SPK</t>
  </si>
  <si>
    <t>Willow to Fischer-Tropsch Jet Fuel</t>
  </si>
  <si>
    <t>Poplar to Fischer-Tropsch Jet Fuel</t>
  </si>
  <si>
    <t>Switchgrass to Fischer-Tropsch Jet Fuel</t>
  </si>
  <si>
    <t>Miscanthus to Fischer-Tropsch Jet Fuel</t>
  </si>
  <si>
    <t>Corn Stover to Fischer-Tropsch Jet Fuel</t>
  </si>
  <si>
    <t>Forest Residue to Fischer-Tropsch Jet Fuel</t>
  </si>
  <si>
    <t>Eucalyptus to Fischer-Tropsch Jet Fuel (ICAO)</t>
  </si>
  <si>
    <t>MSW to Fischer-Tropsch Jet Fuel (ICAO)</t>
  </si>
  <si>
    <t>Tallow-based Renewable Jet Fuel</t>
  </si>
  <si>
    <t>PFAD-based Renewable Jet Fuel</t>
  </si>
  <si>
    <t>UCO-based Renewable Jet Fuel</t>
  </si>
  <si>
    <t>Units</t>
  </si>
  <si>
    <t>Methanol (Natural Gas)</t>
  </si>
  <si>
    <t>Methanol (Flare Gas)</t>
  </si>
  <si>
    <t>Methanol (Renewable Natural Gas)</t>
  </si>
  <si>
    <t>Methanol (Biomass)</t>
  </si>
  <si>
    <t>Methanol (Coal)</t>
  </si>
  <si>
    <t>Methanol (Black Liquor)</t>
  </si>
  <si>
    <t>Ammonia (Natural Gas)</t>
  </si>
  <si>
    <t>Ammonia from RNG</t>
  </si>
  <si>
    <t>Ammonia (H2 from Coal Gasification w/ CCS)</t>
  </si>
  <si>
    <t>Ammonia (H2 from Poplar gasification)</t>
  </si>
  <si>
    <t>E-Ammonia (H2 from water electrolysis: PEM)</t>
  </si>
  <si>
    <t>HFO w/Wet Sulfur Scrubber, Open-Loop</t>
  </si>
  <si>
    <t>Marine biocrude, HTL-partially upgraded (Sludge)</t>
  </si>
  <si>
    <t>Marine biocrude, HTL-partially upgraded (Manure)</t>
  </si>
  <si>
    <t>Marine biooil, FP (biomass)</t>
  </si>
  <si>
    <t>Marine biooil, CFP-ZSM5 (biomass)</t>
  </si>
  <si>
    <t>Marine biooil, CFP-Pt/TiO2 (biomass)</t>
  </si>
  <si>
    <t>Conversion</t>
  </si>
  <si>
    <t>Btu/mmBtu</t>
  </si>
  <si>
    <t>gal/mmBtu</t>
  </si>
  <si>
    <t>g/mmBtu</t>
  </si>
  <si>
    <t>g CO2e/mmBtu</t>
  </si>
  <si>
    <t>HFO (0.1% sulfur)</t>
  </si>
  <si>
    <t>MDO (0.1% sulfur)</t>
  </si>
  <si>
    <t>Carbon ratio of VOC</t>
  </si>
  <si>
    <t>Carbon ratio of CO</t>
  </si>
  <si>
    <t>Carbon ratio of CH4</t>
  </si>
  <si>
    <t>Carbon ratio of CO2</t>
  </si>
  <si>
    <t>Sulfur ratio of SO2</t>
  </si>
  <si>
    <t>Carbon and Sulfur Ratios of Pollutants - GREET 2023</t>
  </si>
  <si>
    <t>HFO (2.7% sulfur)</t>
  </si>
  <si>
    <t>MDO (1.92% sulfur )</t>
  </si>
  <si>
    <t>MGO (1.0% sulfur)</t>
  </si>
  <si>
    <t>MGO (0.5 % sulfur)</t>
  </si>
  <si>
    <t>MGO (0.1 % sulfur)</t>
  </si>
  <si>
    <t>FT-Diesel (NG)</t>
  </si>
  <si>
    <t>FT-Diesel (Biomass&amp;Coal)</t>
  </si>
  <si>
    <t>Renewable diesel (Yellow grease&amp;HFO)</t>
  </si>
  <si>
    <t>FT-Diesel (Biomass&amp;NG)</t>
  </si>
  <si>
    <t>Straight Vegetable Oil (SVO)</t>
  </si>
  <si>
    <t>Pyrolysis oil (Woody biomass)</t>
  </si>
  <si>
    <t>FT-Diesel (Biomass)</t>
  </si>
  <si>
    <t>Renewable diesel (Yellow grease)</t>
  </si>
  <si>
    <t>eMethanol (w/ H2 Recycling)</t>
  </si>
  <si>
    <t>eFT Fuelw/ H2 Recycling)</t>
  </si>
  <si>
    <t>Ethanol-To-Jet: Corn (Integrated)</t>
  </si>
  <si>
    <t>Ethanol-To-Jet: Willow (Integrated)</t>
  </si>
  <si>
    <t>Ethanol-To-Jet: Poplar (Integrated)</t>
  </si>
  <si>
    <t>Ethanol-To-Jet: Switchgrass (Integrated)</t>
  </si>
  <si>
    <t>Ethanol-To-Jet: Miscanthus (Integrated)</t>
  </si>
  <si>
    <t>Ethanol-To-Jet: Corn Stover (Integrated)</t>
  </si>
  <si>
    <t>Ethanol-To-Jet: Forest Residue (Integrated)</t>
  </si>
  <si>
    <t>Ethanol-To-Jet: Ethanol from Corn US Mix (Standalone)</t>
  </si>
  <si>
    <t>Ethanol-To-Jet: Ethanol from Corn Dry Mill w/o extraction (Standalone)</t>
  </si>
  <si>
    <t>Ethanol-To-Jet: Ethanol from Corn Dry Mill w/ extraction (Standalone)</t>
  </si>
  <si>
    <t>Ethanol-To-Jet: Ethanol from Corn Wet Mill (Standalone)</t>
  </si>
  <si>
    <t>Ethanol-To-Jet: Ethanol from Willow (Standalone)</t>
  </si>
  <si>
    <t>Ethanol-To-Jet: Ethanol from Poplar (Standalone)</t>
  </si>
  <si>
    <t>Ethanol-To-Jet: Ethanol from Switchgrass (Standalone)</t>
  </si>
  <si>
    <t>Ethanol-To-Jet: Ethanol from Miscanthus (Standalone)</t>
  </si>
  <si>
    <t>Ethanol-To-Jet: Ethanol from Corn Stover (Standalone)</t>
  </si>
  <si>
    <t>Ethanol-To-Jet: Ethanol from Forest Residue (Standalone)</t>
  </si>
  <si>
    <t>Ethanol-To-Jet: Ethanol from Solid Waste (Standalone)</t>
  </si>
  <si>
    <t>Sugar-To-Jet: Willow (Biological)</t>
  </si>
  <si>
    <t>Sugar-To-Jet: Poplar (Biological)</t>
  </si>
  <si>
    <t>Sugar-To-Jet: Switchgrass (Biological)</t>
  </si>
  <si>
    <t>Sugar-To-Jet: Miscanthus (Biological)</t>
  </si>
  <si>
    <t>Sugar-To-Jet: Corn Stover (Biological)</t>
  </si>
  <si>
    <t>Sugar-To-Jet: Forest Residue (Biological)</t>
  </si>
  <si>
    <t>Ethanol-To-Jet: Ethanol from Sugarcane (Integrated)</t>
  </si>
  <si>
    <t>Ethanol-To-Jet: Ethanol from Corn US Mix (Distributed)</t>
  </si>
  <si>
    <t>Sugar-To-Jet: Corn Stover (Catalytical /w External H2)</t>
  </si>
  <si>
    <t>Sugar-To-Jet: Corn Stover (Catalytical /w InSitu H2)</t>
  </si>
  <si>
    <t>Sugar-To-Jet: Corn Stover (Catalytical /w H2 from Biomass Gasification)</t>
  </si>
  <si>
    <t>Contains the conversion factors used across the parameter calculations. Including GREET heating values, unit conversions, currency inflated exchange rates, and inflation indexes.</t>
  </si>
  <si>
    <r>
      <rPr>
        <b/>
        <sz val="11"/>
        <color theme="1"/>
        <rFont val="Calibri"/>
        <family val="2"/>
        <scheme val="minor"/>
      </rPr>
      <t>Emissions accounting:</t>
    </r>
    <r>
      <rPr>
        <sz val="11"/>
        <color theme="1"/>
        <rFont val="Calibri"/>
        <family val="2"/>
        <scheme val="minor"/>
      </rPr>
      <t xml:space="preserve"> Fuel-cycle emissions (well-to-wheel)</t>
    </r>
  </si>
  <si>
    <t>Model input</t>
  </si>
  <si>
    <t>Input calculations</t>
  </si>
  <si>
    <t>Fuel combustion</t>
  </si>
  <si>
    <t>Pollution Probe &amp; Mobility Futures Lab. (2024). 2023 Canadian EV Charging Experience Survey. https://www.pollutionprobe.org/2023-canadian-ev-owner-charging-experience-report/</t>
  </si>
  <si>
    <r>
      <t xml:space="preserve">This worksheet contains the air, rail and marine fleet technology parameters used in the EPA US Times 9-region model; data has been copied directly from </t>
    </r>
    <r>
      <rPr>
        <b/>
        <sz val="11"/>
        <color theme="1"/>
        <rFont val="Calibri"/>
        <family val="2"/>
        <scheme val="minor"/>
      </rPr>
      <t xml:space="preserve">VT_EPAUS9rT_TRNHDV_v20.1.otaqfull
</t>
    </r>
    <r>
      <rPr>
        <sz val="11"/>
        <color theme="1"/>
        <rFont val="Calibri"/>
        <family val="2"/>
        <scheme val="minor"/>
      </rPr>
      <t>Given the limited descriptions about</t>
    </r>
    <r>
      <rPr>
        <b/>
        <sz val="11"/>
        <color theme="1"/>
        <rFont val="Calibri"/>
        <family val="2"/>
        <scheme val="minor"/>
      </rPr>
      <t xml:space="preserve"> </t>
    </r>
    <r>
      <rPr>
        <sz val="11"/>
        <color theme="1"/>
        <rFont val="Calibri"/>
        <family val="2"/>
        <scheme val="minor"/>
      </rPr>
      <t>data assumptions and sources, this was only used to represent air jet technology costs, and it will be replaced in future versions.</t>
    </r>
  </si>
  <si>
    <t>Sheet descriptions</t>
  </si>
  <si>
    <t xml:space="preserve">This Excel model derives the input parameters of the transportation sector used by the Temoa framework to run the CANOE model.
All the data tables are annotated with the underlying assumptions and the original source of the data, which can be traced with the link or name of the dataset.
This data model includes process technologies for fuel supply that are only ment to represent the sector-specific fuel prices and emission factors. </t>
  </si>
  <si>
    <t>Cell color scheme</t>
  </si>
  <si>
    <t>Cell</t>
  </si>
  <si>
    <t>Highlighted values in this color across the model sheets denote those that are used for input parameter calculations. Note that not all the values used for calculations have been highlighted.</t>
  </si>
  <si>
    <t>Highlighted values in this color denote orphan parameters that are currently not used, but could be in future versions.</t>
  </si>
  <si>
    <t xml:space="preserve">Highlighted values in this color denote high uncertainty parameters that need revision. </t>
  </si>
  <si>
    <t>NREL. (2023). 2022 Transportation Annual Technology Baseline [dataset]. https://atb.nrel.gov/transportation/2022/</t>
  </si>
  <si>
    <t>Gasoline blendstock - GJ/L</t>
  </si>
  <si>
    <t>Ethanol - GJ/L</t>
  </si>
  <si>
    <t>Biodiesel - GJ/L</t>
  </si>
  <si>
    <t>HDRD - GJ/L</t>
  </si>
  <si>
    <t>2022USD to 2020CAD</t>
  </si>
  <si>
    <t>Including intercity rail and urban rail transit.</t>
  </si>
  <si>
    <t>Jetfuel, SPK</t>
  </si>
  <si>
    <t>GSL, DSL, HEV (GSL), FCEV,
 PHEV (GSL - 20, 50 miles), BEV (200, 300 miles)</t>
  </si>
  <si>
    <t>GSL, DSL, HEV (GSL), CNG,
 PHEV (GSL - 50 miles), BEV (200, 300 miles)</t>
  </si>
  <si>
    <t>GSL, DSL, HEV (DSL), CNG, FCEV, BEV</t>
  </si>
  <si>
    <t>GSL, DSL, CNG, FCEV, PHEV (DSL), BEV</t>
  </si>
  <si>
    <t>GSL, DSL, CNG, FCEV,  PHEV (DSL), BEV</t>
  </si>
  <si>
    <t>GSL, DSL, HEV (GSL), CNG, FCEV,
 PHEV (GSL - 20, 50 miles), BEV (200, 300 miles)</t>
  </si>
  <si>
    <t>DSL, H2, LNG</t>
  </si>
  <si>
    <t>HFO, MDO, LNG</t>
  </si>
  <si>
    <t>Canada-US Exchange Rate (C$/US$)</t>
  </si>
  <si>
    <t>Canada Energy Regulator - Canada's Energy Future 2021 Data Appendices, National Macro Indicators, Evolving Policies Scenario</t>
  </si>
  <si>
    <t>2022CAD to 2020CAD</t>
  </si>
  <si>
    <t>2021</t>
  </si>
  <si>
    <t>2019CAD to 2020CAD</t>
  </si>
  <si>
    <t>2021CAD to 2020CAD</t>
  </si>
  <si>
    <t>Open Energy Outlook 2022 - Fuel prices for Mid Atlantic Region (M 2018 USD/PJ)</t>
  </si>
  <si>
    <t>CNG (transportation)</t>
  </si>
  <si>
    <t>Energy Information Administration. (2023). Annual Energy Outlook 2023—Table 3: Energy Prices by Sector and Source, Middle Atlantic Region, Reference case. https://www.eia.gov/outlooks/aeo/data/browser/#/?id=3-AEO2023&amp;region=1-2&amp;cases=ref2023&amp;start=2021&amp;end=2050&amp;f=A&amp;linechart=&amp;map=ref2023-d020623a.3-3-AEO2023.1-2&amp;ctype=linechart&amp;sourcekey=0</t>
  </si>
  <si>
    <t>H2 compression in GW (100 to 700 bar)</t>
  </si>
  <si>
    <t>H2 production from electrolysis</t>
  </si>
  <si>
    <t>H2 production from SMR without CCS</t>
  </si>
  <si>
    <t>H2 compression in GW (10 to 100 bar)</t>
  </si>
  <si>
    <t>Open Energy Outlook 2022 - H2 delivery fixed costs (M 2018 USD/PJ/year)*</t>
  </si>
  <si>
    <t>Open Energy Outlook 2022 - LDV and MHDV EV charger fixed costs (M 2018 USD/PJ/year)*</t>
  </si>
  <si>
    <t>Open Energy Outlook 2022 - H2 delivery investment costs (M 2018 USD/PJ/year)*</t>
  </si>
  <si>
    <t>Open Energy Outlook 2022 - LDV and MHDV EV charger investment costs (M 2018 USD/PJ/year)*</t>
  </si>
  <si>
    <t>Open Energy Outlook 2022 - Hydrogen production technologies, investment costs (M 2018 USD/PJ/year)*</t>
  </si>
  <si>
    <t>Open Energy Outlook 2022 - Hydrogen production technologies, fixed costs (M 2018 USD/PJ/year)*</t>
  </si>
  <si>
    <t>*Costs derived from the IEA Future of Hydrogen 2019, Annex table: Production pathways</t>
  </si>
  <si>
    <t>Open Energy Outlook 2022 - Hydrogen production technologies, variable costs (M 2018 USD/PJ)*</t>
  </si>
  <si>
    <t>H2 distribution</t>
  </si>
  <si>
    <t>*Costs derived from the IEA Future of Hydrogen 2019, Annex table: Distribution, assuming 250 km with 100 tpd pipeline or 500 km with 500 tpd pipeline.</t>
  </si>
  <si>
    <t>AC to DC transformer in GW</t>
  </si>
  <si>
    <t>H2 storage in GW (Mid Atlantic Region)</t>
  </si>
  <si>
    <t>Federal Highway Administration. (2022). 2022 National Household Travel Survey Core  Data. U.S. Department of Transportation. https://nhts.ornl.gov/</t>
  </si>
  <si>
    <r>
      <rPr>
        <b/>
        <u/>
        <sz val="11"/>
        <color theme="1"/>
        <rFont val="Calibri"/>
        <family val="2"/>
        <scheme val="minor"/>
      </rPr>
      <t>IMPORTANT:</t>
    </r>
    <r>
      <rPr>
        <sz val="11"/>
        <color theme="1"/>
        <rFont val="Calibri"/>
        <family val="2"/>
        <scheme val="minor"/>
      </rPr>
      <t xml:space="preserve"> The aggregated fuel consumption ratings were imported from the </t>
    </r>
    <r>
      <rPr>
        <b/>
        <sz val="11"/>
        <color theme="1"/>
        <rFont val="Calibri"/>
        <family val="2"/>
        <scheme val="minor"/>
      </rPr>
      <t>fuel_consumption_ratings.ipynb</t>
    </r>
    <r>
      <rPr>
        <sz val="11"/>
        <color theme="1"/>
        <rFont val="Calibri"/>
        <family val="2"/>
        <scheme val="minor"/>
      </rPr>
      <t>, which compiles the data obtained from the original Fuel Consumption Ratings Datasets</t>
    </r>
  </si>
  <si>
    <t>Data Management Group. (2018). Transportation Tomorrow Survey (TTS) 2016. Department of Civil Engineering, University of Toronto. https://dmg.utoronto.ca/</t>
  </si>
  <si>
    <r>
      <rPr>
        <b/>
        <sz val="11"/>
        <color theme="1"/>
        <rFont val="Calibri"/>
        <family val="2"/>
        <scheme val="minor"/>
      </rPr>
      <t>Light-duty electric vehicle charging demand:</t>
    </r>
    <r>
      <rPr>
        <sz val="11"/>
        <color theme="1"/>
        <rFont val="Calibri"/>
        <family val="2"/>
        <scheme val="minor"/>
      </rPr>
      <t xml:space="preserve"> Mapping with population-weighted temperature in ON, using TTS 2016 travel survey data</t>
    </r>
  </si>
  <si>
    <t>**********************************************************************************************************************</t>
  </si>
  <si>
    <t>T_elc</t>
  </si>
  <si>
    <t>Fuel Conversions - derived from tables</t>
  </si>
  <si>
    <t>Energy Information Administration. (2023). Annual Energy Outlook 2023—Table 57: Components of Selected Petroleum Prices, East North Central Region, Reference case. https://www.eia.gov/outlooks/aeo/data/browser/#/?id=70-AEO2023&amp;region=1-3&amp;cases=ref2023&amp;start=2021&amp;end=2050&amp;f=A&amp;linechart=ref2023-d020623a.3-70-AEO2023.1-3&amp;map=ref2023-d020623a.3-70-AEO2023.1-3&amp;sourcekey=0</t>
  </si>
  <si>
    <t>Canada Energy Regulator. (2023). Canada’s Energy Future 2023 Data Appendices [dataset]. Canada Energy Regulator. https://doi.org/10.35002/ZJR8-8X75</t>
  </si>
  <si>
    <t>GDP at market price</t>
  </si>
  <si>
    <t>Consumer Price Index, annual (2002=100) - StatCan Table: 18-10-0005-01</t>
  </si>
  <si>
    <t>GDP implicit price index, annual (2017=100) - StatCan Table: 36-10-0130-01</t>
  </si>
  <si>
    <t>Inflation indicator:</t>
  </si>
  <si>
    <t>1: CPI, 2: GDP deflator</t>
  </si>
  <si>
    <t>2023USD to 2020CAD</t>
  </si>
  <si>
    <t>2019USD to 2020CAD</t>
  </si>
  <si>
    <t>2021USD to 2020CAD</t>
  </si>
  <si>
    <t>ª For most rating tests, the vehicle models did not use any gasoline during electric mode operation, thus, the energy consumption comes primarily from electricity. Combined consumption is also from city and highway driving cycles.</t>
  </si>
  <si>
    <t>All-electric Range (km)</t>
  </si>
  <si>
    <t>Change (2023-2050)</t>
  </si>
  <si>
    <t>Islam et al. 2023 (ANL/TAPS-23/3) - MHDV Avg. Fuel Efficiency projections (bkm/PJ)</t>
  </si>
  <si>
    <t>Vocation</t>
  </si>
  <si>
    <t>LINK TO SOURCE: 2023 DOE VTO/HFTO Transportation Decarbonization Analysis - Medium- and heavy-duty vehicles</t>
  </si>
  <si>
    <t>GVWR Class</t>
  </si>
  <si>
    <t>Autonomie name</t>
  </si>
  <si>
    <t>Cargo weight (kg)</t>
  </si>
  <si>
    <t>AER (mile)</t>
  </si>
  <si>
    <t>Battery capacity (kWh)</t>
  </si>
  <si>
    <t>conv_ci_class2_2023_low_medium_van</t>
  </si>
  <si>
    <t>conv_si_class2_2023_low_medium_van</t>
  </si>
  <si>
    <t>parhev_ci_class2_2023_low_medium_van</t>
  </si>
  <si>
    <t>parhev_si_class2_2023_low_medium_van</t>
  </si>
  <si>
    <t>seriesphev_ci_class2_2023_low_medium_van</t>
  </si>
  <si>
    <t>seriesphev_si_class2_2023_low_medium_van</t>
  </si>
  <si>
    <t>bev_class2_2023_low_medium_van</t>
  </si>
  <si>
    <t>fcev_class2_2023_low_medium_van</t>
  </si>
  <si>
    <t>fchev_class2_2023_low_medium_van</t>
  </si>
  <si>
    <t>conv_ci_class2_2025_low_medium_van</t>
  </si>
  <si>
    <t>conv_si_class2_2025_low_medium_van</t>
  </si>
  <si>
    <t>parhev_ci_class2_2025_low_medium_van</t>
  </si>
  <si>
    <t>parhev_si_class2_2025_low_medium_van</t>
  </si>
  <si>
    <t>seriesphev_ci_class2_2025_low_medium_van</t>
  </si>
  <si>
    <t>seriesphev_si_class2_2025_low_medium_van</t>
  </si>
  <si>
    <t>bev_class2_2025_low_medium_van</t>
  </si>
  <si>
    <t>fcev_class2_2025_low_medium_van</t>
  </si>
  <si>
    <t>fchev_class2_2025_low_medium_van</t>
  </si>
  <si>
    <t>conv_ci_class2_2030_low_medium_van</t>
  </si>
  <si>
    <t>conv_si_class2_2030_low_medium_van</t>
  </si>
  <si>
    <t>parhev_ci_class2_2030_low_medium_van</t>
  </si>
  <si>
    <t>parhev_si_class2_2030_low_medium_van</t>
  </si>
  <si>
    <t>seriesphev_ci_class2_2030_low_medium_van</t>
  </si>
  <si>
    <t>seriesphev_si_class2_2030_low_medium_van</t>
  </si>
  <si>
    <t>bev_class2_2030_low_medium_van</t>
  </si>
  <si>
    <t>fcev_class2_2030_low_medium_van</t>
  </si>
  <si>
    <t>fchev_class2_2030_low_medium_van</t>
  </si>
  <si>
    <t>conv_ci_class2_2035_low_medium_van</t>
  </si>
  <si>
    <t>conv_si_class2_2035_low_medium_van</t>
  </si>
  <si>
    <t>parhev_ci_class2_2035_low_medium_van</t>
  </si>
  <si>
    <t>parhev_si_class2_2035_low_medium_van</t>
  </si>
  <si>
    <t>seriesphev_ci_class2_2035_low_medium_van</t>
  </si>
  <si>
    <t>seriesphev_si_class2_2035_low_medium_van</t>
  </si>
  <si>
    <t>bev_class2_2035_low_medium_van</t>
  </si>
  <si>
    <t>fcev_class2_2035_low_medium_van</t>
  </si>
  <si>
    <t>fchev_class2_2035_low_medium_van</t>
  </si>
  <si>
    <t>conv_ci_class2_2050_low_medium_van</t>
  </si>
  <si>
    <t>conv_si_class2_2050_low_medium_van</t>
  </si>
  <si>
    <t>parhev_ci_class2_2050_low_medium_van</t>
  </si>
  <si>
    <t>parhev_si_class2_2050_low_medium_van</t>
  </si>
  <si>
    <t>seriesphev_ci_class2_2050_low_medium_van</t>
  </si>
  <si>
    <t>seriesphev_si_class2_2050_low_medium_van</t>
  </si>
  <si>
    <t>bev_class2_2050_low_medium_van</t>
  </si>
  <si>
    <t>fcev_class2_2050_low_medium_van</t>
  </si>
  <si>
    <t>fchev_class2_2050_low_medium_van</t>
  </si>
  <si>
    <t>conv_ci_class3_2023_low_medium_box</t>
  </si>
  <si>
    <t>conv_si_class3_2023_low_medium_box</t>
  </si>
  <si>
    <t>parhev_ci_class3_2023_low_medium_box</t>
  </si>
  <si>
    <t>parhev_si_class3_2023_low_medium_box</t>
  </si>
  <si>
    <t>seriesphev_ci_class3_2023_low_medium_box</t>
  </si>
  <si>
    <t>seriesphev_si_class3_2023_low_medium_box</t>
  </si>
  <si>
    <t>bev_class3_2023_low_medium_box</t>
  </si>
  <si>
    <t>fcev_class3_2023_low_medium_box</t>
  </si>
  <si>
    <t>fchev_class3_2023_low_medium_box</t>
  </si>
  <si>
    <t>conv_ci_class3_2025_low_medium_box</t>
  </si>
  <si>
    <t>conv_si_class3_2025_low_medium_box</t>
  </si>
  <si>
    <t>parhev_ci_class3_2025_low_medium_box</t>
  </si>
  <si>
    <t>parhev_si_class3_2025_low_medium_box</t>
  </si>
  <si>
    <t>seriesphev_ci_class3_2025_low_medium_box</t>
  </si>
  <si>
    <t>seriesphev_si_class3_2025_low_medium_box</t>
  </si>
  <si>
    <t>bev_class3_2025_low_medium_box</t>
  </si>
  <si>
    <t>fcev_class3_2025_low_medium_box</t>
  </si>
  <si>
    <t>fchev_class3_2025_low_medium_box</t>
  </si>
  <si>
    <t>conv_ci_class3_2030_low_medium_box</t>
  </si>
  <si>
    <t>conv_si_class3_2030_low_medium_box</t>
  </si>
  <si>
    <t>parhev_ci_class3_2030_low_medium_box</t>
  </si>
  <si>
    <t>parhev_si_class3_2030_low_medium_box</t>
  </si>
  <si>
    <t>seriesphev_ci_class3_2030_low_medium_box</t>
  </si>
  <si>
    <t>seriesphev_si_class3_2030_low_medium_box</t>
  </si>
  <si>
    <t>bev_class3_2030_low_medium_box</t>
  </si>
  <si>
    <t>fcev_class3_2030_low_medium_box</t>
  </si>
  <si>
    <t>fchev_class3_2030_low_medium_box</t>
  </si>
  <si>
    <t>conv_ci_class3_2035_low_medium_box</t>
  </si>
  <si>
    <t>conv_si_class3_2035_low_medium_box</t>
  </si>
  <si>
    <t>parhev_ci_class3_2035_low_medium_box</t>
  </si>
  <si>
    <t>parhev_si_class3_2035_low_medium_box</t>
  </si>
  <si>
    <t>seriesphev_ci_class3_2035_low_medium_box</t>
  </si>
  <si>
    <t>seriesphev_si_class3_2035_low_medium_box</t>
  </si>
  <si>
    <t>bev_class3_2035_low_medium_box</t>
  </si>
  <si>
    <t>fcev_class3_2035_low_medium_box</t>
  </si>
  <si>
    <t>fchev_class3_2035_low_medium_box</t>
  </si>
  <si>
    <t>conv_ci_class3_2050_low_medium_box</t>
  </si>
  <si>
    <t>conv_si_class3_2050_low_medium_box</t>
  </si>
  <si>
    <t>parhev_ci_class3_2050_low_medium_box</t>
  </si>
  <si>
    <t>parhev_si_class3_2050_low_medium_box</t>
  </si>
  <si>
    <t>seriesphev_ci_class3_2050_low_medium_box</t>
  </si>
  <si>
    <t>seriesphev_si_class3_2050_low_medium_box</t>
  </si>
  <si>
    <t>bev_class3_2050_low_medium_box</t>
  </si>
  <si>
    <t>fcev_class3_2050_low_medium_box</t>
  </si>
  <si>
    <t>fchev_class3_2050_low_medium_box</t>
  </si>
  <si>
    <t>conv_ci_class3_2023_low_medium_van</t>
  </si>
  <si>
    <t>conv_si_class3_2023_low_medium_van</t>
  </si>
  <si>
    <t>parhev_ci_class3_2023_low_medium_van</t>
  </si>
  <si>
    <t>parhev_si_class3_2023_low_medium_van</t>
  </si>
  <si>
    <t>seriesphev_ci_class3_2023_low_medium_van</t>
  </si>
  <si>
    <t>seriesphev_si_class3_2023_low_medium_van</t>
  </si>
  <si>
    <t>bev_class3_2023_low_medium_van</t>
  </si>
  <si>
    <t>fcev_class3_2023_low_medium_van</t>
  </si>
  <si>
    <t>fchev_class3_2023_low_medium_van</t>
  </si>
  <si>
    <t>conv_ci_class3_2025_low_medium_van</t>
  </si>
  <si>
    <t>conv_si_class3_2025_low_medium_van</t>
  </si>
  <si>
    <t>parhev_ci_class3_2025_low_medium_van</t>
  </si>
  <si>
    <t>parhev_si_class3_2025_low_medium_van</t>
  </si>
  <si>
    <t>seriesphev_ci_class3_2025_low_medium_van</t>
  </si>
  <si>
    <t>seriesphev_si_class3_2025_low_medium_van</t>
  </si>
  <si>
    <t>bev_class3_2025_low_medium_van</t>
  </si>
  <si>
    <t>fcev_class3_2025_low_medium_van</t>
  </si>
  <si>
    <t>fchev_class3_2025_low_medium_van</t>
  </si>
  <si>
    <t>conv_ci_class3_2030_low_medium_van</t>
  </si>
  <si>
    <t>conv_si_class3_2030_low_medium_van</t>
  </si>
  <si>
    <t>parhev_ci_class3_2030_low_medium_van</t>
  </si>
  <si>
    <t>parhev_si_class3_2030_low_medium_van</t>
  </si>
  <si>
    <t>seriesphev_ci_class3_2030_low_medium_van</t>
  </si>
  <si>
    <t>seriesphev_si_class3_2030_low_medium_van</t>
  </si>
  <si>
    <t>bev_class3_2030_low_medium_van</t>
  </si>
  <si>
    <t>fcev_class3_2030_low_medium_van</t>
  </si>
  <si>
    <t>fchev_class3_2030_low_medium_van</t>
  </si>
  <si>
    <t>conv_ci_class3_2035_low_medium_van</t>
  </si>
  <si>
    <t>conv_si_class3_2035_low_medium_van</t>
  </si>
  <si>
    <t>parhev_ci_class3_2035_low_medium_van</t>
  </si>
  <si>
    <t>parhev_si_class3_2035_low_medium_van</t>
  </si>
  <si>
    <t>seriesphev_ci_class3_2035_low_medium_van</t>
  </si>
  <si>
    <t>seriesphev_si_class3_2035_low_medium_van</t>
  </si>
  <si>
    <t>bev_class3_2035_low_medium_van</t>
  </si>
  <si>
    <t>fcev_class3_2035_low_medium_van</t>
  </si>
  <si>
    <t>fchev_class3_2035_low_medium_van</t>
  </si>
  <si>
    <t>conv_ci_class3_2050_low_medium_van</t>
  </si>
  <si>
    <t>conv_si_class3_2050_low_medium_van</t>
  </si>
  <si>
    <t>parhev_ci_class3_2050_low_medium_van</t>
  </si>
  <si>
    <t>parhev_si_class3_2050_low_medium_van</t>
  </si>
  <si>
    <t>seriesphev_ci_class3_2050_low_medium_van</t>
  </si>
  <si>
    <t>seriesphev_si_class3_2050_low_medium_van</t>
  </si>
  <si>
    <t>bev_class3_2050_low_medium_van</t>
  </si>
  <si>
    <t>fcev_class3_2050_low_medium_van</t>
  </si>
  <si>
    <t>fchev_class3_2050_low_medium_van</t>
  </si>
  <si>
    <t>conv_ci_class3_2023_low_medium_school</t>
  </si>
  <si>
    <t>conv_si_class3_2023_low_medium_school</t>
  </si>
  <si>
    <t>parhev_ci_class3_2023_low_medium_school</t>
  </si>
  <si>
    <t>parhev_si_class3_2023_low_medium_school</t>
  </si>
  <si>
    <t>seriesphev_ci_class3_2023_low_medium_school</t>
  </si>
  <si>
    <t>seriesphev_si_class3_2023_low_medium_school</t>
  </si>
  <si>
    <t>bev_class3_2023_low_medium_school</t>
  </si>
  <si>
    <t>fcev_class3_2023_low_medium_school</t>
  </si>
  <si>
    <t>fchev_class3_2023_low_medium_school</t>
  </si>
  <si>
    <t>conv_ci_class3_2025_low_medium_school</t>
  </si>
  <si>
    <t>conv_si_class3_2025_low_medium_school</t>
  </si>
  <si>
    <t>parhev_ci_class3_2025_low_medium_school</t>
  </si>
  <si>
    <t>parhev_si_class3_2025_low_medium_school</t>
  </si>
  <si>
    <t>seriesphev_ci_class3_2025_low_medium_school</t>
  </si>
  <si>
    <t>seriesphev_si_class3_2025_low_medium_school</t>
  </si>
  <si>
    <t>bev_class3_2025_low_medium_school</t>
  </si>
  <si>
    <t>fcev_class3_2025_low_medium_school</t>
  </si>
  <si>
    <t>fchev_class3_2025_low_medium_school</t>
  </si>
  <si>
    <t>conv_ci_class3_2030_low_medium_school</t>
  </si>
  <si>
    <t>conv_si_class3_2030_low_medium_school</t>
  </si>
  <si>
    <t>parhev_ci_class3_2030_low_medium_school</t>
  </si>
  <si>
    <t>parhev_si_class3_2030_low_medium_school</t>
  </si>
  <si>
    <t>seriesphev_ci_class3_2030_low_medium_school</t>
  </si>
  <si>
    <t>seriesphev_si_class3_2030_low_medium_school</t>
  </si>
  <si>
    <t>bev_class3_2030_low_medium_school</t>
  </si>
  <si>
    <t>fcev_class3_2030_low_medium_school</t>
  </si>
  <si>
    <t>fchev_class3_2030_low_medium_school</t>
  </si>
  <si>
    <t>conv_ci_class3_2035_low_medium_school</t>
  </si>
  <si>
    <t>conv_si_class3_2035_low_medium_school</t>
  </si>
  <si>
    <t>parhev_ci_class3_2035_low_medium_school</t>
  </si>
  <si>
    <t>parhev_si_class3_2035_low_medium_school</t>
  </si>
  <si>
    <t>seriesphev_ci_class3_2035_low_medium_school</t>
  </si>
  <si>
    <t>seriesphev_si_class3_2035_low_medium_school</t>
  </si>
  <si>
    <t>bev_class3_2035_low_medium_school</t>
  </si>
  <si>
    <t>fcev_class3_2035_low_medium_school</t>
  </si>
  <si>
    <t>fchev_class3_2035_low_medium_school</t>
  </si>
  <si>
    <t>conv_ci_class3_2050_low_medium_school</t>
  </si>
  <si>
    <t>conv_si_class3_2050_low_medium_school</t>
  </si>
  <si>
    <t>parhev_ci_class3_2050_low_medium_school</t>
  </si>
  <si>
    <t>parhev_si_class3_2050_low_medium_school</t>
  </si>
  <si>
    <t>seriesphev_ci_class3_2050_low_medium_school</t>
  </si>
  <si>
    <t>seriesphev_si_class3_2050_low_medium_school</t>
  </si>
  <si>
    <t>bev_class3_2050_low_medium_school</t>
  </si>
  <si>
    <t>fcev_class3_2050_low_medium_school</t>
  </si>
  <si>
    <t>fchev_class3_2050_low_medium_school</t>
  </si>
  <si>
    <t>conv_ci_class3_2023_low_medium_pickup</t>
  </si>
  <si>
    <t>conv_si_class3_2023_low_medium_pickup</t>
  </si>
  <si>
    <t>parhev_ci_class3_2023_low_medium_pickup</t>
  </si>
  <si>
    <t>parhev_si_class3_2023_low_medium_pickup</t>
  </si>
  <si>
    <t>seriesphev_ci_class3_2023_low_medium_pickup</t>
  </si>
  <si>
    <t>seriesphev_si_class3_2023_low_medium_pickup</t>
  </si>
  <si>
    <t>bev_class3_2023_low_medium_pickup</t>
  </si>
  <si>
    <t>fcev_class3_2023_low_medium_pickup</t>
  </si>
  <si>
    <t>fchev_class3_2023_low_medium_pickup</t>
  </si>
  <si>
    <t>conv_ci_class3_2025_low_medium_pickup</t>
  </si>
  <si>
    <t>conv_si_class3_2025_low_medium_pickup</t>
  </si>
  <si>
    <t>parhev_ci_class3_2025_low_medium_pickup</t>
  </si>
  <si>
    <t>parhev_si_class3_2025_low_medium_pickup</t>
  </si>
  <si>
    <t>seriesphev_ci_class3_2025_low_medium_pickup</t>
  </si>
  <si>
    <t>seriesphev_si_class3_2025_low_medium_pickup</t>
  </si>
  <si>
    <t>bev_class3_2025_low_medium_pickup</t>
  </si>
  <si>
    <t>fcev_class3_2025_low_medium_pickup</t>
  </si>
  <si>
    <t>fchev_class3_2025_low_medium_pickup</t>
  </si>
  <si>
    <t>conv_ci_class3_2030_low_medium_pickup</t>
  </si>
  <si>
    <t>conv_si_class3_2030_low_medium_pickup</t>
  </si>
  <si>
    <t>parhev_ci_class3_2030_low_medium_pickup</t>
  </si>
  <si>
    <t>parhev_si_class3_2030_low_medium_pickup</t>
  </si>
  <si>
    <t>seriesphev_ci_class3_2030_low_medium_pickup</t>
  </si>
  <si>
    <t>seriesphev_si_class3_2030_low_medium_pickup</t>
  </si>
  <si>
    <t>bev_class3_2030_low_medium_pickup</t>
  </si>
  <si>
    <t>fcev_class3_2030_low_medium_pickup</t>
  </si>
  <si>
    <t>fchev_class3_2030_low_medium_pickup</t>
  </si>
  <si>
    <t>conv_ci_class3_2035_low_medium_pickup</t>
  </si>
  <si>
    <t>conv_si_class3_2035_low_medium_pickup</t>
  </si>
  <si>
    <t>parhev_ci_class3_2035_low_medium_pickup</t>
  </si>
  <si>
    <t>parhev_si_class3_2035_low_medium_pickup</t>
  </si>
  <si>
    <t>seriesphev_ci_class3_2035_low_medium_pickup</t>
  </si>
  <si>
    <t>seriesphev_si_class3_2035_low_medium_pickup</t>
  </si>
  <si>
    <t>bev_class3_2035_low_medium_pickup</t>
  </si>
  <si>
    <t>fcev_class3_2035_low_medium_pickup</t>
  </si>
  <si>
    <t>fchev_class3_2035_low_medium_pickup</t>
  </si>
  <si>
    <t>conv_ci_class3_2050_low_medium_pickup</t>
  </si>
  <si>
    <t>conv_si_class3_2050_low_medium_pickup</t>
  </si>
  <si>
    <t>parhev_ci_class3_2050_low_medium_pickup</t>
  </si>
  <si>
    <t>parhev_si_class3_2050_low_medium_pickup</t>
  </si>
  <si>
    <t>seriesphev_ci_class3_2050_low_medium_pickup</t>
  </si>
  <si>
    <t>seriesphev_si_class3_2050_low_medium_pickup</t>
  </si>
  <si>
    <t>bev_class3_2050_low_medium_pickup</t>
  </si>
  <si>
    <t>fcev_class3_2050_low_medium_pickup</t>
  </si>
  <si>
    <t>fchev_class3_2050_low_medium_pickup</t>
  </si>
  <si>
    <t>conv_ci_class4_2023_low_medium_box</t>
  </si>
  <si>
    <t>conv_si_class4_2023_low_medium_box</t>
  </si>
  <si>
    <t>parhev_ci_class4_2023_low_medium_box</t>
  </si>
  <si>
    <t>parhev_si_class4_2023_low_medium_box</t>
  </si>
  <si>
    <t>seriesphev_ci_class4_2023_low_medium_box</t>
  </si>
  <si>
    <t>seriesphev_si_class4_2023_low_medium_box</t>
  </si>
  <si>
    <t>bev_class4_2023_low_medium_box</t>
  </si>
  <si>
    <t>fcev_class4_2023_low_medium_box</t>
  </si>
  <si>
    <t>fchev_class4_2023_low_medium_box</t>
  </si>
  <si>
    <t>conv_ci_class4_2025_low_medium_box</t>
  </si>
  <si>
    <t>conv_si_class4_2025_low_medium_box</t>
  </si>
  <si>
    <t>parhev_ci_class4_2025_low_medium_box</t>
  </si>
  <si>
    <t>parhev_si_class4_2025_low_medium_box</t>
  </si>
  <si>
    <t>seriesphev_ci_class4_2025_low_medium_box</t>
  </si>
  <si>
    <t>seriesphev_si_class4_2025_low_medium_box</t>
  </si>
  <si>
    <t>bev_class4_2025_low_medium_box</t>
  </si>
  <si>
    <t>fcev_class4_2025_low_medium_box</t>
  </si>
  <si>
    <t>fchev_class4_2025_low_medium_box</t>
  </si>
  <si>
    <t>conv_ci_class4_2030_low_medium_box</t>
  </si>
  <si>
    <t>conv_si_class4_2030_low_medium_box</t>
  </si>
  <si>
    <t>parhev_ci_class4_2030_low_medium_box</t>
  </si>
  <si>
    <t>parhev_si_class4_2030_low_medium_box</t>
  </si>
  <si>
    <t>seriesphev_ci_class4_2030_low_medium_box</t>
  </si>
  <si>
    <t>seriesphev_si_class4_2030_low_medium_box</t>
  </si>
  <si>
    <t>bev_class4_2030_low_medium_box</t>
  </si>
  <si>
    <t>fcev_class4_2030_low_medium_box</t>
  </si>
  <si>
    <t>fchev_class4_2030_low_medium_box</t>
  </si>
  <si>
    <t>conv_ci_class4_2035_low_medium_box</t>
  </si>
  <si>
    <t>conv_si_class4_2035_low_medium_box</t>
  </si>
  <si>
    <t>parhev_ci_class4_2035_low_medium_box</t>
  </si>
  <si>
    <t>parhev_si_class4_2035_low_medium_box</t>
  </si>
  <si>
    <t>seriesphev_ci_class4_2035_low_medium_box</t>
  </si>
  <si>
    <t>seriesphev_si_class4_2035_low_medium_box</t>
  </si>
  <si>
    <t>bev_class4_2035_low_medium_box</t>
  </si>
  <si>
    <t>fcev_class4_2035_low_medium_box</t>
  </si>
  <si>
    <t>fchev_class4_2035_low_medium_box</t>
  </si>
  <si>
    <t>conv_ci_class4_2050_low_medium_box</t>
  </si>
  <si>
    <t>conv_si_class4_2050_low_medium_box</t>
  </si>
  <si>
    <t>parhev_ci_class4_2050_low_medium_box</t>
  </si>
  <si>
    <t>parhev_si_class4_2050_low_medium_box</t>
  </si>
  <si>
    <t>seriesphev_ci_class4_2050_low_medium_box</t>
  </si>
  <si>
    <t>seriesphev_si_class4_2050_low_medium_box</t>
  </si>
  <si>
    <t>bev_class4_2050_low_medium_box</t>
  </si>
  <si>
    <t>fcev_class4_2050_low_medium_box</t>
  </si>
  <si>
    <t>fchev_class4_2050_low_medium_box</t>
  </si>
  <si>
    <t>conv_ci_class4_2023_low_medium_stepvan</t>
  </si>
  <si>
    <t>conv_si_class4_2023_low_medium_stepvan</t>
  </si>
  <si>
    <t>parhev_ci_class4_2023_low_medium_stepvan</t>
  </si>
  <si>
    <t>parhev_si_class4_2023_low_medium_stepvan</t>
  </si>
  <si>
    <t>seriesphev_ci_class4_2023_low_medium_stepvan</t>
  </si>
  <si>
    <t>seriesphev_si_class4_2023_low_medium_stepvan</t>
  </si>
  <si>
    <t>bev_class4_2023_low_medium_stepvan</t>
  </si>
  <si>
    <t>fcev_class4_2023_low_medium_stepvan</t>
  </si>
  <si>
    <t>fchev_class4_2023_low_medium_stepvan</t>
  </si>
  <si>
    <t>conv_ci_class4_2025_low_medium_stepvan</t>
  </si>
  <si>
    <t>conv_si_class4_2025_low_medium_stepvan</t>
  </si>
  <si>
    <t>parhev_ci_class4_2025_low_medium_stepvan</t>
  </si>
  <si>
    <t>parhev_si_class4_2025_low_medium_stepvan</t>
  </si>
  <si>
    <t>seriesphev_ci_class4_2025_low_medium_stepvan</t>
  </si>
  <si>
    <t>seriesphev_si_class4_2025_low_medium_stepvan</t>
  </si>
  <si>
    <t>bev_class4_2025_low_medium_stepvan</t>
  </si>
  <si>
    <t>fcev_class4_2025_low_medium_stepvan</t>
  </si>
  <si>
    <t>fchev_class4_2025_low_medium_stepvan</t>
  </si>
  <si>
    <t>conv_ci_class4_2030_low_medium_stepvan</t>
  </si>
  <si>
    <t>conv_si_class4_2030_low_medium_stepvan</t>
  </si>
  <si>
    <t>parhev_ci_class4_2030_low_medium_stepvan</t>
  </si>
  <si>
    <t>parhev_si_class4_2030_low_medium_stepvan</t>
  </si>
  <si>
    <t>seriesphev_ci_class4_2030_low_medium_stepvan</t>
  </si>
  <si>
    <t>seriesphev_si_class4_2030_low_medium_stepvan</t>
  </si>
  <si>
    <t>bev_class4_2030_low_medium_stepvan</t>
  </si>
  <si>
    <t>fcev_class4_2030_low_medium_stepvan</t>
  </si>
  <si>
    <t>fchev_class4_2030_low_medium_stepvan</t>
  </si>
  <si>
    <t>conv_ci_class4_2035_low_medium_stepvan</t>
  </si>
  <si>
    <t>conv_si_class4_2035_low_medium_stepvan</t>
  </si>
  <si>
    <t>parhev_ci_class4_2035_low_medium_stepvan</t>
  </si>
  <si>
    <t>parhev_si_class4_2035_low_medium_stepvan</t>
  </si>
  <si>
    <t>seriesphev_ci_class4_2035_low_medium_stepvan</t>
  </si>
  <si>
    <t>seriesphev_si_class4_2035_low_medium_stepvan</t>
  </si>
  <si>
    <t>bev_class4_2035_low_medium_stepvan</t>
  </si>
  <si>
    <t>fcev_class4_2035_low_medium_stepvan</t>
  </si>
  <si>
    <t>fchev_class4_2035_low_medium_stepvan</t>
  </si>
  <si>
    <t>conv_ci_class4_2050_low_medium_stepvan</t>
  </si>
  <si>
    <t>conv_si_class4_2050_low_medium_stepvan</t>
  </si>
  <si>
    <t>parhev_ci_class4_2050_low_medium_stepvan</t>
  </si>
  <si>
    <t>parhev_si_class4_2050_low_medium_stepvan</t>
  </si>
  <si>
    <t>seriesphev_ci_class4_2050_low_medium_stepvan</t>
  </si>
  <si>
    <t>seriesphev_si_class4_2050_low_medium_stepvan</t>
  </si>
  <si>
    <t>bev_class4_2050_low_medium_stepvan</t>
  </si>
  <si>
    <t>fcev_class4_2050_low_medium_stepvan</t>
  </si>
  <si>
    <t>fchev_class4_2050_low_medium_stepvan</t>
  </si>
  <si>
    <t>conv_ci_class4_2023_low_medium_service</t>
  </si>
  <si>
    <t>conv_si_class4_2023_low_medium_service</t>
  </si>
  <si>
    <t>parhev_ci_class4_2023_low_medium_service</t>
  </si>
  <si>
    <t>parhev_si_class4_2023_low_medium_service</t>
  </si>
  <si>
    <t>seriesphev_ci_class4_2023_low_medium_service</t>
  </si>
  <si>
    <t>seriesphev_si_class4_2023_low_medium_service</t>
  </si>
  <si>
    <t>bev_class4_2023_low_medium_service</t>
  </si>
  <si>
    <t>fcev_class4_2023_low_medium_service</t>
  </si>
  <si>
    <t>fchev_class4_2023_low_medium_service</t>
  </si>
  <si>
    <t>conv_ci_class4_2025_low_medium_service</t>
  </si>
  <si>
    <t>conv_si_class4_2025_low_medium_service</t>
  </si>
  <si>
    <t>parhev_ci_class4_2025_low_medium_service</t>
  </si>
  <si>
    <t>parhev_si_class4_2025_low_medium_service</t>
  </si>
  <si>
    <t>seriesphev_ci_class4_2025_low_medium_service</t>
  </si>
  <si>
    <t>seriesphev_si_class4_2025_low_medium_service</t>
  </si>
  <si>
    <t>bev_class4_2025_low_medium_service</t>
  </si>
  <si>
    <t>fcev_class4_2025_low_medium_service</t>
  </si>
  <si>
    <t>fchev_class4_2025_low_medium_service</t>
  </si>
  <si>
    <t>conv_ci_class4_2030_low_medium_service</t>
  </si>
  <si>
    <t>conv_si_class4_2030_low_medium_service</t>
  </si>
  <si>
    <t>parhev_ci_class4_2030_low_medium_service</t>
  </si>
  <si>
    <t>parhev_si_class4_2030_low_medium_service</t>
  </si>
  <si>
    <t>seriesphev_ci_class4_2030_low_medium_service</t>
  </si>
  <si>
    <t>seriesphev_si_class4_2030_low_medium_service</t>
  </si>
  <si>
    <t>bev_class4_2030_low_medium_service</t>
  </si>
  <si>
    <t>fcev_class4_2030_low_medium_service</t>
  </si>
  <si>
    <t>fchev_class4_2030_low_medium_service</t>
  </si>
  <si>
    <t>conv_ci_class4_2035_low_medium_service</t>
  </si>
  <si>
    <t>conv_si_class4_2035_low_medium_service</t>
  </si>
  <si>
    <t>parhev_ci_class4_2035_low_medium_service</t>
  </si>
  <si>
    <t>parhev_si_class4_2035_low_medium_service</t>
  </si>
  <si>
    <t>seriesphev_ci_class4_2035_low_medium_service</t>
  </si>
  <si>
    <t>seriesphev_si_class4_2035_low_medium_service</t>
  </si>
  <si>
    <t>bev_class4_2035_low_medium_service</t>
  </si>
  <si>
    <t>fcev_class4_2035_low_medium_service</t>
  </si>
  <si>
    <t>fchev_class4_2035_low_medium_service</t>
  </si>
  <si>
    <t>conv_ci_class4_2050_low_medium_service</t>
  </si>
  <si>
    <t>conv_si_class4_2050_low_medium_service</t>
  </si>
  <si>
    <t>parhev_ci_class4_2050_low_medium_service</t>
  </si>
  <si>
    <t>parhev_si_class4_2050_low_medium_service</t>
  </si>
  <si>
    <t>seriesphev_ci_class4_2050_low_medium_service</t>
  </si>
  <si>
    <t>seriesphev_si_class4_2050_low_medium_service</t>
  </si>
  <si>
    <t>bev_class4_2050_low_medium_service</t>
  </si>
  <si>
    <t>fcev_class4_2050_low_medium_service</t>
  </si>
  <si>
    <t>fchev_class4_2050_low_medium_service</t>
  </si>
  <si>
    <t>conv_ci_class5_2023_low_medium_utility</t>
  </si>
  <si>
    <t>conv_si_class5_2023_low_medium_utility</t>
  </si>
  <si>
    <t>parhev_ci_class5_2023_low_medium_utility</t>
  </si>
  <si>
    <t>parhev_si_class5_2023_low_medium_utility</t>
  </si>
  <si>
    <t>seriesphev_ci_class5_2023_low_medium_utility</t>
  </si>
  <si>
    <t>seriesphev_si_class5_2023_low_medium_utility</t>
  </si>
  <si>
    <t>bev_class5_2023_low_medium_utility</t>
  </si>
  <si>
    <t>fcev_class5_2023_low_medium_utility</t>
  </si>
  <si>
    <t>fchev_class5_2023_low_medium_utility</t>
  </si>
  <si>
    <t>conv_ci_class5_2025_low_medium_utility</t>
  </si>
  <si>
    <t>conv_si_class5_2025_low_medium_utility</t>
  </si>
  <si>
    <t>parhev_ci_class5_2025_low_medium_utility</t>
  </si>
  <si>
    <t>parhev_si_class5_2025_low_medium_utility</t>
  </si>
  <si>
    <t>seriesphev_ci_class5_2025_low_medium_utility</t>
  </si>
  <si>
    <t>seriesphev_si_class5_2025_low_medium_utility</t>
  </si>
  <si>
    <t>bev_class5_2025_low_medium_utility</t>
  </si>
  <si>
    <t>fcev_class5_2025_low_medium_utility</t>
  </si>
  <si>
    <t>fchev_class5_2025_low_medium_utility</t>
  </si>
  <si>
    <t>conv_ci_class5_2030_low_medium_utility</t>
  </si>
  <si>
    <t>conv_si_class5_2030_low_medium_utility</t>
  </si>
  <si>
    <t>parhev_ci_class5_2030_low_medium_utility</t>
  </si>
  <si>
    <t>parhev_si_class5_2030_low_medium_utility</t>
  </si>
  <si>
    <t>seriesphev_ci_class5_2030_low_medium_utility</t>
  </si>
  <si>
    <t>seriesphev_si_class5_2030_low_medium_utility</t>
  </si>
  <si>
    <t>bev_class5_2030_low_medium_utility</t>
  </si>
  <si>
    <t>fcev_class5_2030_low_medium_utility</t>
  </si>
  <si>
    <t>fchev_class5_2030_low_medium_utility</t>
  </si>
  <si>
    <t>conv_ci_class5_2035_low_medium_utility</t>
  </si>
  <si>
    <t>conv_si_class5_2035_low_medium_utility</t>
  </si>
  <si>
    <t>parhev_ci_class5_2035_low_medium_utility</t>
  </si>
  <si>
    <t>parhev_si_class5_2035_low_medium_utility</t>
  </si>
  <si>
    <t>seriesphev_ci_class5_2035_low_medium_utility</t>
  </si>
  <si>
    <t>seriesphev_si_class5_2035_low_medium_utility</t>
  </si>
  <si>
    <t>bev_class5_2035_low_medium_utility</t>
  </si>
  <si>
    <t>fcev_class5_2035_low_medium_utility</t>
  </si>
  <si>
    <t>fchev_class5_2035_low_medium_utility</t>
  </si>
  <si>
    <t>conv_ci_class5_2050_low_medium_utility</t>
  </si>
  <si>
    <t>conv_si_class5_2050_low_medium_utility</t>
  </si>
  <si>
    <t>parhev_ci_class5_2050_low_medium_utility</t>
  </si>
  <si>
    <t>parhev_si_class5_2050_low_medium_utility</t>
  </si>
  <si>
    <t>seriesphev_ci_class5_2050_low_medium_utility</t>
  </si>
  <si>
    <t>seriesphev_si_class5_2050_low_medium_utility</t>
  </si>
  <si>
    <t>bev_class5_2050_low_medium_utility</t>
  </si>
  <si>
    <t>fcev_class5_2050_low_medium_utility</t>
  </si>
  <si>
    <t>fchev_class5_2050_low_medium_utility</t>
  </si>
  <si>
    <t>conv_ci_class6_2023_low_medium_stepvan</t>
  </si>
  <si>
    <t>conv_si_class6_2023_low_medium_stepvan</t>
  </si>
  <si>
    <t>parhev_ci_class6_2023_low_medium_stepvan</t>
  </si>
  <si>
    <t>parhev_si_class6_2023_low_medium_stepvan</t>
  </si>
  <si>
    <t>seriesphev_ci_class6_2023_low_medium_stepvan</t>
  </si>
  <si>
    <t>seriesphev_si_class6_2023_low_medium_stepvan</t>
  </si>
  <si>
    <t>bev_class6_2023_low_medium_stepvan</t>
  </si>
  <si>
    <t>fcev_class6_2023_low_medium_stepvan</t>
  </si>
  <si>
    <t>fchev_class6_2023_low_medium_stepvan</t>
  </si>
  <si>
    <t>conv_ci_class6_2025_low_medium_stepvan</t>
  </si>
  <si>
    <t>conv_si_class6_2025_low_medium_stepvan</t>
  </si>
  <si>
    <t>parhev_ci_class6_2025_low_medium_stepvan</t>
  </si>
  <si>
    <t>parhev_si_class6_2025_low_medium_stepvan</t>
  </si>
  <si>
    <t>seriesphev_ci_class6_2025_low_medium_stepvan</t>
  </si>
  <si>
    <t>seriesphev_si_class6_2025_low_medium_stepvan</t>
  </si>
  <si>
    <t>bev_class6_2025_low_medium_stepvan</t>
  </si>
  <si>
    <t>fcev_class6_2025_low_medium_stepvan</t>
  </si>
  <si>
    <t>fchev_class6_2025_low_medium_stepvan</t>
  </si>
  <si>
    <t>conv_ci_class6_2030_low_medium_stepvan</t>
  </si>
  <si>
    <t>conv_si_class6_2030_low_medium_stepvan</t>
  </si>
  <si>
    <t>parhev_ci_class6_2030_low_medium_stepvan</t>
  </si>
  <si>
    <t>parhev_si_class6_2030_low_medium_stepvan</t>
  </si>
  <si>
    <t>seriesphev_ci_class6_2030_low_medium_stepvan</t>
  </si>
  <si>
    <t>seriesphev_si_class6_2030_low_medium_stepvan</t>
  </si>
  <si>
    <t>bev_class6_2030_low_medium_stepvan</t>
  </si>
  <si>
    <t>fcev_class6_2030_low_medium_stepvan</t>
  </si>
  <si>
    <t>fchev_class6_2030_low_medium_stepvan</t>
  </si>
  <si>
    <t>conv_ci_class6_2035_low_medium_stepvan</t>
  </si>
  <si>
    <t>conv_si_class6_2035_low_medium_stepvan</t>
  </si>
  <si>
    <t>parhev_ci_class6_2035_low_medium_stepvan</t>
  </si>
  <si>
    <t>parhev_si_class6_2035_low_medium_stepvan</t>
  </si>
  <si>
    <t>seriesphev_ci_class6_2035_low_medium_stepvan</t>
  </si>
  <si>
    <t>seriesphev_si_class6_2035_low_medium_stepvan</t>
  </si>
  <si>
    <t>bev_class6_2035_low_medium_stepvan</t>
  </si>
  <si>
    <t>fcev_class6_2035_low_medium_stepvan</t>
  </si>
  <si>
    <t>fchev_class6_2035_low_medium_stepvan</t>
  </si>
  <si>
    <t>conv_ci_class6_2050_low_medium_stepvan</t>
  </si>
  <si>
    <t>conv_si_class6_2050_low_medium_stepvan</t>
  </si>
  <si>
    <t>parhev_ci_class6_2050_low_medium_stepvan</t>
  </si>
  <si>
    <t>parhev_si_class6_2050_low_medium_stepvan</t>
  </si>
  <si>
    <t>seriesphev_ci_class6_2050_low_medium_stepvan</t>
  </si>
  <si>
    <t>seriesphev_si_class6_2050_low_medium_stepvan</t>
  </si>
  <si>
    <t>bev_class6_2050_low_medium_stepvan</t>
  </si>
  <si>
    <t>fcev_class6_2050_low_medium_stepvan</t>
  </si>
  <si>
    <t>fchev_class6_2050_low_medium_stepvan</t>
  </si>
  <si>
    <t>conv_ci_class6_2023_low_medium_box</t>
  </si>
  <si>
    <t>conv_si_class6_2023_low_medium_box</t>
  </si>
  <si>
    <t>parhev_ci_class6_2023_low_medium_box</t>
  </si>
  <si>
    <t>parhev_si_class6_2023_low_medium_box</t>
  </si>
  <si>
    <t>seriesphev_ci_class6_2023_low_medium_box</t>
  </si>
  <si>
    <t>seriesphev_si_class6_2023_low_medium_box</t>
  </si>
  <si>
    <t>bev_class6_2023_low_medium_box</t>
  </si>
  <si>
    <t>fcev_class6_2023_low_medium_box</t>
  </si>
  <si>
    <t>fchev_class6_2023_low_medium_box</t>
  </si>
  <si>
    <t>conv_ci_class6_2025_low_medium_box</t>
  </si>
  <si>
    <t>conv_si_class6_2025_low_medium_box</t>
  </si>
  <si>
    <t>parhev_ci_class6_2025_low_medium_box</t>
  </si>
  <si>
    <t>parhev_si_class6_2025_low_medium_box</t>
  </si>
  <si>
    <t>seriesphev_ci_class6_2025_low_medium_box</t>
  </si>
  <si>
    <t>seriesphev_si_class6_2025_low_medium_box</t>
  </si>
  <si>
    <t>bev_class6_2025_low_medium_box</t>
  </si>
  <si>
    <t>fcev_class6_2025_low_medium_box</t>
  </si>
  <si>
    <t>fchev_class6_2025_low_medium_box</t>
  </si>
  <si>
    <t>conv_ci_class6_2030_low_medium_box</t>
  </si>
  <si>
    <t>conv_si_class6_2030_low_medium_box</t>
  </si>
  <si>
    <t>parhev_ci_class6_2030_low_medium_box</t>
  </si>
  <si>
    <t>parhev_si_class6_2030_low_medium_box</t>
  </si>
  <si>
    <t>seriesphev_ci_class6_2030_low_medium_box</t>
  </si>
  <si>
    <t>seriesphev_si_class6_2030_low_medium_box</t>
  </si>
  <si>
    <t>bev_class6_2030_low_medium_box</t>
  </si>
  <si>
    <t>fcev_class6_2030_low_medium_box</t>
  </si>
  <si>
    <t>fchev_class6_2030_low_medium_box</t>
  </si>
  <si>
    <t>conv_ci_class6_2035_low_medium_box</t>
  </si>
  <si>
    <t>conv_si_class6_2035_low_medium_box</t>
  </si>
  <si>
    <t>parhev_ci_class6_2035_low_medium_box</t>
  </si>
  <si>
    <t>parhev_si_class6_2035_low_medium_box</t>
  </si>
  <si>
    <t>seriesphev_ci_class6_2035_low_medium_box</t>
  </si>
  <si>
    <t>seriesphev_si_class6_2035_low_medium_box</t>
  </si>
  <si>
    <t>bev_class6_2035_low_medium_box</t>
  </si>
  <si>
    <t>fcev_class6_2035_low_medium_box</t>
  </si>
  <si>
    <t>fchev_class6_2035_low_medium_box</t>
  </si>
  <si>
    <t>conv_ci_class6_2050_low_medium_box</t>
  </si>
  <si>
    <t>conv_si_class6_2050_low_medium_box</t>
  </si>
  <si>
    <t>parhev_ci_class6_2050_low_medium_box</t>
  </si>
  <si>
    <t>parhev_si_class6_2050_low_medium_box</t>
  </si>
  <si>
    <t>seriesphev_ci_class6_2050_low_medium_box</t>
  </si>
  <si>
    <t>seriesphev_si_class6_2050_low_medium_box</t>
  </si>
  <si>
    <t>bev_class6_2050_low_medium_box</t>
  </si>
  <si>
    <t>fcev_class6_2050_low_medium_box</t>
  </si>
  <si>
    <t>fchev_class6_2050_low_medium_box</t>
  </si>
  <si>
    <t>conv_ci_class6_2023_low_medium_construction</t>
  </si>
  <si>
    <t>conv_si_class6_2023_low_medium_construction</t>
  </si>
  <si>
    <t>parhev_ci_class6_2023_low_medium_construction</t>
  </si>
  <si>
    <t>parhev_si_class6_2023_low_medium_construction</t>
  </si>
  <si>
    <t>seriesphev_ci_class6_2023_low_medium_construction</t>
  </si>
  <si>
    <t>seriesphev_si_class6_2023_low_medium_construction</t>
  </si>
  <si>
    <t>bev_class6_2023_low_medium_construction</t>
  </si>
  <si>
    <t>fcev_class6_2023_low_medium_construction</t>
  </si>
  <si>
    <t>fchev_class6_2023_low_medium_construction</t>
  </si>
  <si>
    <t>conv_ci_class6_2025_low_medium_construction</t>
  </si>
  <si>
    <t>conv_si_class6_2025_low_medium_construction</t>
  </si>
  <si>
    <t>parhev_ci_class6_2025_low_medium_construction</t>
  </si>
  <si>
    <t>parhev_si_class6_2025_low_medium_construction</t>
  </si>
  <si>
    <t>seriesphev_ci_class6_2025_low_medium_construction</t>
  </si>
  <si>
    <t>seriesphev_si_class6_2025_low_medium_construction</t>
  </si>
  <si>
    <t>bev_class6_2025_low_medium_construction</t>
  </si>
  <si>
    <t>fcev_class6_2025_low_medium_construction</t>
  </si>
  <si>
    <t>fchev_class6_2025_low_medium_construction</t>
  </si>
  <si>
    <t>conv_ci_class6_2030_low_medium_construction</t>
  </si>
  <si>
    <t>conv_si_class6_2030_low_medium_construction</t>
  </si>
  <si>
    <t>parhev_ci_class6_2030_low_medium_construction</t>
  </si>
  <si>
    <t>parhev_si_class6_2030_low_medium_construction</t>
  </si>
  <si>
    <t>seriesphev_ci_class6_2030_low_medium_construction</t>
  </si>
  <si>
    <t>seriesphev_si_class6_2030_low_medium_construction</t>
  </si>
  <si>
    <t>bev_class6_2030_low_medium_construction</t>
  </si>
  <si>
    <t>fcev_class6_2030_low_medium_construction</t>
  </si>
  <si>
    <t>fchev_class6_2030_low_medium_construction</t>
  </si>
  <si>
    <t>conv_ci_class6_2035_low_medium_construction</t>
  </si>
  <si>
    <t>conv_si_class6_2035_low_medium_construction</t>
  </si>
  <si>
    <t>parhev_ci_class6_2035_low_medium_construction</t>
  </si>
  <si>
    <t>parhev_si_class6_2035_low_medium_construction</t>
  </si>
  <si>
    <t>seriesphev_ci_class6_2035_low_medium_construction</t>
  </si>
  <si>
    <t>seriesphev_si_class6_2035_low_medium_construction</t>
  </si>
  <si>
    <t>bev_class6_2035_low_medium_construction</t>
  </si>
  <si>
    <t>fcev_class6_2035_low_medium_construction</t>
  </si>
  <si>
    <t>fchev_class6_2035_low_medium_construction</t>
  </si>
  <si>
    <t>conv_ci_class6_2050_low_medium_construction</t>
  </si>
  <si>
    <t>conv_si_class6_2050_low_medium_construction</t>
  </si>
  <si>
    <t>parhev_ci_class6_2050_low_medium_construction</t>
  </si>
  <si>
    <t>parhev_si_class6_2050_low_medium_construction</t>
  </si>
  <si>
    <t>seriesphev_ci_class6_2050_low_medium_construction</t>
  </si>
  <si>
    <t>seriesphev_si_class6_2050_low_medium_construction</t>
  </si>
  <si>
    <t>bev_class6_2050_low_medium_construction</t>
  </si>
  <si>
    <t>fcev_class6_2050_low_medium_construction</t>
  </si>
  <si>
    <t>fchev_class6_2050_low_medium_construction</t>
  </si>
  <si>
    <t>DayCab</t>
  </si>
  <si>
    <t>conv_ci_class7_2023_low_daycab_tractor</t>
  </si>
  <si>
    <t>parhev_ci_class7_2023_low_daycab_tractor</t>
  </si>
  <si>
    <t>seriesphev_ci_class7_2023_low_daycab_tractor</t>
  </si>
  <si>
    <t>bev_class7_2023_low_daycab_tractor</t>
  </si>
  <si>
    <t>fcev_class7_2023_low_daycab_tractor</t>
  </si>
  <si>
    <t>fchev_class7_2023_low_daycab_tractor</t>
  </si>
  <si>
    <t>conv_ci_class7_2025_low_daycab_tractor</t>
  </si>
  <si>
    <t>parhev_ci_class7_2025_low_daycab_tractor</t>
  </si>
  <si>
    <t>seriesphev_ci_class7_2025_low_daycab_tractor</t>
  </si>
  <si>
    <t>bev_class7_2025_low_daycab_tractor</t>
  </si>
  <si>
    <t>fcev_class7_2025_low_daycab_tractor</t>
  </si>
  <si>
    <t>fchev_class7_2025_low_daycab_tractor</t>
  </si>
  <si>
    <t>conv_ci_class7_2030_low_daycab_tractor</t>
  </si>
  <si>
    <t>parhev_ci_class7_2030_low_daycab_tractor</t>
  </si>
  <si>
    <t>seriesphev_ci_class7_2030_low_daycab_tractor</t>
  </si>
  <si>
    <t>bev_class7_2030_low_daycab_tractor</t>
  </si>
  <si>
    <t>fcev_class7_2030_low_daycab_tractor</t>
  </si>
  <si>
    <t>fchev_class7_2030_low_daycab_tractor</t>
  </si>
  <si>
    <t>conv_ci_class7_2035_low_daycab_tractor</t>
  </si>
  <si>
    <t>parhev_ci_class7_2035_low_daycab_tractor</t>
  </si>
  <si>
    <t>seriesphev_ci_class7_2035_low_daycab_tractor</t>
  </si>
  <si>
    <t>bev_class7_2035_low_daycab_tractor</t>
  </si>
  <si>
    <t>fcev_class7_2035_low_daycab_tractor</t>
  </si>
  <si>
    <t>fchev_class7_2035_low_daycab_tractor</t>
  </si>
  <si>
    <t>conv_ci_class7_2050_low_daycab_tractor</t>
  </si>
  <si>
    <t>parhev_ci_class7_2050_low_daycab_tractor</t>
  </si>
  <si>
    <t>seriesphev_ci_class7_2050_low_daycab_tractor</t>
  </si>
  <si>
    <t>bev_class7_2050_low_daycab_tractor</t>
  </si>
  <si>
    <t>fcev_class7_2050_low_daycab_tractor</t>
  </si>
  <si>
    <t>fchev_class7_2050_low_daycab_tractor</t>
  </si>
  <si>
    <t>conv_ci_class7_2023_low_medium_vocational</t>
  </si>
  <si>
    <t>parhev_ci_class7_2023_low_medium_vocational</t>
  </si>
  <si>
    <t>seriesphev_ci_class7_2023_low_medium_vocational</t>
  </si>
  <si>
    <t>bev_class7_2023_low_medium_vocational</t>
  </si>
  <si>
    <t>fcev_class7_2023_low_medium_vocational</t>
  </si>
  <si>
    <t>fchev_class7_2023_low_medium_vocational</t>
  </si>
  <si>
    <t>conv_ci_class7_2025_low_medium_vocational</t>
  </si>
  <si>
    <t>parhev_ci_class7_2025_low_medium_vocational</t>
  </si>
  <si>
    <t>seriesphev_ci_class7_2025_low_medium_vocational</t>
  </si>
  <si>
    <t>bev_class7_2025_low_medium_vocational</t>
  </si>
  <si>
    <t>fcev_class7_2025_low_medium_vocational</t>
  </si>
  <si>
    <t>fchev_class7_2025_low_medium_vocational</t>
  </si>
  <si>
    <t>conv_ci_class7_2030_low_medium_vocational</t>
  </si>
  <si>
    <t>parhev_ci_class7_2030_low_medium_vocational</t>
  </si>
  <si>
    <t>seriesphev_ci_class7_2030_low_medium_vocational</t>
  </si>
  <si>
    <t>bev_class7_2030_low_medium_vocational</t>
  </si>
  <si>
    <t>fcev_class7_2030_low_medium_vocational</t>
  </si>
  <si>
    <t>fchev_class7_2030_low_medium_vocational</t>
  </si>
  <si>
    <t>conv_ci_class7_2035_low_medium_vocational</t>
  </si>
  <si>
    <t>parhev_ci_class7_2035_low_medium_vocational</t>
  </si>
  <si>
    <t>seriesphev_ci_class7_2035_low_medium_vocational</t>
  </si>
  <si>
    <t>bev_class7_2035_low_medium_vocational</t>
  </si>
  <si>
    <t>fcev_class7_2035_low_medium_vocational</t>
  </si>
  <si>
    <t>fchev_class7_2035_low_medium_vocational</t>
  </si>
  <si>
    <t>conv_ci_class7_2050_low_medium_vocational</t>
  </si>
  <si>
    <t>parhev_ci_class7_2050_low_medium_vocational</t>
  </si>
  <si>
    <t>seriesphev_ci_class7_2050_low_medium_vocational</t>
  </si>
  <si>
    <t>bev_class7_2050_low_medium_vocational</t>
  </si>
  <si>
    <t>fcev_class7_2050_low_medium_vocational</t>
  </si>
  <si>
    <t>fchev_class7_2050_low_medium_vocational</t>
  </si>
  <si>
    <t>conv_ci_class7_2023_low_medium_box</t>
  </si>
  <si>
    <t>parhev_ci_class7_2023_low_medium_box</t>
  </si>
  <si>
    <t>seriesphev_ci_class7_2023_low_medium_box</t>
  </si>
  <si>
    <t>bev_class7_2023_low_medium_box</t>
  </si>
  <si>
    <t>fcev_class7_2023_low_medium_box</t>
  </si>
  <si>
    <t>fchev_class7_2023_low_medium_box</t>
  </si>
  <si>
    <t>conv_ci_class7_2025_low_medium_box</t>
  </si>
  <si>
    <t>parhev_ci_class7_2025_low_medium_box</t>
  </si>
  <si>
    <t>seriesphev_ci_class7_2025_low_medium_box</t>
  </si>
  <si>
    <t>bev_class7_2025_low_medium_box</t>
  </si>
  <si>
    <t>fcev_class7_2025_low_medium_box</t>
  </si>
  <si>
    <t>fchev_class7_2025_low_medium_box</t>
  </si>
  <si>
    <t>conv_ci_class7_2030_low_medium_box</t>
  </si>
  <si>
    <t>parhev_ci_class7_2030_low_medium_box</t>
  </si>
  <si>
    <t>seriesphev_ci_class7_2030_low_medium_box</t>
  </si>
  <si>
    <t>bev_class7_2030_low_medium_box</t>
  </si>
  <si>
    <t>fcev_class7_2030_low_medium_box</t>
  </si>
  <si>
    <t>fchev_class7_2030_low_medium_box</t>
  </si>
  <si>
    <t>conv_ci_class7_2035_low_medium_box</t>
  </si>
  <si>
    <t>parhev_ci_class7_2035_low_medium_box</t>
  </si>
  <si>
    <t>seriesphev_ci_class7_2035_low_medium_box</t>
  </si>
  <si>
    <t>bev_class7_2035_low_medium_box</t>
  </si>
  <si>
    <t>fcev_class7_2035_low_medium_box</t>
  </si>
  <si>
    <t>fchev_class7_2035_low_medium_box</t>
  </si>
  <si>
    <t>conv_ci_class7_2050_low_medium_box</t>
  </si>
  <si>
    <t>parhev_ci_class7_2050_low_medium_box</t>
  </si>
  <si>
    <t>seriesphev_ci_class7_2050_low_medium_box</t>
  </si>
  <si>
    <t>bev_class7_2050_low_medium_box</t>
  </si>
  <si>
    <t>fcev_class7_2050_low_medium_box</t>
  </si>
  <si>
    <t>fchev_class7_2050_low_medium_box</t>
  </si>
  <si>
    <t>conv_ci_class7_2023_low_medium_school</t>
  </si>
  <si>
    <t>parhev_ci_class7_2023_low_medium_school</t>
  </si>
  <si>
    <t>seriesphev_ci_class7_2023_low_medium_school</t>
  </si>
  <si>
    <t>bev_class7_2023_low_medium_school</t>
  </si>
  <si>
    <t>fcev_class7_2023_low_medium_school</t>
  </si>
  <si>
    <t>fchev_class7_2023_low_medium_school</t>
  </si>
  <si>
    <t>conv_ci_class7_2025_low_medium_school</t>
  </si>
  <si>
    <t>parhev_ci_class7_2025_low_medium_school</t>
  </si>
  <si>
    <t>seriesphev_ci_class7_2025_low_medium_school</t>
  </si>
  <si>
    <t>bev_class7_2025_low_medium_school</t>
  </si>
  <si>
    <t>fcev_class7_2025_low_medium_school</t>
  </si>
  <si>
    <t>fchev_class7_2025_low_medium_school</t>
  </si>
  <si>
    <t>conv_ci_class7_2030_low_medium_school</t>
  </si>
  <si>
    <t>parhev_ci_class7_2030_low_medium_school</t>
  </si>
  <si>
    <t>seriesphev_ci_class7_2030_low_medium_school</t>
  </si>
  <si>
    <t>bev_class7_2030_low_medium_school</t>
  </si>
  <si>
    <t>fcev_class7_2030_low_medium_school</t>
  </si>
  <si>
    <t>fchev_class7_2030_low_medium_school</t>
  </si>
  <si>
    <t>conv_ci_class7_2035_low_medium_school</t>
  </si>
  <si>
    <t>parhev_ci_class7_2035_low_medium_school</t>
  </si>
  <si>
    <t>seriesphev_ci_class7_2035_low_medium_school</t>
  </si>
  <si>
    <t>bev_class7_2035_low_medium_school</t>
  </si>
  <si>
    <t>fcev_class7_2035_low_medium_school</t>
  </si>
  <si>
    <t>fchev_class7_2035_low_medium_school</t>
  </si>
  <si>
    <t>conv_ci_class7_2050_low_medium_school</t>
  </si>
  <si>
    <t>parhev_ci_class7_2050_low_medium_school</t>
  </si>
  <si>
    <t>seriesphev_ci_class7_2050_low_medium_school</t>
  </si>
  <si>
    <t>bev_class7_2050_low_medium_school</t>
  </si>
  <si>
    <t>fcev_class7_2050_low_medium_school</t>
  </si>
  <si>
    <t>fchev_class7_2050_low_medium_school</t>
  </si>
  <si>
    <t>Sleeper</t>
  </si>
  <si>
    <t>conv_ci_class8_2023_low_sleeper_longhaul</t>
  </si>
  <si>
    <t>parhev_ci_class8_2023_low_sleeper_longhaul</t>
  </si>
  <si>
    <t>seriesphev_ci_class8_2023_low_sleeper_longhaul</t>
  </si>
  <si>
    <t>bev_class8_2023_low_sleeper_longhaul</t>
  </si>
  <si>
    <t>fcev_class8_2023_low_sleeper_longhaul</t>
  </si>
  <si>
    <t>fchev_class8_2023_low_sleeper_longhaul</t>
  </si>
  <si>
    <t>conv_ci_class8_2025_low_sleeper_longhaul</t>
  </si>
  <si>
    <t>parhev_ci_class8_2025_low_sleeper_longhaul</t>
  </si>
  <si>
    <t>seriesphev_ci_class8_2025_low_sleeper_longhaul</t>
  </si>
  <si>
    <t>bev_class8_2025_low_sleeper_longhaul</t>
  </si>
  <si>
    <t>fcev_class8_2025_low_sleeper_longhaul</t>
  </si>
  <si>
    <t>fchev_class8_2025_low_sleeper_longhaul</t>
  </si>
  <si>
    <t>conv_ci_class8_2030_low_sleeper_longhaul</t>
  </si>
  <si>
    <t>parhev_ci_class8_2030_low_sleeper_longhaul</t>
  </si>
  <si>
    <t>seriesphev_ci_class8_2030_low_sleeper_longhaul</t>
  </si>
  <si>
    <t>bev_class8_2030_low_sleeper_longhaul</t>
  </si>
  <si>
    <t>fcev_class8_2030_low_sleeper_longhaul</t>
  </si>
  <si>
    <t>fchev_class8_2030_low_sleeper_longhaul</t>
  </si>
  <si>
    <t>conv_ci_class8_2035_low_sleeper_longhaul</t>
  </si>
  <si>
    <t>parhev_ci_class8_2035_low_sleeper_longhaul</t>
  </si>
  <si>
    <t>seriesphev_ci_class8_2035_low_sleeper_longhaul</t>
  </si>
  <si>
    <t>bev_class8_2035_low_sleeper_longhaul</t>
  </si>
  <si>
    <t>fcev_class8_2035_low_sleeper_longhaul</t>
  </si>
  <si>
    <t>fchev_class8_2035_low_sleeper_longhaul</t>
  </si>
  <si>
    <t>conv_ci_class8_2050_low_sleeper_longhaul</t>
  </si>
  <si>
    <t>parhev_ci_class8_2050_low_sleeper_longhaul</t>
  </si>
  <si>
    <t>seriesphev_ci_class8_2050_low_sleeper_longhaul</t>
  </si>
  <si>
    <t>bev_class8_2050_low_sleeper_longhaul</t>
  </si>
  <si>
    <t>fcev_class8_2050_low_sleeper_longhaul</t>
  </si>
  <si>
    <t>fchev_class8_2050_low_sleeper_longhaul</t>
  </si>
  <si>
    <t>conv_ci_class8_2023_low_daycab_beverage</t>
  </si>
  <si>
    <t>parhev_ci_class8_2023_low_daycab_beverage</t>
  </si>
  <si>
    <t>seriesphev_ci_class8_2023_low_daycab_beverage</t>
  </si>
  <si>
    <t>bev_class8_2023_low_daycab_beverage</t>
  </si>
  <si>
    <t>fcev_class8_2023_low_daycab_beverage</t>
  </si>
  <si>
    <t>fchev_class8_2023_low_daycab_beverage</t>
  </si>
  <si>
    <t>conv_ci_class8_2025_low_daycab_beverage</t>
  </si>
  <si>
    <t>parhev_ci_class8_2025_low_daycab_beverage</t>
  </si>
  <si>
    <t>seriesphev_ci_class8_2025_low_daycab_beverage</t>
  </si>
  <si>
    <t>bev_class8_2025_low_daycab_beverage</t>
  </si>
  <si>
    <t>fcev_class8_2025_low_daycab_beverage</t>
  </si>
  <si>
    <t>fchev_class8_2025_low_daycab_beverage</t>
  </si>
  <si>
    <t>conv_ci_class8_2030_low_daycab_beverage</t>
  </si>
  <si>
    <t>parhev_ci_class8_2030_low_daycab_beverage</t>
  </si>
  <si>
    <t>seriesphev_ci_class8_2030_low_daycab_beverage</t>
  </si>
  <si>
    <t>bev_class8_2030_low_daycab_beverage</t>
  </si>
  <si>
    <t>fcev_class8_2030_low_daycab_beverage</t>
  </si>
  <si>
    <t>fchev_class8_2030_low_daycab_beverage</t>
  </si>
  <si>
    <t>conv_ci_class8_2035_low_daycab_beverage</t>
  </si>
  <si>
    <t>parhev_ci_class8_2035_low_daycab_beverage</t>
  </si>
  <si>
    <t>seriesphev_ci_class8_2035_low_daycab_beverage</t>
  </si>
  <si>
    <t>bev_class8_2035_low_daycab_beverage</t>
  </si>
  <si>
    <t>fcev_class8_2035_low_daycab_beverage</t>
  </si>
  <si>
    <t>fchev_class8_2035_low_daycab_beverage</t>
  </si>
  <si>
    <t>conv_ci_class8_2050_low_daycab_beverage</t>
  </si>
  <si>
    <t>parhev_ci_class8_2050_low_daycab_beverage</t>
  </si>
  <si>
    <t>seriesphev_ci_class8_2050_low_daycab_beverage</t>
  </si>
  <si>
    <t>bev_class8_2050_low_daycab_beverage</t>
  </si>
  <si>
    <t>fcev_class8_2050_low_daycab_beverage</t>
  </si>
  <si>
    <t>fchev_class8_2050_low_daycab_beverage</t>
  </si>
  <si>
    <t>conv_ci_class8_2023_low_daycab_drayage</t>
  </si>
  <si>
    <t>parhev_ci_class8_2023_low_daycab_drayage</t>
  </si>
  <si>
    <t>seriesphev_ci_class8_2023_low_daycab_drayage</t>
  </si>
  <si>
    <t>bev_class8_2023_low_daycab_drayage</t>
  </si>
  <si>
    <t>fcev_class8_2023_low_daycab_drayage</t>
  </si>
  <si>
    <t>fchev_class8_2023_low_daycab_drayage</t>
  </si>
  <si>
    <t>conv_ci_class8_2025_low_daycab_drayage</t>
  </si>
  <si>
    <t>parhev_ci_class8_2025_low_daycab_drayage</t>
  </si>
  <si>
    <t>seriesphev_ci_class8_2025_low_daycab_drayage</t>
  </si>
  <si>
    <t>bev_class8_2025_low_daycab_drayage</t>
  </si>
  <si>
    <t>fcev_class8_2025_low_daycab_drayage</t>
  </si>
  <si>
    <t>fchev_class8_2025_low_daycab_drayage</t>
  </si>
  <si>
    <t>conv_ci_class8_2030_low_daycab_drayage</t>
  </si>
  <si>
    <t>parhev_ci_class8_2030_low_daycab_drayage</t>
  </si>
  <si>
    <t>seriesphev_ci_class8_2030_low_daycab_drayage</t>
  </si>
  <si>
    <t>bev_class8_2030_low_daycab_drayage</t>
  </si>
  <si>
    <t>fcev_class8_2030_low_daycab_drayage</t>
  </si>
  <si>
    <t>fchev_class8_2030_low_daycab_drayage</t>
  </si>
  <si>
    <t>conv_ci_class8_2035_low_daycab_drayage</t>
  </si>
  <si>
    <t>parhev_ci_class8_2035_low_daycab_drayage</t>
  </si>
  <si>
    <t>seriesphev_ci_class8_2035_low_daycab_drayage</t>
  </si>
  <si>
    <t>bev_class8_2035_low_daycab_drayage</t>
  </si>
  <si>
    <t>fcev_class8_2035_low_daycab_drayage</t>
  </si>
  <si>
    <t>fchev_class8_2035_low_daycab_drayage</t>
  </si>
  <si>
    <t>conv_ci_class8_2050_low_daycab_drayage</t>
  </si>
  <si>
    <t>parhev_ci_class8_2050_low_daycab_drayage</t>
  </si>
  <si>
    <t>seriesphev_ci_class8_2050_low_daycab_drayage</t>
  </si>
  <si>
    <t>bev_class8_2050_low_daycab_drayage</t>
  </si>
  <si>
    <t>fcev_class8_2050_low_daycab_drayage</t>
  </si>
  <si>
    <t>fchev_class8_2050_low_daycab_drayage</t>
  </si>
  <si>
    <t>Heavy</t>
  </si>
  <si>
    <t>conv_ci_class8_2023_low_heavy_vocational</t>
  </si>
  <si>
    <t>parhev_ci_class8_2023_low_heavy_vocational</t>
  </si>
  <si>
    <t>seriesphev_ci_class8_2023_low_heavy_vocational</t>
  </si>
  <si>
    <t>bev_class8_2023_low_heavy_vocational</t>
  </si>
  <si>
    <t>fcev_class8_2023_low_heavy_vocational</t>
  </si>
  <si>
    <t>fchev_class8_2023_low_heavy_vocational</t>
  </si>
  <si>
    <t>conv_ci_class8_2025_low_heavy_vocational</t>
  </si>
  <si>
    <t>parhev_ci_class8_2025_low_heavy_vocational</t>
  </si>
  <si>
    <t>seriesphev_ci_class8_2025_low_heavy_vocational</t>
  </si>
  <si>
    <t>bev_class8_2025_low_heavy_vocational</t>
  </si>
  <si>
    <t>fcev_class8_2025_low_heavy_vocational</t>
  </si>
  <si>
    <t>fchev_class8_2025_low_heavy_vocational</t>
  </si>
  <si>
    <t>conv_ci_class8_2030_low_heavy_vocational</t>
  </si>
  <si>
    <t>parhev_ci_class8_2030_low_heavy_vocational</t>
  </si>
  <si>
    <t>seriesphev_ci_class8_2030_low_heavy_vocational</t>
  </si>
  <si>
    <t>bev_class8_2030_low_heavy_vocational</t>
  </si>
  <si>
    <t>fcev_class8_2030_low_heavy_vocational</t>
  </si>
  <si>
    <t>fchev_class8_2030_low_heavy_vocational</t>
  </si>
  <si>
    <t>conv_ci_class8_2035_low_heavy_vocational</t>
  </si>
  <si>
    <t>parhev_ci_class8_2035_low_heavy_vocational</t>
  </si>
  <si>
    <t>seriesphev_ci_class8_2035_low_heavy_vocational</t>
  </si>
  <si>
    <t>bev_class8_2035_low_heavy_vocational</t>
  </si>
  <si>
    <t>fcev_class8_2035_low_heavy_vocational</t>
  </si>
  <si>
    <t>fchev_class8_2035_low_heavy_vocational</t>
  </si>
  <si>
    <t>conv_ci_class8_2050_low_heavy_vocational</t>
  </si>
  <si>
    <t>parhev_ci_class8_2050_low_heavy_vocational</t>
  </si>
  <si>
    <t>seriesphev_ci_class8_2050_low_heavy_vocational</t>
  </si>
  <si>
    <t>bev_class8_2050_low_heavy_vocational</t>
  </si>
  <si>
    <t>fcev_class8_2050_low_heavy_vocational</t>
  </si>
  <si>
    <t>fchev_class8_2050_low_heavy_vocational</t>
  </si>
  <si>
    <t>conv_ci_class8_2023_low_heavy_transit</t>
  </si>
  <si>
    <t>parhev_ci_class8_2023_low_heavy_transit</t>
  </si>
  <si>
    <t>seriesphev_ci_class8_2023_low_heavy_transit</t>
  </si>
  <si>
    <t>bev_class8_2023_low_heavy_transit</t>
  </si>
  <si>
    <t>fcev_class8_2023_low_heavy_transit</t>
  </si>
  <si>
    <t>fchev_class8_2023_low_heavy_transit</t>
  </si>
  <si>
    <t>conv_ci_class8_2025_low_heavy_transit</t>
  </si>
  <si>
    <t>parhev_ci_class8_2025_low_heavy_transit</t>
  </si>
  <si>
    <t>seriesphev_ci_class8_2025_low_heavy_transit</t>
  </si>
  <si>
    <t>bev_class8_2025_low_heavy_transit</t>
  </si>
  <si>
    <t>fcev_class8_2025_low_heavy_transit</t>
  </si>
  <si>
    <t>fchev_class8_2025_low_heavy_transit</t>
  </si>
  <si>
    <t>conv_ci_class8_2030_low_heavy_transit</t>
  </si>
  <si>
    <t>parhev_ci_class8_2030_low_heavy_transit</t>
  </si>
  <si>
    <t>seriesphev_ci_class8_2030_low_heavy_transit</t>
  </si>
  <si>
    <t>bev_class8_2030_low_heavy_transit</t>
  </si>
  <si>
    <t>fcev_class8_2030_low_heavy_transit</t>
  </si>
  <si>
    <t>fchev_class8_2030_low_heavy_transit</t>
  </si>
  <si>
    <t>conv_ci_class8_2035_low_heavy_transit</t>
  </si>
  <si>
    <t>parhev_ci_class8_2035_low_heavy_transit</t>
  </si>
  <si>
    <t>seriesphev_ci_class8_2035_low_heavy_transit</t>
  </si>
  <si>
    <t>bev_class8_2035_low_heavy_transit</t>
  </si>
  <si>
    <t>fcev_class8_2035_low_heavy_transit</t>
  </si>
  <si>
    <t>fchev_class8_2035_low_heavy_transit</t>
  </si>
  <si>
    <t>conv_ci_class8_2050_low_heavy_transit</t>
  </si>
  <si>
    <t>parhev_ci_class8_2050_low_heavy_transit</t>
  </si>
  <si>
    <t>seriesphev_ci_class8_2050_low_heavy_transit</t>
  </si>
  <si>
    <t>bev_class8_2050_low_heavy_transit</t>
  </si>
  <si>
    <t>fcev_class8_2050_low_heavy_transit</t>
  </si>
  <si>
    <t>fchev_class8_2050_low_heavy_transit</t>
  </si>
  <si>
    <t>conv_ci_class8_2023_low_heavy_refuse</t>
  </si>
  <si>
    <t>parhev_ci_class8_2023_low_heavy_refuse</t>
  </si>
  <si>
    <t>seriesphev_ci_class8_2023_low_heavy_refuse</t>
  </si>
  <si>
    <t>bev_class8_2023_low_heavy_refuse</t>
  </si>
  <si>
    <t>fcev_class8_2023_low_heavy_refuse</t>
  </si>
  <si>
    <t>fchev_class8_2023_low_heavy_refuse</t>
  </si>
  <si>
    <t>conv_ci_class8_2025_low_heavy_refuse</t>
  </si>
  <si>
    <t>parhev_ci_class8_2025_low_heavy_refuse</t>
  </si>
  <si>
    <t>seriesphev_ci_class8_2025_low_heavy_refuse</t>
  </si>
  <si>
    <t>bev_class8_2025_low_heavy_refuse</t>
  </si>
  <si>
    <t>fcev_class8_2025_low_heavy_refuse</t>
  </si>
  <si>
    <t>fchev_class8_2025_low_heavy_refuse</t>
  </si>
  <si>
    <t>conv_ci_class8_2030_low_heavy_refuse</t>
  </si>
  <si>
    <t>parhev_ci_class8_2030_low_heavy_refuse</t>
  </si>
  <si>
    <t>seriesphev_ci_class8_2030_low_heavy_refuse</t>
  </si>
  <si>
    <t>bev_class8_2030_low_heavy_refuse</t>
  </si>
  <si>
    <t>fcev_class8_2030_low_heavy_refuse</t>
  </si>
  <si>
    <t>fchev_class8_2030_low_heavy_refuse</t>
  </si>
  <si>
    <t>conv_ci_class8_2035_low_heavy_refuse</t>
  </si>
  <si>
    <t>parhev_ci_class8_2035_low_heavy_refuse</t>
  </si>
  <si>
    <t>seriesphev_ci_class8_2035_low_heavy_refuse</t>
  </si>
  <si>
    <t>bev_class8_2035_low_heavy_refuse</t>
  </si>
  <si>
    <t>fcev_class8_2035_low_heavy_refuse</t>
  </si>
  <si>
    <t>fchev_class8_2035_low_heavy_refuse</t>
  </si>
  <si>
    <t>conv_ci_class8_2050_low_heavy_refuse</t>
  </si>
  <si>
    <t>parhev_ci_class8_2050_low_heavy_refuse</t>
  </si>
  <si>
    <t>seriesphev_ci_class8_2050_low_heavy_refuse</t>
  </si>
  <si>
    <t>bev_class8_2050_low_heavy_refuse</t>
  </si>
  <si>
    <t>fcev_class8_2050_low_heavy_refuse</t>
  </si>
  <si>
    <t>fchev_class8_2050_low_heavy_refuse</t>
  </si>
  <si>
    <t>conv_ci_class8_2023_low_daycab_regional</t>
  </si>
  <si>
    <t>parhev_ci_class8_2023_low_daycab_regional</t>
  </si>
  <si>
    <t>seriesphev_ci_class8_2023_low_daycab_regional</t>
  </si>
  <si>
    <t>bev_class8_2023_low_daycab_regional</t>
  </si>
  <si>
    <t>fcev_class8_2023_low_daycab_regional</t>
  </si>
  <si>
    <t>fchev_class8_2023_low_daycab_regional</t>
  </si>
  <si>
    <t>conv_ci_class8_2025_low_daycab_regional</t>
  </si>
  <si>
    <t>parhev_ci_class8_2025_low_daycab_regional</t>
  </si>
  <si>
    <t>seriesphev_ci_class8_2025_low_daycab_regional</t>
  </si>
  <si>
    <t>bev_class8_2025_low_daycab_regional</t>
  </si>
  <si>
    <t>fcev_class8_2025_low_daycab_regional</t>
  </si>
  <si>
    <t>fchev_class8_2025_low_daycab_regional</t>
  </si>
  <si>
    <t>conv_ci_class8_2030_low_daycab_regional</t>
  </si>
  <si>
    <t>parhev_ci_class8_2030_low_daycab_regional</t>
  </si>
  <si>
    <t>seriesphev_ci_class8_2030_low_daycab_regional</t>
  </si>
  <si>
    <t>bev_class8_2030_low_daycab_regional</t>
  </si>
  <si>
    <t>fcev_class8_2030_low_daycab_regional</t>
  </si>
  <si>
    <t>fchev_class8_2030_low_daycab_regional</t>
  </si>
  <si>
    <t>conv_ci_class8_2035_low_daycab_regional</t>
  </si>
  <si>
    <t>parhev_ci_class8_2035_low_daycab_regional</t>
  </si>
  <si>
    <t>seriesphev_ci_class8_2035_low_daycab_regional</t>
  </si>
  <si>
    <t>bev_class8_2035_low_daycab_regional</t>
  </si>
  <si>
    <t>fcev_class8_2035_low_daycab_regional</t>
  </si>
  <si>
    <t>fchev_class8_2035_low_daycab_regional</t>
  </si>
  <si>
    <t>conv_ci_class8_2050_low_daycab_regional</t>
  </si>
  <si>
    <t>parhev_ci_class8_2050_low_daycab_regional</t>
  </si>
  <si>
    <t>seriesphev_ci_class8_2050_low_daycab_regional</t>
  </si>
  <si>
    <t>bev_class8_2050_low_daycab_regional</t>
  </si>
  <si>
    <t>fcev_class8_2050_low_daycab_regional</t>
  </si>
  <si>
    <t>fchev_class8_2050_low_daycab_regional</t>
  </si>
  <si>
    <t>Vehicle Manufacturing Cost
($ 2023USD)</t>
  </si>
  <si>
    <t>Engine Cost</t>
  </si>
  <si>
    <t>Gearbox Cost</t>
  </si>
  <si>
    <t>Wheel Cost</t>
  </si>
  <si>
    <t>Chassis Cost</t>
  </si>
  <si>
    <t>Battery Cost</t>
  </si>
  <si>
    <t>VPA Level Cost</t>
  </si>
  <si>
    <t>Power Converter Cost</t>
  </si>
  <si>
    <t>Motor Cost</t>
  </si>
  <si>
    <t>H2 Storage Cost</t>
  </si>
  <si>
    <t>Mech. Accessory Cost</t>
  </si>
  <si>
    <t>Torque Converter Clutch Cost</t>
  </si>
  <si>
    <t>Final Drive Cost</t>
  </si>
  <si>
    <t>Elec. Accessory Cost</t>
  </si>
  <si>
    <t>Battery 2 Cost</t>
  </si>
  <si>
    <t>Final Drive 2 Cost</t>
  </si>
  <si>
    <t>ARB mpgde</t>
  </si>
  <si>
    <t>EPA55 mpgde</t>
  </si>
  <si>
    <t>EPA65 mpgde</t>
  </si>
  <si>
    <t>Energy use</t>
  </si>
  <si>
    <t>ARB Wh/mile</t>
  </si>
  <si>
    <t>EPA55 Wh/mile</t>
  </si>
  <si>
    <t>EPA65 Wh/mile</t>
  </si>
  <si>
    <t>Low uncertainty - cost and efficiency conversions</t>
  </si>
  <si>
    <t>Fuel efficiency (Lde/100km)</t>
  </si>
  <si>
    <t>PHEV UF</t>
  </si>
  <si>
    <t>Cycle contribution</t>
  </si>
  <si>
    <t>ARB</t>
  </si>
  <si>
    <t>EPA55</t>
  </si>
  <si>
    <t>EPA65</t>
  </si>
  <si>
    <t>Longhaul Sleeper 8</t>
  </si>
  <si>
    <t>Box Medium 6</t>
  </si>
  <si>
    <t>Box Medium 4</t>
  </si>
  <si>
    <t>Drayage DayCab 8</t>
  </si>
  <si>
    <t>Regional DayCab 8</t>
  </si>
  <si>
    <t>Transit Heavy 8</t>
  </si>
  <si>
    <t>Islam et al. 2022 Default fuel calculation &amp; cycle combination factors (+ Utility Factor for PHEV)</t>
  </si>
  <si>
    <t>Cycle combination</t>
  </si>
  <si>
    <t>School Medium 3</t>
  </si>
  <si>
    <t>MDVs</t>
  </si>
  <si>
    <t>HDVs</t>
  </si>
  <si>
    <t>PHEV MDVs</t>
  </si>
  <si>
    <t>PHEV HDVs</t>
  </si>
  <si>
    <t>*As prescribed in the EPA final rule regulatory documents for MHDVs - https://www.epa.gov/regulations-emissions-vehicles-and-engines/final-rule-phase-2-greenhouse-gas-emissions-standards</t>
  </si>
  <si>
    <t>Vocational Heavy 8</t>
  </si>
  <si>
    <t>†2040-2045 are linearly interpolated. Energy consumption based on drive cycle combinations as prescribed in the EPA final rule regulatory documents for MHDVs - https://www.epa.gov/regulations-emissions-vehicles-and-engines/final-rule-phase-2-greenhouse-gas-emissions-standards</t>
  </si>
  <si>
    <t>Registered commercial vehicles under 'fit active' status in Ontario - Ontario Ministry of Transportation vehicle population data (2022)</t>
  </si>
  <si>
    <t>EPA GVWR Class</t>
  </si>
  <si>
    <t>LDT3-4 (6001 - 8500 lb)</t>
  </si>
  <si>
    <t>MDV2b (8501 - 10000 lb)</t>
  </si>
  <si>
    <t>MDV3 (10001 - 14000 lb)</t>
  </si>
  <si>
    <t>MDV4 (14001 - 16000 lb)</t>
  </si>
  <si>
    <t>MDV5 (16001 - 19500 lb)</t>
  </si>
  <si>
    <t>MDV6 (19501 - 26000 lb)</t>
  </si>
  <si>
    <t>MDV7 (26001 - 33000 lb)</t>
  </si>
  <si>
    <t>Curb weight (kg)</t>
  </si>
  <si>
    <t>Fit active commercial vehicles (2022)</t>
  </si>
  <si>
    <t>Shares (2022)</t>
  </si>
  <si>
    <t>Shares (MDV only)</t>
  </si>
  <si>
    <t>HDV8 (+33000 lb)</t>
  </si>
  <si>
    <t>Vehicle-class aggregated MHDV fuel efficiency index by fuel type (2023 = 1)</t>
  </si>
  <si>
    <t>US-REGEN Model Documentation, v2021A LCRI - Chart 3: Medium-Duty and Heavy-Duty Vehicle Purchase Cost Assumptions</t>
  </si>
  <si>
    <t>Transit bus (mpge)</t>
  </si>
  <si>
    <t>2015-2019 avg.</t>
  </si>
  <si>
    <t>Ontario Ministry of Transportation. (2023). Vehicle population data—Ontario Data Catalogue [dataset]. https://data.ontario.ca/dataset/vehicle-population-data</t>
  </si>
  <si>
    <t>PHEV avg. % fuel consumption projection</t>
  </si>
  <si>
    <t>PHEV aggregated % fuel consumption share by GVWR class</t>
  </si>
  <si>
    <t>ON vehicle pop. Shares by GVRW (2022)</t>
  </si>
  <si>
    <t>Argonne National Laboratory, Islam, E. S., Prada, D. N., Vijayagopal, R., Mansour, C., Philips, P., Kim, N., Alhajjar, M., &amp; Rousseau, A. (2023, October). Detailed Simulation Study to Evaluate Future Transportation Decarbonization Potential. Vehicle &amp; Mobility Systems Department - Argonne National Laboratory. https://vms.taps.anl.gov/research-highlights/vehicle-technologies/u-s-doe-vto-hfto-r-d-benefits/</t>
  </si>
  <si>
    <t>Electric Power Research Institute. (2023, August). U.S. Regional Economy, Greenhouse Gas, and Energy (US-REGEN)—2021A LCRI Model Documentation. US-REGEN Documentation. https://us-regen-docs.epri.com/v2021a/</t>
  </si>
  <si>
    <t>EPA &amp; NHTSA. (2016). Greenhouse Gas Emissions and Fuel Efficiency Standards for Medium and Heavy-Duty Engines and Vehicles Phase 2 – Regulatory Impact Analysis (EPA-420-R-16-900). U.S. Environmental Protection Agency and National Highway Traffic Safety Administration. https://www.epa.gov/regulations-emissions-vehicles-and-engines/final-rule-phase-2-greenhouse-gas-emissions-standards-and</t>
  </si>
  <si>
    <t>Environment and Climate Change Canada. (2024). Fuel Life Cycle Assessment Model ( En4-418/1-2024E-PDF). https://www.canada.ca/en/environment-climate-change/services/managing-pollution/fuel-life-cycle-assessment-model.html</t>
  </si>
  <si>
    <t>S&amp;T Squared Consultants Inc. (2022). GHGenius Inventory Data (5.02b) [Dataset]. https://www.ghgenius.ca/index.php/downloads</t>
  </si>
  <si>
    <t>Real 2021 demand</t>
  </si>
  <si>
    <t>Vehicle class</t>
  </si>
  <si>
    <t>Heavy Trucks - Diesel</t>
  </si>
  <si>
    <t>Real 2019 demand</t>
  </si>
  <si>
    <t>Transportation Sector Database</t>
  </si>
  <si>
    <t>2021 (rounded)</t>
  </si>
  <si>
    <t>2023 (rounded)</t>
  </si>
  <si>
    <t>Max sales</t>
  </si>
  <si>
    <t>2021 Min Capacity Constraint (k units) - based on 2021 sales and 2023 fuel type shares</t>
  </si>
  <si>
    <t>This table is also used to dictate when novel technologies are introduced.</t>
  </si>
  <si>
    <t>2021 Min Activity Constraint (% share) - based on 2021 energy use shares</t>
  </si>
  <si>
    <t>(GREET2023)
Fuel Economy input data</t>
  </si>
  <si>
    <t>Avg sales</t>
  </si>
  <si>
    <t>Vehicle sales per year in ON (k units)</t>
  </si>
  <si>
    <t>CAGR (5-year)</t>
  </si>
  <si>
    <t>CAGR (4-year)</t>
  </si>
  <si>
    <t>Historical fleet sales growth rates (2000-2020)</t>
  </si>
  <si>
    <t>Annual</t>
  </si>
  <si>
    <t>Vehicle fleet stock per year in ON (k units)</t>
  </si>
  <si>
    <t>Max stock</t>
  </si>
  <si>
    <t>Avg stock</t>
  </si>
  <si>
    <t>Historical fleet stock growth rates (2000-2020)</t>
  </si>
  <si>
    <r>
      <t xml:space="preserve">Fossil fuel price projections: </t>
    </r>
    <r>
      <rPr>
        <sz val="11"/>
        <color theme="1"/>
        <rFont val="Calibri"/>
        <family val="2"/>
        <scheme val="minor"/>
      </rPr>
      <t>Historical CER Canada's Energy Future prices indexed to AEO 2023 reference case projections</t>
    </r>
  </si>
  <si>
    <r>
      <rPr>
        <b/>
        <sz val="11"/>
        <color theme="1"/>
        <rFont val="Calibri"/>
        <family val="2"/>
        <scheme val="minor"/>
      </rPr>
      <t>Vehicle efficiency and capital cost projections:</t>
    </r>
    <r>
      <rPr>
        <sz val="11"/>
        <color theme="1"/>
        <rFont val="Calibri"/>
        <family val="2"/>
        <scheme val="minor"/>
      </rPr>
      <t xml:space="preserve"> Autonomie 2023 technology assessments (Islam et al. 2023); road transportation modes only</t>
    </r>
  </si>
  <si>
    <r>
      <rPr>
        <b/>
        <sz val="11"/>
        <color theme="1"/>
        <rFont val="Calibri"/>
        <family val="2"/>
        <scheme val="minor"/>
      </rPr>
      <t xml:space="preserve">Technology options: </t>
    </r>
    <r>
      <rPr>
        <sz val="11"/>
        <color theme="1"/>
        <rFont val="Calibri"/>
        <family val="2"/>
        <scheme val="minor"/>
      </rPr>
      <t>All available BEV and PHEV all-electric range options are included</t>
    </r>
  </si>
  <si>
    <r>
      <rPr>
        <b/>
        <sz val="12"/>
        <color theme="1"/>
        <rFont val="Calibri"/>
        <family val="2"/>
        <scheme val="minor"/>
      </rPr>
      <t>Last update:</t>
    </r>
    <r>
      <rPr>
        <sz val="12"/>
        <color theme="1"/>
        <rFont val="Calibri"/>
        <family val="2"/>
        <scheme val="minor"/>
      </rPr>
      <t xml:space="preserve"> August 2024</t>
    </r>
  </si>
  <si>
    <r>
      <rPr>
        <b/>
        <sz val="12"/>
        <color theme="1"/>
        <rFont val="Calibri"/>
        <family val="2"/>
        <scheme val="minor"/>
      </rPr>
      <t xml:space="preserve">Contact: </t>
    </r>
    <r>
      <rPr>
        <sz val="12"/>
        <color theme="1"/>
        <rFont val="Calibri"/>
        <family val="2"/>
        <scheme val="minor"/>
      </rPr>
      <t>rashidzetter@gmail.com</t>
    </r>
  </si>
  <si>
    <t>Conv. veh. market share change</t>
  </si>
  <si>
    <t>HYB</t>
  </si>
  <si>
    <t>Data Quality Indicators (DQIs)</t>
  </si>
  <si>
    <r>
      <rPr>
        <b/>
        <sz val="11"/>
        <color theme="1"/>
        <rFont val="Calibri"/>
        <family val="2"/>
        <scheme val="minor"/>
      </rPr>
      <t xml:space="preserve">Reliability: </t>
    </r>
    <r>
      <rPr>
        <sz val="11"/>
        <color theme="1"/>
        <rFont val="Calibri"/>
        <family val="2"/>
        <scheme val="minor"/>
      </rPr>
      <t>provides indication of quality of data collection and validation methods.</t>
    </r>
  </si>
  <si>
    <r>
      <rPr>
        <b/>
        <sz val="11"/>
        <color theme="1"/>
        <rFont val="Calibri"/>
        <family val="2"/>
        <scheme val="minor"/>
      </rPr>
      <t xml:space="preserve">Representativeness: </t>
    </r>
    <r>
      <rPr>
        <sz val="11"/>
        <color theme="1"/>
        <rFont val="Calibri"/>
        <family val="2"/>
        <scheme val="minor"/>
      </rPr>
      <t>evaluates the robustness of sampling methods and the amount of data points collected.</t>
    </r>
  </si>
  <si>
    <r>
      <rPr>
        <b/>
        <sz val="11"/>
        <color theme="1"/>
        <rFont val="Calibri"/>
        <family val="2"/>
        <scheme val="minor"/>
      </rPr>
      <t xml:space="preserve">Temporal: </t>
    </r>
    <r>
      <rPr>
        <sz val="11"/>
        <color theme="1"/>
        <rFont val="Calibri"/>
        <family val="2"/>
        <scheme val="minor"/>
      </rPr>
      <t>time-related appropiateness measuring the age of the data.</t>
    </r>
  </si>
  <si>
    <r>
      <rPr>
        <b/>
        <sz val="11"/>
        <color theme="1"/>
        <rFont val="Calibri"/>
        <family val="2"/>
        <scheme val="minor"/>
      </rPr>
      <t xml:space="preserve">Geographical: </t>
    </r>
    <r>
      <rPr>
        <sz val="11"/>
        <color theme="1"/>
        <rFont val="Calibri"/>
        <family val="2"/>
        <scheme val="minor"/>
      </rPr>
      <t>location-related appropiateness measuring representativeness in terms of correct geography.</t>
    </r>
  </si>
  <si>
    <r>
      <rPr>
        <b/>
        <sz val="11"/>
        <color theme="1"/>
        <rFont val="Calibri"/>
        <family val="2"/>
        <scheme val="minor"/>
      </rPr>
      <t xml:space="preserve">Technological: </t>
    </r>
    <r>
      <rPr>
        <sz val="11"/>
        <color theme="1"/>
        <rFont val="Calibri"/>
        <family val="2"/>
        <scheme val="minor"/>
      </rPr>
      <t>measures the gap between goal and scope of the model and the actually-represented technology.</t>
    </r>
  </si>
  <si>
    <t>Each DQI is given a score of 1 to 5 upon evaluation of data quality, 1 being the best score and 5 being the worse. Based on Table 5-2 from NRC-EME-56367 report.</t>
  </si>
  <si>
    <t>Jiang, H. (2013). Key Findings on Airplane Economic Life. Boeing. https://www.boeing.com/content/dam/boeing/boeingdotcom/commercial/about-our-market/assets/downloads/aircraft_economic_life_whitepaper.pdf</t>
  </si>
  <si>
    <r>
      <rPr>
        <b/>
        <sz val="11"/>
        <color theme="1"/>
        <rFont val="Calibri"/>
        <family val="2"/>
        <scheme val="minor"/>
      </rPr>
      <t>H2 production representation: E</t>
    </r>
    <r>
      <rPr>
        <sz val="11"/>
        <color theme="1"/>
        <rFont val="Calibri"/>
        <family val="2"/>
        <scheme val="minor"/>
      </rPr>
      <t>ndogenous SMR w/o CCS and electrolysis, using Open Energy Outlook 2022 technology parameters</t>
    </r>
  </si>
  <si>
    <t xml:space="preserve">Gross Domestic Product Deflator (2012=100)  </t>
  </si>
  <si>
    <t>Macroindicator</t>
  </si>
  <si>
    <t>CEF 2023 Current Policies Scenario - National Macro Indicators</t>
  </si>
  <si>
    <t>Registered class</t>
  </si>
  <si>
    <t>Passenger registrations</t>
  </si>
  <si>
    <t>Distribution (&gt;2008)</t>
  </si>
  <si>
    <t>Commercial registrations</t>
  </si>
  <si>
    <t>Distribution (&gt;2006)</t>
  </si>
  <si>
    <t>Distribution (&gt;2003)</t>
  </si>
  <si>
    <t>Motorcycle registrations</t>
  </si>
  <si>
    <t>Bus registrations</t>
  </si>
  <si>
    <t>Distribution (&gt;2009)</t>
  </si>
  <si>
    <t>Distribution (&gt;2005)</t>
  </si>
  <si>
    <t>Vehicle Age (in 2021)</t>
  </si>
  <si>
    <t>2021 car fleet (k units)</t>
  </si>
  <si>
    <t>2021 LT fleet (k units)</t>
  </si>
  <si>
    <t>2021 HT fleet (k units)</t>
  </si>
  <si>
    <t>2021 fleet (k units)</t>
  </si>
  <si>
    <t>2021 BS fleet (k units)</t>
  </si>
  <si>
    <t>2021 BT fleet (k units)</t>
  </si>
  <si>
    <t>2021 BIC fleet (k units)</t>
  </si>
  <si>
    <t>2021 MT fleet (k units)</t>
  </si>
  <si>
    <t>CEF 2023 Current Policies Scenario - GDP and population growth index (2021=100) in Canada</t>
  </si>
  <si>
    <t>Real 2020 demand</t>
  </si>
  <si>
    <t>(NHTSA, 2024) - 2024 Final Rule CAFE model survival rates</t>
  </si>
  <si>
    <t>Distribution (&gt;2004)</t>
  </si>
  <si>
    <t>National Highway Traffic Safety Administration. (2024). 2024 Final Rule for Model Years 2027-2031 Passenger Cars and Light Trucks and Model Years 2030-2035 Heavy-Duty Pickup Trucks and Vans. CAFE Compliance and Effects Modeling System. https://www.nhtsa.gov/corporate-average-fuel-economy/cafe-compliance-and-effects-modeling-system</t>
  </si>
  <si>
    <t>ON Ministry of Transportation - 2020 fleet registration data by age and class</t>
  </si>
  <si>
    <t>CEF 2023 Current Policies Scenario - GDP and population growth index (2020=100) in Canada</t>
  </si>
  <si>
    <t>CEF 2023 Current Policies Scenario - GDP and population growth index (2019=100) in Canada</t>
  </si>
  <si>
    <t>Average Distance Travelled per Year (km)</t>
  </si>
  <si>
    <t>Off-Road Energy Use (PJ)*</t>
  </si>
  <si>
    <t>Estimated demand</t>
  </si>
  <si>
    <t>% of 2020 demand</t>
  </si>
  <si>
    <t>Est. new stock</t>
  </si>
  <si>
    <t>Fleet stock and flow estimation (in demand units)</t>
  </si>
  <si>
    <t xml:space="preserve">Vehicle class corresponds to “Heavy Trucks” from NRCan Comprehensive Energy Use Database 2024; a truck with a gross weight of more than 33,000 lb (class 8). </t>
  </si>
  <si>
    <t>New/existing
(2021/2020)</t>
  </si>
  <si>
    <t>Sales (thousands)|Cars</t>
  </si>
  <si>
    <t>Sales (thousands)|Passenger Light Trucks</t>
  </si>
  <si>
    <t>Sales (thousands)|Freight Light Trucks</t>
  </si>
  <si>
    <t>Sales (thousands)|Medium Trucks</t>
  </si>
  <si>
    <t>Sales (thousands)|Heavy Trucks</t>
  </si>
  <si>
    <t>Stock (thousands)|Cars</t>
  </si>
  <si>
    <t>Stock (thousands)|Passenger Light Trucks</t>
  </si>
  <si>
    <t>Stock (thousands)|Freight Light Trucks</t>
  </si>
  <si>
    <t>Stock (thousands)|Medium Trucks</t>
  </si>
  <si>
    <t>Stock (thousands)|Heavy Trucks</t>
  </si>
  <si>
    <t>Stock (thousands)|Motorcycle</t>
  </si>
  <si>
    <t>Stock (thousands)|School Buses</t>
  </si>
  <si>
    <t>Stock (thousands)|Urban Transit</t>
  </si>
  <si>
    <t>Stock (thousands)|Inter-City Buses</t>
  </si>
  <si>
    <t>Motorcycle|Activity |Passenger-kilometres (millions)</t>
  </si>
  <si>
    <t>Urban Transit|Activity |Passenger-kilometres (millions)</t>
  </si>
  <si>
    <t>Cars|Activity |Passenger-kilometres (millions)</t>
  </si>
  <si>
    <t>Passenger Light Trucks|Activity |Passenger-kilometres (millions)</t>
  </si>
  <si>
    <t>Freight Light Trucks|Activity|Tonne-kilometres (millions)</t>
  </si>
  <si>
    <t>Medium Trucks|Activity |Tonne-kilometres (millions)</t>
  </si>
  <si>
    <t>Heavy Trucks|Activity|Tonne-kilometres (millions)</t>
  </si>
  <si>
    <t>School Buses|Activity |Passenger-kilometres (millions)</t>
  </si>
  <si>
    <t>Inter-City Buses|Activity |Passenger-kilometres (millions)</t>
  </si>
  <si>
    <t>Average Distance Travelled per Year (km)|Cars</t>
  </si>
  <si>
    <t>Average Distance Travelled per Year (km)|Passenger Light Trucks</t>
  </si>
  <si>
    <t>Average Distance Travelled per Year (km)|Freight Light Trucks</t>
  </si>
  <si>
    <t>Average Distance Travelled per Year (km)|Medium Trucks</t>
  </si>
  <si>
    <t>Average Distance Travelled per Year (km)|Heavy Trucks</t>
  </si>
  <si>
    <t>Motorcycle Explanatory Variables|Average Distance Travelled per Year (km)</t>
  </si>
  <si>
    <t>Average Distance Travelled per Year (km)|School Buses</t>
  </si>
  <si>
    <t>Average Distance Travelled per Year (km)|Urban Transit</t>
  </si>
  <si>
    <t>Average Distance Travelled per Year (km)|Inter-City Buses</t>
  </si>
  <si>
    <t>Cars|Energy Use by Energy Source (PJ)|Natural Gas</t>
  </si>
  <si>
    <t>Cars|Energy Use by Energy Source (PJ)|Motor Gasoline</t>
  </si>
  <si>
    <t>Cars|Energy Use by Energy Source (PJ)|Diesel Fuel Oil</t>
  </si>
  <si>
    <t>Cars|Energy Use by Energy Source (PJ)|Ethanol</t>
  </si>
  <si>
    <t>Cars|Energy Use by Energy Source (PJ)|Propane</t>
  </si>
  <si>
    <t>Passenger Light Trucks|Energy Use by Energy Source (PJ)|Motor Gasoline</t>
  </si>
  <si>
    <t>Passenger Light Trucks|Energy Use by Energy Source (PJ)|Diesel Fuel Oil</t>
  </si>
  <si>
    <t>Passenger Light Trucks|Energy Use by Energy Source (PJ)|Ethanol</t>
  </si>
  <si>
    <t>Passenger Light Trucks|Energy Use by Energy Source (PJ)|Propane</t>
  </si>
  <si>
    <t>Freight Light Trucks|Energy Use by Energy Source (PJ)|Natural Gas</t>
  </si>
  <si>
    <t>Freight Light Trucks|Energy Use by Energy Source (PJ)|Motor Gasoline</t>
  </si>
  <si>
    <t>Freight Light Trucks|Energy Use by Energy Source (PJ)|Diesel Fuel Oil</t>
  </si>
  <si>
    <t>Freight Light Trucks|Energy Use by Energy Source (PJ)|Ethanol</t>
  </si>
  <si>
    <t>Freight Light Trucks|Energy Use by Energy Source (PJ)|Propane</t>
  </si>
  <si>
    <t>Medium Trucks|Energy Use by Energy Source (PJ)|Motor Gasoline</t>
  </si>
  <si>
    <t>Medium Trucks|Energy Use by Energy Source (PJ)|Diesel Fuel Oil</t>
  </si>
  <si>
    <t>Medium Trucks|Energy Use by Energy Source (PJ)|Ethanol</t>
  </si>
  <si>
    <t>Heavy Truck Energy Use1 (PJ)</t>
  </si>
  <si>
    <t>Motorcycle Energy Use1 (PJ)</t>
  </si>
  <si>
    <t>School Buses|Energy Use by Energy Source (PJ)|Natural Gas</t>
  </si>
  <si>
    <t>School Buses|Energy Use by Energy Source (PJ)|Motor Gasoline</t>
  </si>
  <si>
    <t>School Buses|Energy Use by Energy Source (PJ)|Diesel Fuel Oil</t>
  </si>
  <si>
    <t>School Buses|Energy Use by Energy Source (PJ)|Ethanol</t>
  </si>
  <si>
    <t>Index</t>
  </si>
  <si>
    <t>Urban Transit|Energy Use by Energy Source (PJ)|Electricity</t>
  </si>
  <si>
    <t>Urban Transit|Energy Use by Energy Source (PJ)|Natural Gas</t>
  </si>
  <si>
    <t>Urban Transit|Energy Use by Energy Source (PJ)|Motor Gasoline</t>
  </si>
  <si>
    <t>Urban Transit|Energy Use by Energy Source (PJ)|Diesel Fuel Oil</t>
  </si>
  <si>
    <t>Urban Transit|Energy Use by Energy Source (PJ)|Ethanol</t>
  </si>
  <si>
    <t>Urban Transit|Energy Use by Energy Source (PJ)|Propane</t>
  </si>
  <si>
    <t>Inter-City Buses|Energy Use by Energy Source (PJ)|Motor Gasoline</t>
  </si>
  <si>
    <t>Inter-City Buses|Energy Use by Energy Source (PJ)|Diesel Fuel Oil</t>
  </si>
  <si>
    <t>Inter-City Buses|Energy Use by Energy Source (PJ)|Ethanol</t>
  </si>
  <si>
    <t>Passenger Air|Energy Use by Energy Source (PJ)|Aviation Gasoline</t>
  </si>
  <si>
    <t>Passenger Air|Energy Use by Energy Source (PJ)|Aviation Turbo Fuel</t>
  </si>
  <si>
    <t>Passenger Rail Transportation Energy Use1 (PJ)</t>
  </si>
  <si>
    <t>Freight Rail Transportation Energy Use1 (PJ)</t>
  </si>
  <si>
    <t>Marine1 Transportation Energy Use (PJ)</t>
  </si>
  <si>
    <t>Marine Freight|Energy Use by Energy Source (PJ)|Diesel Fuel Oil</t>
  </si>
  <si>
    <t>Marine Freight|Energy Use by Energy Source (PJ)|Heavy Fuel Oil</t>
  </si>
  <si>
    <t>Energy Use by Transportation Mode (PJ)|Off-Road1</t>
  </si>
  <si>
    <t>Cars|Energy Intensity (MJ/Pkm)</t>
  </si>
  <si>
    <t>Passenger Light Trucks|Energy Intensity (MJ/Pkm)</t>
  </si>
  <si>
    <t>Freight Light Trucks|Energy Intensity (MJ/Tkm)</t>
  </si>
  <si>
    <t>Medium Trucks|Energy Intensity (MJ/Tkm)</t>
  </si>
  <si>
    <t>Heavy Trucks|Energy Intensity (MJ/Tkm)</t>
  </si>
  <si>
    <t>Motorcycle|Energy Intensity (MJ/Pkm)</t>
  </si>
  <si>
    <t>School Buses|Energy Intensity (MJ/Pkm)</t>
  </si>
  <si>
    <t>Urban Transit|Energy Intensity (MJ/Pkm)</t>
  </si>
  <si>
    <t>Inter-City Buses|Energy Intensity (MJ/Pkm)</t>
  </si>
  <si>
    <t>Cars On-Road Average Fuel Consumption (L/100 km)|Motor Gasoline</t>
  </si>
  <si>
    <t>Passenger Light Truck On-Road Average Fuel Consumption (L/100 km)|Motor Gasoline</t>
  </si>
  <si>
    <t>Freight Light Truck On-Road Average Fuel Consumption (L/100 km)|Motor Gasoline</t>
  </si>
  <si>
    <t>Medium Truck On-Road Average Fuel Consumption (L/100 km)|Motor Gasoline</t>
  </si>
  <si>
    <t>Motorcycle Explanatory Variables|Motorcycle On-Road Average Fuel Consumption (L/100 km)</t>
  </si>
  <si>
    <t>Cars On-Road Average Fuel Consumption (L/100 km)|Diesel Fuel Oil</t>
  </si>
  <si>
    <t>Passenger Light Truck On-Road Average Fuel Consumption (L/100 km)|Diesel Fuel Oil</t>
  </si>
  <si>
    <t>Freight Light Truck On-Road Average Fuel Consumption (L/100 km)|Diesel Fuel Oil</t>
  </si>
  <si>
    <t>Medium Truck On-Road Average Fuel Consumption (L/100 km)|Diesel Fuel Oil</t>
  </si>
  <si>
    <t>Heavy Truck On-Road Average Fuel Consumption (L/100 km)|Diesel Fuel Oil</t>
  </si>
  <si>
    <t>CANOE Vanilla v3 net capacity by vehicle class (k units) - to represent the market pull for technology growth constraint formulation</t>
  </si>
  <si>
    <t>Global avg. water electrolysis (USD/kWe)</t>
  </si>
  <si>
    <t>IEA Global Hydrogen Review 2024 Appendix - Hydrogen production technologies, efficiency</t>
  </si>
  <si>
    <t>Global avg. water electrolysis (LHV)</t>
  </si>
  <si>
    <t>SMR w/o CCS (LHV)</t>
  </si>
  <si>
    <t>Global avg. water electrolysis (HHV)</t>
  </si>
  <si>
    <t>SMR w/o CCS (HHV)</t>
  </si>
  <si>
    <t>SMR w/o CCS (USD/kWH2 LHV)</t>
  </si>
  <si>
    <t>IEA Global Hydrogen Review 2024 Appendix - Hydrogen production technologies, fixed costs</t>
  </si>
  <si>
    <t>Global avg. water electrolysis (M CAD/GWH2)</t>
  </si>
  <si>
    <t>IEA Global Hydrogen Review 2024 Appendix - Hydrogen production technologies, investment costs (2023 USD)</t>
  </si>
  <si>
    <t>Global avg. water electrolysis (% of CAPEX)</t>
  </si>
  <si>
    <t>SMR w/o CCS (% of CAPEX)</t>
  </si>
  <si>
    <t>SMR w/o CCS (M CAD/GWH2)</t>
  </si>
  <si>
    <t>IEA. (2024). Global Hydrogen Review 2024 – Assumptions annex. https://www.iea.org/reports/global-hydrogen-review-2024</t>
  </si>
  <si>
    <t>2050*</t>
  </si>
  <si>
    <t>*Obtained from IEA Future of Hydrogen 2019, since the 2024 report projections only go through 2030.</t>
  </si>
  <si>
    <t>2017USD to 2020CAD</t>
  </si>
  <si>
    <t>GW-y/PJ</t>
  </si>
  <si>
    <t>Lewis, E., McNaul, S., Jamieson, M., Henriksen, M. S., Matthews, H. S., Walsh, L., Grove, J., Shultz, T., Skone, T. J., &amp; Stevens, R. (2022). Comparison of Commercial, State-of-the-Art, Fossil-Based Hydrogen Production Technologies (DOE/NETL-2022/3241). National Energy Technology Laboratory (NETL), Pittsburgh, PA, Morgantown, WV, and Albany, OR (United States). https://doi.org/10.2172/1862910</t>
  </si>
  <si>
    <t>LINK TO SOURCE: OSeMOSYS H2 Data</t>
  </si>
  <si>
    <t>Hydrogen Production</t>
  </si>
  <si>
    <t>Steam Methane Reforming plant</t>
  </si>
  <si>
    <t>MUSD/(PJ/year)</t>
  </si>
  <si>
    <t>De Vos et al., 2018</t>
  </si>
  <si>
    <t>Steam Methane Reforming plant + CCS</t>
  </si>
  <si>
    <t>Coal gassification+CCS</t>
  </si>
  <si>
    <t>Oshiro &amp; Fujimori, 2022</t>
  </si>
  <si>
    <t>Biomass gassification</t>
  </si>
  <si>
    <t>Biomass gassification+CCS</t>
  </si>
  <si>
    <t>ALK Electrolyzer</t>
  </si>
  <si>
    <t>Department for Business Energy &amp; Industrial Strategy, 2021</t>
  </si>
  <si>
    <t>PEM Electrolyzer</t>
  </si>
  <si>
    <t>SOEC Electrolyzer</t>
  </si>
  <si>
    <t>Synthetic Fuel Production</t>
  </si>
  <si>
    <t>Direct air capture</t>
  </si>
  <si>
    <t>MUSD/(MtCO2/year)</t>
  </si>
  <si>
    <t>Danish Energy Agency, 2021</t>
  </si>
  <si>
    <t>Hydrogen to diesel</t>
  </si>
  <si>
    <t>Hydrogen to jet fuel</t>
  </si>
  <si>
    <t>Methanation</t>
  </si>
  <si>
    <t>Energy Transition Knowledge Coalition, 2019</t>
  </si>
  <si>
    <t>Transport and distribution</t>
  </si>
  <si>
    <t>Hydrogen compression</t>
  </si>
  <si>
    <t>Husarek et al., 2021</t>
  </si>
  <si>
    <t>Hydrogen tank storage</t>
  </si>
  <si>
    <t>Hydrogen liquefaction plant</t>
  </si>
  <si>
    <t>Hydrogen pipeline</t>
  </si>
  <si>
    <t>Hydrogen transport by road</t>
  </si>
  <si>
    <t>Hydrogen refueling station</t>
  </si>
  <si>
    <t>CAPEX</t>
  </si>
  <si>
    <t>*Costs in 2021 USD</t>
  </si>
  <si>
    <t>Oshiro &amp; Fujimori, 2023</t>
  </si>
  <si>
    <t>H2-NGS blending</t>
  </si>
  <si>
    <t>-</t>
  </si>
  <si>
    <t>De vos et al., 2018</t>
  </si>
  <si>
    <t>Fixed costs</t>
  </si>
  <si>
    <t>MUSD/PJ</t>
  </si>
  <si>
    <t>Cloete et al., 2022</t>
  </si>
  <si>
    <t>Assumed</t>
  </si>
  <si>
    <t>Variable costs</t>
  </si>
  <si>
    <t>SMR w/o CCS (M CAD/GWH2 HHV)</t>
  </si>
  <si>
    <t>CAPEX (2020 MCAD/GWH2)</t>
  </si>
  <si>
    <t>CAPEX (2020 MCAD/(PJ/year))</t>
  </si>
  <si>
    <t>Fixed costs (2020 MCAD/(PJ/year))</t>
  </si>
  <si>
    <t>Variable costs (2020 MCAD/PJ)</t>
  </si>
  <si>
    <t>SMR with CCS (LHV)</t>
  </si>
  <si>
    <t>SMR with CCS (HHV)</t>
  </si>
  <si>
    <t>SMR with CCS (USD/kWH2 LHV)</t>
  </si>
  <si>
    <t>SMR with CCS (M CAD/GWH2 HHV)</t>
  </si>
  <si>
    <t>Dept. for Business, Energy &amp; Industrial Strategy. (2021). Hydrogen production costs 2021. UK Government. https://www.gov.uk/government/publications/hydrogen-production-costs-2021</t>
  </si>
  <si>
    <t>LINK TO SOURCE: uk.gov H2 Data</t>
  </si>
  <si>
    <t xml:space="preserve">Alkaline </t>
  </si>
  <si>
    <t>Proton Exchange Membrane (PEM)</t>
  </si>
  <si>
    <t>Solid Oxide Electrolysis (SOE)</t>
  </si>
  <si>
    <t>Steam Methane Reformation with CCUS</t>
  </si>
  <si>
    <t>Commissioning Year</t>
  </si>
  <si>
    <t>Reference plant size</t>
  </si>
  <si>
    <t>MW</t>
  </si>
  <si>
    <t>Availability/Maximum load factor</t>
  </si>
  <si>
    <t>%</t>
  </si>
  <si>
    <t>CO2 capture rate</t>
  </si>
  <si>
    <t>Thermal conversion efficiency
(kWh input fuel or heat / kWh H2 HHV)*</t>
  </si>
  <si>
    <t>kWh input fuel or heat (HHV) per 
kWh H2 HHV output</t>
  </si>
  <si>
    <t>Electrical conversion efficiency 
(kWhe/ kWh H2 HHV)*</t>
  </si>
  <si>
    <t>kWh electric input per 
kWh H2 HHV output</t>
  </si>
  <si>
    <t>Operating lifetime</t>
  </si>
  <si>
    <t>£/kW H2 HHV</t>
  </si>
  <si>
    <t>Construction period</t>
  </si>
  <si>
    <t>Construction phasing 
(% spent in each year)</t>
  </si>
  <si>
    <t>Year 1</t>
  </si>
  <si>
    <t>Year 2</t>
  </si>
  <si>
    <t>Year 3</t>
  </si>
  <si>
    <t>Fixed OPEX</t>
  </si>
  <si>
    <t>£/KW H2 HHV/year</t>
  </si>
  <si>
    <t>Variable OPEX</t>
  </si>
  <si>
    <t>£/KWh H2 HHV</t>
  </si>
  <si>
    <t>Hurdle Rate</t>
  </si>
  <si>
    <t>Technical and cost assumptions (2020 GBP)</t>
  </si>
  <si>
    <t xml:space="preserve">*To create a high tech cost and efficiency scenario, high CAPEX and OPEX needs to be paired with low efficiency. </t>
  </si>
  <si>
    <t>2020GBP to 2020CAD</t>
  </si>
  <si>
    <t>Scenario</t>
  </si>
  <si>
    <t>HHV Efficiency</t>
  </si>
  <si>
    <t>SMR with CCS (% of CAPEX)</t>
  </si>
  <si>
    <t>SMR with CCS (M CAD/GWH2)</t>
  </si>
  <si>
    <t>Plazas Niño, F., Yeganyan, R., Cannone, C., Howells, M., Borba, B., &amp; Quiros-Tortos, J. (2023). Techno-Economic Energy Dataset for Hydrogen Pathways Modelling. 1. https://doi.org/10.17632/8ztnn4br66.1</t>
  </si>
  <si>
    <t>Fixed costs (2020 MCAD/GWH2)</t>
  </si>
  <si>
    <t>Rated cargo capacity (kg)</t>
  </si>
  <si>
    <t>Weighted cap. (SI)</t>
  </si>
  <si>
    <t>Weighted cap. (CI)</t>
  </si>
  <si>
    <t>CI/SI Cap. Ratio</t>
  </si>
  <si>
    <t>2021 Min New Capacity Constraint (% share) - based on 2023 fuel type shares</t>
  </si>
  <si>
    <t>2021 Min Net Capacity Constraint (% share) - based on 2023 fuel type shares</t>
  </si>
  <si>
    <t>Battery</t>
  </si>
  <si>
    <t>Plug-in hybrid</t>
  </si>
  <si>
    <t>Hybrid</t>
  </si>
  <si>
    <t>real 2023</t>
  </si>
  <si>
    <t>Vanilla4 ex cap</t>
  </si>
  <si>
    <t>Vanilla4 - 2021 technology mix calibration</t>
  </si>
  <si>
    <t>Vanilla4 2021 new cap</t>
  </si>
  <si>
    <t>calibrated sales shares</t>
  </si>
  <si>
    <t>calibrated net cap shares</t>
  </si>
  <si>
    <t>tech</t>
  </si>
  <si>
    <t>T_HDV_T_LH_DSL_EX</t>
  </si>
  <si>
    <t>T_HDV_T_LH_DSL_N</t>
  </si>
  <si>
    <t>T_HDV_T_LH_FCEV_N</t>
  </si>
  <si>
    <t>Existing heavy-duty long-haul freight truck (diesel)</t>
  </si>
  <si>
    <t>New heavy-duty long-haul freight truck (diesel)</t>
  </si>
  <si>
    <t>New heavy-duty long-haul freight truck (fuel cell electric, gaseous H2 @ 700 bar)</t>
  </si>
  <si>
    <t>T_HDV_T_LH_BEV_LRGBATT_N</t>
  </si>
  <si>
    <t>T_HDV_T_LH_BEV_FSTCHRG_N</t>
  </si>
  <si>
    <t>T_HDV_T_LH_BEV_ERDS1_N</t>
  </si>
  <si>
    <t>T_HDV_T_LH_BEV_ERDS2_N</t>
  </si>
  <si>
    <t>T_HDV_T_LH_BEV_ERDS3_N</t>
  </si>
  <si>
    <t>T_HDV_T_LH_BEV_ERDS4_N</t>
  </si>
  <si>
    <t>T_HDV_T_LH_BEV_ERDS5_N</t>
  </si>
  <si>
    <t>New heavy-duty long-haul freight truck (battery electric) large batteries</t>
  </si>
  <si>
    <t>New heavy-duty long-haul freight truck (battery electric) fast chargers</t>
  </si>
  <si>
    <t>New heavy-duty long-haul freight truck (battery electric) eRoads bin 1</t>
  </si>
  <si>
    <t>New heavy-duty long-haul freight truck (battery electric) eRoads bin 2</t>
  </si>
  <si>
    <t>New heavy-duty long-haul freight truck (battery electric) eRoads bin 3</t>
  </si>
  <si>
    <t>New heavy-duty long-haul freight truck (battery electric) eRoads bin 4</t>
  </si>
  <si>
    <t>New heavy-duty long-haul freight truck (battery electric) eRoads bin 5</t>
  </si>
  <si>
    <t>Hydrogen refuelling station for on-road heavy-duty vehicles long-haul freight trucks</t>
  </si>
  <si>
    <t>T_H2_HDV_T_LH_REFUEL</t>
  </si>
  <si>
    <t>T_HDV_T_LH_CHRG_LRGBATT</t>
  </si>
  <si>
    <t>T_HDV_T_LH_CHRG_FSTCHRG</t>
  </si>
  <si>
    <t>T_HDV_T_LH_CHRG_ERDS1</t>
  </si>
  <si>
    <t>T_HDV_T_LH_CHRG_ERDS2</t>
  </si>
  <si>
    <t>T_HDV_T_LH_CHRG_ERDS3</t>
  </si>
  <si>
    <t>T_HDV_T_LH_CHRG_ERDS4</t>
  </si>
  <si>
    <t>T_HDV_T_LH_CHRG_ERDS5</t>
  </si>
  <si>
    <t>Charging infrastructure for on-road heavy-duty vehicles long-haul freight trucks large batteries</t>
  </si>
  <si>
    <t>Charging infrastructure for on-road heavy-duty vehicles long-haul freight trucks fast chargers</t>
  </si>
  <si>
    <t>Charging infrastructure for on-road heavy-duty vehicles long-haul freight trucks eRoads bin 1</t>
  </si>
  <si>
    <t>Charging infrastructure for on-road heavy-duty vehicles long-haul freight trucks eRoads bin 2</t>
  </si>
  <si>
    <t>Charging infrastructure for on-road heavy-duty vehicles long-haul freight trucks eRoads bin 3</t>
  </si>
  <si>
    <t>Charging infrastructure for on-road heavy-duty vehicles long-haul freight trucks eRoads bin 4</t>
  </si>
  <si>
    <t>Charging infrastructure for on-road heavy-duty vehicles long-haul freight trucks eRoads bin 5</t>
  </si>
  <si>
    <t>T_D_tkm_hdv_t_lh</t>
  </si>
  <si>
    <t>Demand for total tonne-kilometers driven by heavy-duty trucks, long-haul</t>
  </si>
  <si>
    <t>T_h2_hdv_t_lh</t>
  </si>
  <si>
    <t>Gaseous H2 @ 700 bar for use in heavy-duty vehicles, long-haul freight trucks</t>
  </si>
  <si>
    <t>T_elc_hdv_t_lh_chrg_lrgbatt</t>
  </si>
  <si>
    <t>T_elc_hdv_t_lh_chrg_fstchrg</t>
  </si>
  <si>
    <t>T_elc_hdv_t_lh_chrg_erds1</t>
  </si>
  <si>
    <t>T_elc_hdv_t_lh_chrg_erds2</t>
  </si>
  <si>
    <t>T_elc_hdv_t_lh_chrg_erds3</t>
  </si>
  <si>
    <t>T_elc_hdv_t_lh_chrg_erds4</t>
  </si>
  <si>
    <t>T_elc_hdv_t_lh_chrg_erds5</t>
  </si>
  <si>
    <t>Electricity from heavy-duty EV charger, long-haul freight trucks, large batteries</t>
  </si>
  <si>
    <t>Electricity from heavy-duty EV charger, long-haul freight trucks, fast chargers</t>
  </si>
  <si>
    <t>Electricity from heavy-duty EV charger, long-haul freight trucks, eRoads bin 1</t>
  </si>
  <si>
    <t>Electricity from heavy-duty EV charger, long-haul freight trucks, eRoads bin 2</t>
  </si>
  <si>
    <t>Electricity from heavy-duty EV charger, long-haul freight trucks, eRoads bin 3</t>
  </si>
  <si>
    <t>Electricity from heavy-duty EV charger, long-haul freight trucks, eRoads bin 4</t>
  </si>
  <si>
    <t>Electricity from heavy-duty EV charger, long-haul freight trucks, eRoads bin 5</t>
  </si>
  <si>
    <t>cf_fixed</t>
  </si>
  <si>
    <t>annual</t>
  </si>
  <si>
    <t>unlim_cap</t>
  </si>
  <si>
    <t>name</t>
  </si>
  <si>
    <t>flag</t>
  </si>
  <si>
    <t>description</t>
  </si>
  <si>
    <t>additional_notes</t>
  </si>
  <si>
    <t>DeCarolis, J. F., Jaramillo, P., Johnson, J. X., McCollum, D. L., Trutnevyte, E., Daniels, D. C., Akn-Olcum, G., Bergerson, J., Cho, S., Choi, J.-H., Craig, M. T., de Queiroz, A. R., Eshraghi, H., Galik, C. S., Gutowski, T. G., Haapala, K. R., Hodge, B.-M., Hoque, S., Jenkins, J. D., ... Zhou, Y. (2020). Open Energy OutlookLeveraging Open-Source Tools for Collaborative Macro-energy System Modeling Efforts. Joule, 4(12), 25232526. https://doi.org/10.1016/j.joule.2020.11.002</t>
  </si>
  <si>
    <t>region</t>
  </si>
  <si>
    <t>lifetime</t>
  </si>
  <si>
    <t>notes</t>
  </si>
  <si>
    <t>reference</t>
  </si>
  <si>
    <t>data_year</t>
  </si>
  <si>
    <t>eRoads lifetime placeholder value</t>
  </si>
  <si>
    <t>category</t>
  </si>
  <si>
    <t>units</t>
  </si>
  <si>
    <t>vintage</t>
  </si>
  <si>
    <t>commodity</t>
  </si>
  <si>
    <t>period</t>
  </si>
  <si>
    <t>input_comm</t>
  </si>
  <si>
    <t>output_comm</t>
  </si>
  <si>
    <t>[btkm/PJ]</t>
  </si>
  <si>
    <t>[btkm/PJ] 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t>
  </si>
  <si>
    <t>[btkm/PJ] 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2016).AK5</t>
  </si>
  <si>
    <t>T_HDV_T_DSL_EX</t>
  </si>
  <si>
    <t>Segmenting heavy trucks into long-haul and non long-haul</t>
  </si>
  <si>
    <t>above long-haul threshold</t>
  </si>
  <si>
    <t>Shipments</t>
  </si>
  <si>
    <t>TonneKm</t>
  </si>
  <si>
    <t>proportion</t>
  </si>
  <si>
    <t>Number of trucks</t>
  </si>
  <si>
    <t>Freight activity</t>
  </si>
  <si>
    <t>All of Ontario</t>
  </si>
  <si>
    <t>Notes: All of ON meaning either origin or dest is Ontario. Long-haul threshold &gt; 600 km.</t>
  </si>
  <si>
    <t>Source: Canadian Freight Analysis Framework, 2017 data. https://www150.statcan.gc.ca/n1/pub/50-503-x/50-503-x2018001-eng.htm</t>
  </si>
  <si>
    <t>Based on the findings from Sonia Yet et al. 2022, demand projections are indexed through projected national GDP growth (2019=100), using estimates from the Current Measures Scenario of the Canada's Energy Futures 2023. Initial demand is obtained from 2021 subsector activity, which was impacted by the COVID-19 pandemic. Ontario long-haul/short-haul split from Canadian Freight Analysis Framework 2017 data.</t>
  </si>
  <si>
    <t>Vehicle class 2021 fleet stock was distributed across vintages up to 2020 based on commercial vehicle registrations by age (ON Ministry of Transportation, 2023). Ontario long-haul/short-haul split from Canadian Freight Analysis Framework 2017 data.</t>
  </si>
  <si>
    <t>Capacity Unit</t>
  </si>
  <si>
    <t>Activity Unit</t>
  </si>
  <si>
    <t>T_HDV_T_DSL_N</t>
  </si>
  <si>
    <t>T_HDV_T_DSL_HEV_N</t>
  </si>
  <si>
    <t>T_HDV_T_DSL_PHEV_N</t>
  </si>
  <si>
    <t>T_HDV_T_BEV_N</t>
  </si>
  <si>
    <t>T_HDV_T_FCEV_N</t>
  </si>
  <si>
    <t>T_HDV_T_FCHEV_N</t>
  </si>
  <si>
    <t>c2a</t>
  </si>
  <si>
    <t xml:space="preserve">[btkm/k units] An estimate of how much activity a unit of capacity can deliver in a year. Assuming this vehicle class can be driven at an avg. speed of 50 km/h carrying 10 tonnes of payload for 6,500 hours each year. </t>
  </si>
  <si>
    <t>Activity over stock ratios (bn p-km or t-km/k vehicles)</t>
  </si>
  <si>
    <t>Activity class</t>
  </si>
  <si>
    <t>Max ratio</t>
  </si>
  <si>
    <t>Avg ratio (2015-2019)</t>
  </si>
  <si>
    <t>max/2019</t>
  </si>
  <si>
    <t>max/2021</t>
  </si>
  <si>
    <t>2019/2021</t>
  </si>
  <si>
    <t>avg/2021</t>
  </si>
  <si>
    <t>First period is the ratio of the 2021 vehicle class reported activity over the activity the 2021 stock can deliver based on the CapacityToActivity factors. Subsequent periods are based on the average historical ratio between 2015-2019.</t>
  </si>
  <si>
    <t>Heavy Trucks - non long-haul</t>
  </si>
  <si>
    <t>Heavy Trucks - long-haul</t>
  </si>
  <si>
    <t>First period is the ratio of the 2021 vehicle class reported activity over the activity the 2021 stock can deliver based on the CapacityToActivity factors. Subsequent periods are based on the average historical ratio between 2015-2019. MaxAnnualCapacityFactor adjusted to account for lost payload capacity.</t>
  </si>
  <si>
    <t>T_dsl_elc_hdv</t>
  </si>
  <si>
    <t>T_elc_hdv_chrg</t>
  </si>
  <si>
    <t>T_h2_hdv</t>
  </si>
  <si>
    <t>Heavy-duty Trucks (Class 8) non long-haul</t>
  </si>
  <si>
    <t>Heavy-duty Trucks (Class 8) long-haul</t>
  </si>
  <si>
    <t>[btkm/PJ] Vehicle class fuel efficiency derived from provincial fleet fuel efficiency. Reported values are in L of gasoline eq. Values were harmonized using provincial load factors. Fuel HHVs were used for unit conversion.</t>
  </si>
  <si>
    <t>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t>
  </si>
  <si>
    <t>Original Currency Year</t>
  </si>
  <si>
    <t>Original Currency</t>
  </si>
  <si>
    <t>Conversion Factor</t>
  </si>
  <si>
    <t>Currency Year</t>
  </si>
  <si>
    <t>Currency</t>
  </si>
  <si>
    <t>USD</t>
  </si>
  <si>
    <t>CAD</t>
  </si>
  <si>
    <t>M$/k units</t>
  </si>
  <si>
    <t>Vehicle class manufacturing cost aggregated from Islam et al. 2023 low uncertainty projections by Class 8 truck types. Aggregation was done with StatCan Table: 23-10-0219-01 shipment type shares (local vs. long distance).</t>
  </si>
  <si>
    <t>Islam et al. 2023 (ANL/TAPS-23/3) - MHDV Avg. Vehicle manufacturing costs ($ 2020CAD)</t>
  </si>
  <si>
    <t>†2040-2045 are linearly interpolated.</t>
  </si>
  <si>
    <t>data_cost_year</t>
  </si>
  <si>
    <t>Payload Capacity Penalty factors</t>
  </si>
  <si>
    <t>from create-truck-specs.ipynb</t>
  </si>
  <si>
    <t>long_haul_threshold</t>
  </si>
  <si>
    <t>Apply payload capacity penalties</t>
  </si>
  <si>
    <t>Using CFAF 2017 data, Islam et al. 2023 low uncertainty projections by Class 8 truck types</t>
  </si>
  <si>
    <t>From create-truck-specs.ipynb, Islam et al. 2023 low uncertainty projections by Class 8 truck types</t>
  </si>
  <si>
    <t>max_cap</t>
  </si>
  <si>
    <t>Maximum length of eRoads in each bin</t>
  </si>
  <si>
    <t>Obtained from Hydrogen Delivery Scenario Analysis Model (HDSAM) v4.5: heavy-duty refueling station (gaseous H2) economic assumptions - dispenser lifetime</t>
  </si>
  <si>
    <t>H2 refueling station capital cost</t>
  </si>
  <si>
    <t>million (2018) USD</t>
  </si>
  <si>
    <t>H2 refueling station capital cost 2018 US$2.1 million from IEA Future of Hydrogen report via OEO 2022</t>
  </si>
  <si>
    <t>5% of capital costs. From IEA Future of Hydrogen report via OEO 2022</t>
  </si>
  <si>
    <t>Bennett et al (2022) NREL/TP-5400-82092</t>
  </si>
  <si>
    <t>Travel Center, scaled from 150 kW to 350 kW, average of low and high installation costs. Cost per charger. Includes EVSE equipment, installation, utility upgrades.</t>
  </si>
  <si>
    <t>En Route, 3 MW charger. Cost per charger. Includes EVSE equipment, installation, utility upgrades.R19</t>
  </si>
  <si>
    <t>Travel Center. Cost per charger. Includes annual maintenance and land costs.</t>
  </si>
  <si>
    <t>En Route, 3 MW charger. Cost per charger. Includes annual maintenance and land costs.</t>
  </si>
  <si>
    <t>eRoads OC base case 2020 US$2.5 million/km, one lane in both directions</t>
  </si>
  <si>
    <t>Yeow et al (2024)</t>
  </si>
  <si>
    <t xml:space="preserve">return 5 * -((vintage - 2000) // -5) + 2000 #   </t>
  </si>
  <si>
    <t>Aggregated vintage</t>
  </si>
  <si>
    <t>sector</t>
  </si>
  <si>
    <t>Transport</t>
  </si>
  <si>
    <t>Dummy tech used to release non-profiled vehicles from charging demand distribution</t>
  </si>
  <si>
    <t>T_dummy_tkm_hdv_t_lh</t>
  </si>
  <si>
    <t>T_annual_tkm_hdv_t_lh</t>
  </si>
  <si>
    <t>Dummy annual commodity (flag='a') used to release non-profiled vehicles from charging demand distribution</t>
  </si>
  <si>
    <t>[btkm/btkm] Dummy tech used to release non-profiled vehicles from charging demand distribution</t>
  </si>
  <si>
    <t>a</t>
  </si>
  <si>
    <t>eRoads O&amp;M costs:</t>
  </si>
  <si>
    <t>of initial investment costs</t>
  </si>
  <si>
    <t>chargers</t>
  </si>
  <si>
    <t>stations</t>
  </si>
  <si>
    <t>[PJ/H2 station] total PJ of electricity/H2 a charger/H2 station can supply if running 24/7/365. Capacity 1,300 kgH2/day (from IEA Future of Hydrogen report via OEO 2022). LHV 120MJ/kgH2</t>
  </si>
  <si>
    <t>[PJ/km of eRoads] max theoretical AADTT*365*(kWh/km) converted to PJ</t>
  </si>
  <si>
    <t>[PJ/charger] total PJ of electricity/H2 a charger/H2 station can supply if running 24/7/365. Power kW*60*60*24*365/1000000000000</t>
  </si>
  <si>
    <t>M$/charger</t>
  </si>
  <si>
    <t>M$/km</t>
  </si>
  <si>
    <t>M$/station</t>
  </si>
  <si>
    <t>M$/station/year</t>
  </si>
  <si>
    <t>M$/charger/year</t>
  </si>
  <si>
    <t>M$/km/year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</si>
</sst>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4" formatCode="_-&quot;$&quot;* #,##0.00_-;\-&quot;$&quot;* #,##0.00_-;_-&quot;$&quot;* &quot;-&quot;??_-;_-@_-"/>
    <numFmt numFmtId="43" formatCode="_-* #,##0.00_-;\-* #,##0.00_-;_-* &quot;-&quot;??_-;_-@_-"/>
    <numFmt numFmtId="164" formatCode="_-* #,##0_-;\-* #,##0_-;_-* &quot;-&quot;??_-;_-@_-"/>
    <numFmt numFmtId="165" formatCode="_-* #,##0.000_-;\-* #,##0.000_-;_-* &quot;-&quot;??_-;_-@_-"/>
    <numFmt numFmtId="166" formatCode="#,##0.0"/>
    <numFmt numFmtId="167" formatCode="0.0000"/>
    <numFmt numFmtId="168" formatCode="0.000"/>
    <numFmt numFmtId="169" formatCode="0.0"/>
    <numFmt numFmtId="170" formatCode="0.0%"/>
    <numFmt numFmtId="171" formatCode="_-* #,##0.0000_-;\-* #,##0.0000_-;_-* &quot;-&quot;??_-;_-@_-"/>
    <numFmt numFmtId="172" formatCode="_-* #,##0.0_-;\-* #,##0.0_-;_-* &quot;-&quot;??_-;_-@_-"/>
    <numFmt numFmtId="173" formatCode="0.000E+00"/>
    <numFmt numFmtId="174" formatCode="0.0E+00"/>
    <numFmt numFmtId="175" formatCode="_-&quot;$&quot;* #,##0_-;\-&quot;$&quot;* #,##0_-;_-&quot;$&quot;* &quot;-&quot;??_-;_-@_-"/>
    <numFmt numFmtId="176" formatCode="_-&quot;$&quot;* #,##0.000_-;\-&quot;$&quot;* #,##0.000_-;_-&quot;$&quot;* &quot;-&quot;??_-;_-@_-"/>
    <numFmt numFmtId="177" formatCode="_-&quot;$&quot;* #,##0.0_-;\-&quot;$&quot;* #,##0.0_-;_-&quot;$&quot;* &quot;-&quot;??_-;_-@_-"/>
    <numFmt numFmtId="178" formatCode="0.000%"/>
    <numFmt numFmtId="179" formatCode="#,##0.000"/>
    <numFmt numFmtId="180" formatCode="#,##0.0000"/>
    <numFmt numFmtId="181" formatCode="#,##0.00000"/>
  </numFmts>
  <fonts count="43"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b/>
      <sz val="11"/>
      <name val="Calibri"/>
      <family val="2"/>
      <scheme val="minor"/>
    </font>
    <font>
      <sz val="11"/>
      <name val="Calibri"/>
      <family val="2"/>
      <scheme val="minor"/>
    </font>
    <font>
      <i/>
      <sz val="11"/>
      <color theme="1"/>
      <name val="Calibri"/>
      <family val="2"/>
      <scheme val="minor"/>
    </font>
    <font>
      <b/>
      <u/>
      <sz val="12"/>
      <color theme="10"/>
      <name val="Calibri"/>
      <family val="2"/>
      <scheme val="minor"/>
    </font>
    <font>
      <i/>
      <u/>
      <sz val="11"/>
      <color theme="10"/>
      <name val="Calibri"/>
      <family val="2"/>
      <scheme val="minor"/>
    </font>
    <font>
      <vertAlign val="superscript"/>
      <sz val="11"/>
      <color theme="1"/>
      <name val="Calibri"/>
      <family val="2"/>
      <scheme val="minor"/>
    </font>
    <font>
      <sz val="10"/>
      <color theme="1"/>
      <name val="Calibri"/>
      <family val="2"/>
      <scheme val="minor"/>
    </font>
    <font>
      <sz val="10"/>
      <name val="Arial"/>
      <family val="2"/>
    </font>
    <font>
      <b/>
      <sz val="14"/>
      <color theme="1"/>
      <name val="Calibri"/>
      <family val="2"/>
      <scheme val="minor"/>
    </font>
    <font>
      <b/>
      <u/>
      <sz val="11"/>
      <color theme="10"/>
      <name val="Calibri"/>
      <family val="2"/>
      <scheme val="minor"/>
    </font>
    <font>
      <sz val="12"/>
      <color theme="1"/>
      <name val="Calibri"/>
      <family val="2"/>
      <scheme val="minor"/>
    </font>
    <font>
      <sz val="10"/>
      <name val="Calibri"/>
      <family val="2"/>
      <scheme val="minor"/>
    </font>
    <font>
      <b/>
      <sz val="10"/>
      <name val="Calibri"/>
      <family val="2"/>
      <scheme val="minor"/>
    </font>
    <font>
      <sz val="8"/>
      <name val="Arial"/>
      <family val="2"/>
    </font>
    <font>
      <b/>
      <sz val="8"/>
      <color indexed="10"/>
      <name val="Arial"/>
      <family val="2"/>
    </font>
    <font>
      <b/>
      <sz val="8"/>
      <name val="Arial"/>
      <family val="2"/>
    </font>
    <font>
      <i/>
      <sz val="8"/>
      <name val="Arial"/>
      <family val="2"/>
    </font>
    <font>
      <b/>
      <i/>
      <sz val="11"/>
      <color theme="1"/>
      <name val="Calibri"/>
      <family val="2"/>
      <scheme val="minor"/>
    </font>
    <font>
      <b/>
      <vertAlign val="subscript"/>
      <sz val="11"/>
      <color theme="1"/>
      <name val="Calibri"/>
      <family val="2"/>
      <scheme val="minor"/>
    </font>
    <font>
      <sz val="8"/>
      <color theme="9" tint="-0.499984740745262"/>
      <name val="Arial"/>
      <family val="2"/>
    </font>
    <font>
      <sz val="8"/>
      <color indexed="8"/>
      <name val="Arial"/>
      <family val="2"/>
    </font>
    <font>
      <i/>
      <sz val="10"/>
      <name val="Arial"/>
      <family val="2"/>
    </font>
    <font>
      <sz val="10"/>
      <color theme="9" tint="-0.499984740745262"/>
      <name val="Arial"/>
      <family val="2"/>
    </font>
    <font>
      <sz val="8"/>
      <name val="Calibri"/>
      <family val="2"/>
      <scheme val="minor"/>
    </font>
    <font>
      <b/>
      <u/>
      <sz val="11"/>
      <color theme="1"/>
      <name val="Calibri"/>
      <family val="2"/>
      <scheme val="minor"/>
    </font>
    <font>
      <b/>
      <sz val="16"/>
      <color theme="1"/>
      <name val="Calibri"/>
      <family val="2"/>
      <scheme val="minor"/>
    </font>
    <font>
      <b/>
      <sz val="18"/>
      <color theme="1"/>
      <name val="Calibri"/>
      <family val="2"/>
      <scheme val="minor"/>
    </font>
    <font>
      <sz val="14"/>
      <color theme="1"/>
      <name val="Calibri"/>
      <family val="2"/>
      <scheme val="minor"/>
    </font>
    <font>
      <sz val="16"/>
      <color theme="1"/>
      <name val="Calibri"/>
      <family val="2"/>
      <scheme val="minor"/>
    </font>
    <font>
      <u/>
      <sz val="12"/>
      <color theme="10"/>
      <name val="Calibri"/>
      <family val="2"/>
      <scheme val="minor"/>
    </font>
    <font>
      <b/>
      <sz val="10"/>
      <name val="Arial"/>
      <family val="2"/>
    </font>
    <font>
      <b/>
      <sz val="20"/>
      <color theme="1"/>
      <name val="Calibri"/>
      <family val="2"/>
      <scheme val="minor"/>
    </font>
    <font>
      <b/>
      <sz val="10"/>
      <color theme="1"/>
      <name val="Calibri"/>
      <family val="2"/>
      <scheme val="minor"/>
    </font>
    <font>
      <i/>
      <sz val="12"/>
      <color theme="1"/>
      <name val="Calibri"/>
      <family val="2"/>
      <scheme val="minor"/>
    </font>
    <font>
      <b/>
      <sz val="11"/>
      <name val="Segoe UI"/>
      <family val="2"/>
    </font>
    <font>
      <sz val="11"/>
      <name val="Segoe UI"/>
      <family val="2"/>
    </font>
    <font>
      <sz val="9"/>
      <color indexed="81"/>
      <name val="Tahoma"/>
      <family val="2"/>
    </font>
    <font>
      <b/>
      <sz val="9"/>
      <color indexed="81"/>
      <name val="Tahoma"/>
      <family val="2"/>
    </font>
  </fonts>
  <fills count="19">
    <fill>
      <patternFill patternType="none"/>
    </fill>
    <fill>
      <patternFill patternType="gray125"/>
    </fill>
    <fill>
      <patternFill patternType="solid">
        <fgColor theme="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4"/>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249977111117893"/>
        <bgColor indexed="64"/>
      </patternFill>
    </fill>
    <fill>
      <patternFill patternType="solid">
        <fgColor theme="1" tint="0.24994659260841701"/>
        <bgColor indexed="64"/>
      </patternFill>
    </fill>
  </fills>
  <borders count="71">
    <border>
      <left/>
      <right/>
      <top/>
      <bottom/>
      <diagonal/>
    </border>
    <border>
      <left/>
      <right/>
      <top/>
      <bottom style="double">
        <color indexed="64"/>
      </bottom>
      <diagonal/>
    </border>
    <border>
      <left/>
      <right/>
      <top/>
      <bottom style="thin">
        <color indexed="64"/>
      </bottom>
      <diagonal/>
    </border>
    <border>
      <left/>
      <right style="thin">
        <color indexed="64"/>
      </right>
      <top/>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diagonal/>
    </border>
    <border>
      <left style="thin">
        <color indexed="64"/>
      </left>
      <right/>
      <top/>
      <bottom style="double">
        <color indexed="64"/>
      </bottom>
      <diagonal/>
    </border>
    <border>
      <left style="thin">
        <color indexed="64"/>
      </left>
      <right/>
      <top/>
      <bottom/>
      <diagonal/>
    </border>
    <border>
      <left/>
      <right style="thin">
        <color indexed="64"/>
      </right>
      <top/>
      <bottom style="double">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double">
        <color indexed="64"/>
      </top>
      <bottom/>
      <diagonal/>
    </border>
    <border>
      <left/>
      <right/>
      <top style="double">
        <color indexed="64"/>
      </top>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style="thin">
        <color auto="1"/>
      </bottom>
      <diagonal/>
    </border>
    <border>
      <left style="medium">
        <color auto="1"/>
      </left>
      <right/>
      <top style="thin">
        <color auto="1"/>
      </top>
      <bottom/>
      <diagonal/>
    </border>
    <border>
      <left style="medium">
        <color auto="1"/>
      </left>
      <right style="medium">
        <color auto="1"/>
      </right>
      <top style="medium">
        <color auto="1"/>
      </top>
      <bottom/>
      <diagonal/>
    </border>
    <border>
      <left style="thin">
        <color indexed="64"/>
      </left>
      <right style="thin">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medium">
        <color indexed="64"/>
      </right>
      <top style="medium">
        <color indexed="64"/>
      </top>
      <bottom style="double">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indexed="64"/>
      </top>
      <bottom style="double">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double">
        <color indexed="64"/>
      </top>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thin">
        <color indexed="64"/>
      </top>
      <bottom style="medium">
        <color auto="1"/>
      </bottom>
      <diagonal/>
    </border>
    <border>
      <left/>
      <right/>
      <top style="thin">
        <color indexed="64"/>
      </top>
      <bottom style="medium">
        <color auto="1"/>
      </bottom>
      <diagonal/>
    </border>
    <border>
      <left/>
      <right style="thin">
        <color indexed="64"/>
      </right>
      <top style="thin">
        <color indexed="64"/>
      </top>
      <bottom style="medium">
        <color auto="1"/>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medium">
        <color auto="1"/>
      </left>
      <right/>
      <top style="thin">
        <color indexed="64"/>
      </top>
      <bottom style="thin">
        <color indexed="64"/>
      </bottom>
      <diagonal/>
    </border>
    <border>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43" fontId="1" fillId="0" borderId="0" applyFon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44" fontId="1" fillId="0" borderId="0" applyFont="0" applyFill="0" applyBorder="0" applyAlignment="0" applyProtection="0"/>
  </cellStyleXfs>
  <cellXfs count="958">
    <xf numFmtId="0" fontId="0" fillId="0" borderId="0" xfId="0"/>
    <xf numFmtId="0" fontId="2" fillId="0" borderId="0" xfId="0" applyFont="1" applyAlignment="1">
      <alignment horizontal="center"/>
    </xf>
    <xf numFmtId="0" fontId="3" fillId="0" borderId="1" xfId="0" applyFont="1" applyBorder="1"/>
    <xf numFmtId="43" fontId="0" fillId="0" borderId="0" xfId="1" applyFont="1"/>
    <xf numFmtId="43" fontId="2" fillId="0" borderId="0" xfId="1" applyFont="1"/>
    <xf numFmtId="43" fontId="5" fillId="0" borderId="0" xfId="1" applyFont="1"/>
    <xf numFmtId="43" fontId="6" fillId="0" borderId="0" xfId="1" applyFont="1"/>
    <xf numFmtId="43" fontId="1" fillId="0" borderId="0" xfId="1" applyFont="1"/>
    <xf numFmtId="43" fontId="2" fillId="0" borderId="0" xfId="1" applyFont="1" applyAlignment="1">
      <alignment horizontal="left"/>
    </xf>
    <xf numFmtId="0" fontId="2" fillId="0" borderId="6" xfId="1" applyNumberFormat="1" applyFont="1" applyBorder="1"/>
    <xf numFmtId="0" fontId="2" fillId="0" borderId="4" xfId="1" applyNumberFormat="1" applyFont="1" applyBorder="1"/>
    <xf numFmtId="164" fontId="2" fillId="0" borderId="0" xfId="1" applyNumberFormat="1" applyFont="1"/>
    <xf numFmtId="164" fontId="0" fillId="0" borderId="0" xfId="1" applyNumberFormat="1" applyFont="1"/>
    <xf numFmtId="0" fontId="2" fillId="0" borderId="0" xfId="1" applyNumberFormat="1" applyFont="1" applyBorder="1"/>
    <xf numFmtId="0" fontId="2" fillId="0" borderId="1" xfId="0" applyFont="1" applyBorder="1"/>
    <xf numFmtId="0" fontId="0" fillId="0" borderId="0" xfId="0" applyAlignment="1">
      <alignment horizontal="left" indent="2"/>
    </xf>
    <xf numFmtId="0" fontId="0" fillId="0" borderId="0" xfId="1" applyNumberFormat="1" applyFont="1"/>
    <xf numFmtId="43" fontId="1" fillId="3" borderId="0" xfId="1" applyFont="1" applyFill="1"/>
    <xf numFmtId="164" fontId="0" fillId="0" borderId="2" xfId="1" applyNumberFormat="1" applyFont="1" applyBorder="1"/>
    <xf numFmtId="43" fontId="2" fillId="0" borderId="4" xfId="1" applyFont="1" applyBorder="1"/>
    <xf numFmtId="43" fontId="0" fillId="0" borderId="0" xfId="1" applyFont="1" applyFill="1"/>
    <xf numFmtId="43" fontId="0" fillId="2" borderId="0" xfId="1" applyFont="1" applyFill="1"/>
    <xf numFmtId="0" fontId="2" fillId="2" borderId="4" xfId="1" applyNumberFormat="1" applyFont="1" applyFill="1" applyBorder="1"/>
    <xf numFmtId="164" fontId="2" fillId="2" borderId="0" xfId="1" applyNumberFormat="1" applyFont="1" applyFill="1"/>
    <xf numFmtId="164" fontId="0" fillId="2" borderId="0" xfId="1" applyNumberFormat="1" applyFont="1" applyFill="1"/>
    <xf numFmtId="0" fontId="0" fillId="0" borderId="4" xfId="0" applyBorder="1"/>
    <xf numFmtId="0" fontId="2" fillId="0" borderId="0" xfId="0" applyFont="1"/>
    <xf numFmtId="10" fontId="0" fillId="0" borderId="0" xfId="3" applyNumberFormat="1" applyFont="1"/>
    <xf numFmtId="10" fontId="0" fillId="0" borderId="0" xfId="0" applyNumberFormat="1"/>
    <xf numFmtId="0" fontId="0" fillId="0" borderId="2" xfId="0" applyBorder="1" applyAlignment="1">
      <alignment horizontal="left" indent="2"/>
    </xf>
    <xf numFmtId="10" fontId="11" fillId="4" borderId="9" xfId="3" applyNumberFormat="1" applyFont="1" applyFill="1" applyBorder="1"/>
    <xf numFmtId="10" fontId="11" fillId="4" borderId="0" xfId="3" applyNumberFormat="1" applyFont="1" applyFill="1" applyBorder="1"/>
    <xf numFmtId="164" fontId="0" fillId="0" borderId="2" xfId="1" applyNumberFormat="1" applyFont="1" applyFill="1" applyBorder="1"/>
    <xf numFmtId="10" fontId="11" fillId="0" borderId="9" xfId="3" applyNumberFormat="1" applyFont="1" applyFill="1" applyBorder="1"/>
    <xf numFmtId="10" fontId="11" fillId="0" borderId="0" xfId="3" applyNumberFormat="1" applyFont="1" applyFill="1" applyBorder="1"/>
    <xf numFmtId="10" fontId="11" fillId="0" borderId="12" xfId="3" applyNumberFormat="1" applyFont="1" applyFill="1" applyBorder="1"/>
    <xf numFmtId="10" fontId="11" fillId="0" borderId="2" xfId="3" applyNumberFormat="1" applyFont="1" applyFill="1" applyBorder="1"/>
    <xf numFmtId="10" fontId="0" fillId="0" borderId="0" xfId="3" applyNumberFormat="1" applyFont="1" applyBorder="1"/>
    <xf numFmtId="0" fontId="0" fillId="0" borderId="5" xfId="0" applyBorder="1"/>
    <xf numFmtId="164" fontId="2" fillId="0" borderId="0" xfId="1" applyNumberFormat="1" applyFont="1" applyFill="1" applyBorder="1"/>
    <xf numFmtId="164" fontId="2" fillId="0" borderId="14" xfId="1" applyNumberFormat="1" applyFont="1" applyFill="1" applyBorder="1"/>
    <xf numFmtId="164" fontId="2" fillId="0" borderId="9" xfId="1" applyNumberFormat="1" applyFont="1" applyFill="1" applyBorder="1"/>
    <xf numFmtId="10" fontId="11" fillId="0" borderId="9" xfId="0" applyNumberFormat="1" applyFont="1" applyBorder="1"/>
    <xf numFmtId="10" fontId="11" fillId="0" borderId="0" xfId="0" applyNumberFormat="1" applyFont="1"/>
    <xf numFmtId="164" fontId="2" fillId="0" borderId="0" xfId="0" applyNumberFormat="1" applyFont="1"/>
    <xf numFmtId="0" fontId="0" fillId="4" borderId="0" xfId="0" applyFill="1" applyAlignment="1">
      <alignment horizontal="left" indent="2"/>
    </xf>
    <xf numFmtId="0" fontId="0" fillId="0" borderId="0" xfId="0" applyAlignment="1">
      <alignment horizontal="center" vertical="center" wrapText="1"/>
    </xf>
    <xf numFmtId="0" fontId="3" fillId="0" borderId="1" xfId="0" applyFont="1" applyBorder="1" applyAlignment="1">
      <alignment horizontal="center"/>
    </xf>
    <xf numFmtId="0" fontId="0" fillId="2" borderId="0" xfId="0" applyFill="1"/>
    <xf numFmtId="0" fontId="0" fillId="0" borderId="3" xfId="0" applyBorder="1"/>
    <xf numFmtId="0" fontId="2" fillId="0" borderId="16" xfId="0" applyFont="1" applyBorder="1" applyAlignment="1">
      <alignment horizontal="center"/>
    </xf>
    <xf numFmtId="0" fontId="0" fillId="0" borderId="16" xfId="0" applyBorder="1"/>
    <xf numFmtId="0" fontId="2" fillId="0" borderId="8" xfId="0" applyFont="1" applyBorder="1"/>
    <xf numFmtId="0" fontId="4" fillId="0" borderId="0" xfId="2" applyAlignment="1">
      <alignment horizontal="left" vertical="center" indent="2"/>
    </xf>
    <xf numFmtId="10" fontId="11" fillId="0" borderId="0" xfId="3" applyNumberFormat="1" applyFont="1"/>
    <xf numFmtId="10" fontId="11" fillId="4" borderId="0" xfId="3" applyNumberFormat="1" applyFont="1" applyFill="1"/>
    <xf numFmtId="165" fontId="0" fillId="0" borderId="0" xfId="0" applyNumberFormat="1"/>
    <xf numFmtId="168" fontId="0" fillId="0" borderId="0" xfId="0" applyNumberFormat="1"/>
    <xf numFmtId="0" fontId="7" fillId="0" borderId="0" xfId="0" applyFont="1"/>
    <xf numFmtId="0" fontId="2" fillId="0" borderId="22" xfId="0" applyFont="1" applyBorder="1"/>
    <xf numFmtId="0" fontId="0" fillId="0" borderId="23" xfId="0" applyBorder="1"/>
    <xf numFmtId="0" fontId="0" fillId="0" borderId="24" xfId="0" applyBorder="1"/>
    <xf numFmtId="164" fontId="0" fillId="0" borderId="0" xfId="1" applyNumberFormat="1" applyFont="1" applyBorder="1"/>
    <xf numFmtId="168" fontId="0" fillId="0" borderId="23" xfId="0" applyNumberFormat="1" applyBorder="1"/>
    <xf numFmtId="0" fontId="0" fillId="0" borderId="25" xfId="0" applyBorder="1"/>
    <xf numFmtId="0" fontId="0" fillId="0" borderId="26" xfId="0" applyBorder="1"/>
    <xf numFmtId="0" fontId="0" fillId="0" borderId="20" xfId="0" applyBorder="1"/>
    <xf numFmtId="169" fontId="0" fillId="0" borderId="0" xfId="0" applyNumberFormat="1"/>
    <xf numFmtId="0" fontId="0" fillId="0" borderId="9" xfId="0" applyBorder="1"/>
    <xf numFmtId="2" fontId="0" fillId="0" borderId="0" xfId="0" applyNumberFormat="1"/>
    <xf numFmtId="0" fontId="0" fillId="3" borderId="0" xfId="0" applyFill="1"/>
    <xf numFmtId="0" fontId="0" fillId="0" borderId="0" xfId="0" applyAlignment="1">
      <alignment horizontal="left" indent="1"/>
    </xf>
    <xf numFmtId="0" fontId="15" fillId="0" borderId="0" xfId="0" applyFont="1"/>
    <xf numFmtId="0" fontId="7" fillId="0" borderId="0" xfId="0" applyFont="1" applyAlignment="1">
      <alignment horizontal="left"/>
    </xf>
    <xf numFmtId="43" fontId="2" fillId="0" borderId="0" xfId="0" applyNumberFormat="1" applyFont="1"/>
    <xf numFmtId="43" fontId="11" fillId="4" borderId="0" xfId="0" applyNumberFormat="1" applyFont="1" applyFill="1"/>
    <xf numFmtId="43" fontId="0" fillId="0" borderId="0" xfId="0" applyNumberFormat="1"/>
    <xf numFmtId="43" fontId="2" fillId="0" borderId="4" xfId="1" applyFont="1" applyBorder="1" applyAlignment="1">
      <alignment horizontal="center"/>
    </xf>
    <xf numFmtId="164" fontId="0" fillId="0" borderId="2" xfId="1" applyNumberFormat="1" applyFont="1" applyBorder="1" applyAlignment="1">
      <alignment horizontal="center"/>
    </xf>
    <xf numFmtId="0" fontId="2" fillId="0" borderId="4" xfId="0" applyFont="1" applyBorder="1" applyAlignment="1">
      <alignment horizontal="right"/>
    </xf>
    <xf numFmtId="9" fontId="0" fillId="0" borderId="0" xfId="3" applyFont="1"/>
    <xf numFmtId="170" fontId="0" fillId="0" borderId="0" xfId="3" applyNumberFormat="1" applyFont="1"/>
    <xf numFmtId="10" fontId="0" fillId="4" borderId="29" xfId="3" applyNumberFormat="1" applyFont="1" applyFill="1" applyBorder="1"/>
    <xf numFmtId="0" fontId="2" fillId="0" borderId="4" xfId="0" applyFont="1" applyBorder="1"/>
    <xf numFmtId="2" fontId="2" fillId="0" borderId="0" xfId="0" applyNumberFormat="1" applyFont="1"/>
    <xf numFmtId="164" fontId="0" fillId="0" borderId="3" xfId="1" applyNumberFormat="1" applyFont="1" applyBorder="1"/>
    <xf numFmtId="0" fontId="2" fillId="0" borderId="1" xfId="1" applyNumberFormat="1" applyFont="1" applyBorder="1"/>
    <xf numFmtId="0" fontId="2" fillId="0" borderId="10" xfId="1" applyNumberFormat="1" applyFont="1" applyBorder="1"/>
    <xf numFmtId="164" fontId="2" fillId="0" borderId="2" xfId="1" applyNumberFormat="1" applyFont="1" applyBorder="1"/>
    <xf numFmtId="164" fontId="2" fillId="0" borderId="11" xfId="1" applyNumberFormat="1" applyFont="1" applyBorder="1"/>
    <xf numFmtId="164" fontId="0" fillId="4" borderId="2" xfId="1" applyNumberFormat="1" applyFont="1" applyFill="1" applyBorder="1"/>
    <xf numFmtId="43" fontId="4" fillId="4" borderId="2" xfId="2" applyNumberFormat="1" applyFill="1" applyBorder="1"/>
    <xf numFmtId="43" fontId="22" fillId="0" borderId="32" xfId="1" applyFont="1" applyBorder="1"/>
    <xf numFmtId="10" fontId="0" fillId="4" borderId="28" xfId="3" applyNumberFormat="1" applyFont="1" applyFill="1" applyBorder="1"/>
    <xf numFmtId="10" fontId="0" fillId="0" borderId="28" xfId="3" applyNumberFormat="1" applyFont="1" applyBorder="1"/>
    <xf numFmtId="43" fontId="0" fillId="0" borderId="28" xfId="1" applyFont="1" applyBorder="1"/>
    <xf numFmtId="10" fontId="0" fillId="0" borderId="29" xfId="3" applyNumberFormat="1" applyFont="1" applyBorder="1"/>
    <xf numFmtId="10" fontId="0" fillId="0" borderId="28" xfId="3" applyNumberFormat="1" applyFont="1" applyFill="1" applyBorder="1"/>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0" fillId="0" borderId="0" xfId="0" applyAlignment="1">
      <alignment horizontal="left" vertical="center"/>
    </xf>
    <xf numFmtId="0" fontId="0" fillId="0" borderId="0" xfId="0" applyAlignment="1">
      <alignment vertical="center"/>
    </xf>
    <xf numFmtId="0" fontId="7" fillId="0" borderId="24" xfId="0" applyFont="1" applyBorder="1"/>
    <xf numFmtId="171" fontId="0" fillId="0" borderId="0" xfId="0" applyNumberFormat="1"/>
    <xf numFmtId="0" fontId="2" fillId="0" borderId="3" xfId="0" applyFont="1" applyBorder="1" applyAlignment="1">
      <alignment horizontal="center"/>
    </xf>
    <xf numFmtId="0" fontId="2" fillId="0" borderId="5" xfId="0" applyFont="1" applyBorder="1"/>
    <xf numFmtId="2" fontId="0" fillId="0" borderId="3" xfId="0" applyNumberFormat="1" applyBorder="1"/>
    <xf numFmtId="0" fontId="2" fillId="0" borderId="33" xfId="0" applyFont="1" applyBorder="1"/>
    <xf numFmtId="2" fontId="0" fillId="0" borderId="16" xfId="0" applyNumberFormat="1" applyBorder="1"/>
    <xf numFmtId="170" fontId="0" fillId="0" borderId="0" xfId="3" applyNumberFormat="1" applyFont="1" applyBorder="1"/>
    <xf numFmtId="2" fontId="1" fillId="0" borderId="0" xfId="1" applyNumberFormat="1" applyFont="1" applyBorder="1"/>
    <xf numFmtId="2" fontId="2" fillId="0" borderId="0" xfId="1" applyNumberFormat="1" applyFont="1" applyBorder="1"/>
    <xf numFmtId="0" fontId="0" fillId="0" borderId="0" xfId="0" applyAlignment="1">
      <alignment horizontal="center" wrapText="1"/>
    </xf>
    <xf numFmtId="0" fontId="16" fillId="0" borderId="13" xfId="0" applyFont="1" applyBorder="1"/>
    <xf numFmtId="0" fontId="17" fillId="0" borderId="13" xfId="0" applyFont="1" applyBorder="1" applyAlignment="1">
      <alignment horizontal="center"/>
    </xf>
    <xf numFmtId="0" fontId="17" fillId="0" borderId="13" xfId="0" applyFont="1" applyBorder="1" applyAlignment="1" applyProtection="1">
      <alignment horizontal="center"/>
      <protection locked="0"/>
    </xf>
    <xf numFmtId="0" fontId="16" fillId="0" borderId="1" xfId="0" applyFont="1" applyBorder="1"/>
    <xf numFmtId="0" fontId="17" fillId="0" borderId="1" xfId="0" applyFont="1" applyBorder="1" applyAlignment="1" applyProtection="1">
      <alignment horizontal="center"/>
      <protection locked="0"/>
    </xf>
    <xf numFmtId="0" fontId="16" fillId="0" borderId="1" xfId="0" applyFont="1" applyBorder="1" applyAlignment="1" applyProtection="1">
      <alignment horizontal="center" wrapText="1"/>
      <protection locked="0"/>
    </xf>
    <xf numFmtId="0" fontId="17" fillId="0" borderId="13" xfId="0" applyFont="1" applyBorder="1"/>
    <xf numFmtId="0" fontId="17" fillId="0" borderId="1" xfId="0" applyFont="1" applyBorder="1"/>
    <xf numFmtId="0" fontId="12" fillId="0" borderId="0" xfId="0" applyFont="1"/>
    <xf numFmtId="0" fontId="16" fillId="0" borderId="31" xfId="0" applyFont="1" applyBorder="1"/>
    <xf numFmtId="0" fontId="16" fillId="0" borderId="22" xfId="0" applyFont="1" applyBorder="1"/>
    <xf numFmtId="0" fontId="18" fillId="0" borderId="24" xfId="0" applyFont="1" applyBorder="1"/>
    <xf numFmtId="0" fontId="18" fillId="0" borderId="0" xfId="0" applyFont="1"/>
    <xf numFmtId="1" fontId="18" fillId="0" borderId="0" xfId="0" applyNumberFormat="1" applyFont="1"/>
    <xf numFmtId="166" fontId="18" fillId="0" borderId="0" xfId="0" applyNumberFormat="1" applyFont="1"/>
    <xf numFmtId="2" fontId="18" fillId="0" borderId="0" xfId="0" applyNumberFormat="1" applyFont="1"/>
    <xf numFmtId="167" fontId="18" fillId="0" borderId="0" xfId="0" applyNumberFormat="1" applyFont="1"/>
    <xf numFmtId="3" fontId="18" fillId="0" borderId="0" xfId="0" applyNumberFormat="1" applyFont="1"/>
    <xf numFmtId="10" fontId="18" fillId="0" borderId="0" xfId="0" applyNumberFormat="1" applyFont="1"/>
    <xf numFmtId="0" fontId="6" fillId="0" borderId="0" xfId="0" applyFont="1"/>
    <xf numFmtId="0" fontId="18" fillId="0" borderId="0" xfId="0" applyFont="1" applyAlignment="1">
      <alignment horizontal="right"/>
    </xf>
    <xf numFmtId="167" fontId="18" fillId="0" borderId="0" xfId="0" applyNumberFormat="1" applyFont="1" applyAlignment="1">
      <alignment horizontal="right"/>
    </xf>
    <xf numFmtId="168" fontId="18" fillId="0" borderId="0" xfId="0" applyNumberFormat="1" applyFont="1"/>
    <xf numFmtId="169" fontId="18" fillId="0" borderId="0" xfId="0" applyNumberFormat="1" applyFont="1"/>
    <xf numFmtId="0" fontId="19" fillId="0" borderId="0" xfId="0" applyFont="1"/>
    <xf numFmtId="0" fontId="19" fillId="0" borderId="0" xfId="0" applyFont="1" applyAlignment="1" applyProtection="1">
      <alignment horizontal="center"/>
      <protection locked="0"/>
    </xf>
    <xf numFmtId="0" fontId="20" fillId="0" borderId="0" xfId="0" applyFont="1" applyAlignment="1" applyProtection="1">
      <alignment horizontal="center"/>
      <protection locked="0"/>
    </xf>
    <xf numFmtId="0" fontId="20" fillId="0" borderId="0" xfId="0" applyFont="1"/>
    <xf numFmtId="0" fontId="18" fillId="0" borderId="0" xfId="0" applyFont="1" applyAlignment="1" applyProtection="1">
      <alignment horizontal="center" wrapText="1"/>
      <protection locked="0"/>
    </xf>
    <xf numFmtId="167" fontId="24" fillId="0" borderId="0" xfId="0" applyNumberFormat="1" applyFont="1" applyAlignment="1" applyProtection="1">
      <alignment horizontal="right" wrapText="1"/>
      <protection locked="0"/>
    </xf>
    <xf numFmtId="0" fontId="18" fillId="0" borderId="0" xfId="0" applyFont="1" applyAlignment="1" applyProtection="1">
      <alignment horizontal="right" wrapText="1"/>
      <protection locked="0"/>
    </xf>
    <xf numFmtId="0" fontId="25" fillId="0" borderId="0" xfId="0" applyFont="1" applyAlignment="1">
      <alignment horizontal="left" wrapText="1"/>
    </xf>
    <xf numFmtId="0" fontId="25" fillId="0" borderId="0" xfId="0" applyFont="1"/>
    <xf numFmtId="0" fontId="18" fillId="0" borderId="0" xfId="0" quotePrefix="1" applyFont="1" applyAlignment="1">
      <alignment horizontal="center"/>
    </xf>
    <xf numFmtId="0" fontId="25" fillId="0" borderId="0" xfId="0" applyFont="1" applyAlignment="1">
      <alignment horizontal="left" vertical="center" wrapText="1"/>
    </xf>
    <xf numFmtId="0" fontId="26" fillId="0" borderId="0" xfId="0" applyFont="1"/>
    <xf numFmtId="0" fontId="27" fillId="0" borderId="0" xfId="0" applyFont="1"/>
    <xf numFmtId="0" fontId="2" fillId="0" borderId="35" xfId="0" applyFont="1" applyBorder="1"/>
    <xf numFmtId="174" fontId="0" fillId="0" borderId="0" xfId="0" applyNumberFormat="1"/>
    <xf numFmtId="174" fontId="2" fillId="0" borderId="0" xfId="0" applyNumberFormat="1" applyFont="1"/>
    <xf numFmtId="0" fontId="2" fillId="0" borderId="0" xfId="0" applyFont="1" applyAlignment="1">
      <alignment horizontal="left" indent="1"/>
    </xf>
    <xf numFmtId="0" fontId="3" fillId="0" borderId="0" xfId="0" applyFont="1"/>
    <xf numFmtId="43" fontId="0" fillId="0" borderId="3" xfId="1" applyFont="1" applyBorder="1" applyAlignment="1">
      <alignment vertical="center"/>
    </xf>
    <xf numFmtId="43" fontId="0" fillId="0" borderId="0" xfId="1" applyFont="1" applyAlignment="1">
      <alignment vertical="center"/>
    </xf>
    <xf numFmtId="43" fontId="0" fillId="0" borderId="0" xfId="1" applyFont="1" applyBorder="1" applyAlignment="1">
      <alignment vertical="center"/>
    </xf>
    <xf numFmtId="43" fontId="2" fillId="0" borderId="4" xfId="1" applyFont="1" applyBorder="1" applyAlignment="1">
      <alignment horizontal="center" vertical="center" wrapText="1"/>
    </xf>
    <xf numFmtId="172" fontId="0" fillId="0" borderId="0" xfId="1" applyNumberFormat="1" applyFont="1"/>
    <xf numFmtId="164" fontId="0" fillId="0" borderId="0" xfId="1" applyNumberFormat="1" applyFont="1" applyAlignment="1">
      <alignment horizontal="left" indent="2"/>
    </xf>
    <xf numFmtId="43" fontId="2" fillId="0" borderId="3" xfId="1" applyFont="1" applyFill="1" applyBorder="1" applyAlignment="1">
      <alignment vertical="center"/>
    </xf>
    <xf numFmtId="43" fontId="2" fillId="0" borderId="3" xfId="1" applyFont="1" applyBorder="1" applyAlignment="1">
      <alignment vertical="center"/>
    </xf>
    <xf numFmtId="43" fontId="0" fillId="0" borderId="0" xfId="1" applyFont="1" applyBorder="1" applyAlignment="1">
      <alignment horizontal="left" vertical="center"/>
    </xf>
    <xf numFmtId="43" fontId="5" fillId="0" borderId="3" xfId="1" applyFont="1" applyBorder="1" applyAlignment="1">
      <alignment horizontal="left" vertical="center"/>
    </xf>
    <xf numFmtId="43" fontId="7" fillId="0" borderId="0" xfId="1" applyFont="1" applyAlignment="1">
      <alignment vertical="center"/>
    </xf>
    <xf numFmtId="43" fontId="0" fillId="2" borderId="0" xfId="1" applyFont="1" applyFill="1" applyAlignment="1">
      <alignment vertical="center"/>
    </xf>
    <xf numFmtId="0" fontId="2" fillId="0" borderId="6" xfId="1" applyNumberFormat="1" applyFont="1" applyBorder="1" applyAlignment="1">
      <alignment horizontal="center" vertical="center"/>
    </xf>
    <xf numFmtId="0" fontId="2" fillId="0" borderId="4" xfId="1" applyNumberFormat="1" applyFont="1" applyBorder="1" applyAlignment="1">
      <alignment horizontal="center" vertical="center"/>
    </xf>
    <xf numFmtId="0" fontId="0" fillId="4" borderId="32" xfId="0" applyFill="1" applyBorder="1" applyAlignment="1">
      <alignment horizontal="center" vertical="center"/>
    </xf>
    <xf numFmtId="0" fontId="0" fillId="6" borderId="28" xfId="0" applyFill="1" applyBorder="1" applyAlignment="1">
      <alignment horizontal="center" vertical="center"/>
    </xf>
    <xf numFmtId="0" fontId="0" fillId="7" borderId="29" xfId="0" applyFill="1" applyBorder="1" applyAlignment="1">
      <alignment horizontal="center" vertical="center"/>
    </xf>
    <xf numFmtId="43" fontId="0" fillId="0" borderId="3" xfId="1" applyFont="1" applyBorder="1" applyAlignment="1">
      <alignment horizontal="left" vertical="center" indent="2"/>
    </xf>
    <xf numFmtId="43" fontId="0" fillId="0" borderId="3" xfId="1" applyFont="1" applyFill="1" applyBorder="1" applyAlignment="1">
      <alignment horizontal="left" vertical="center" indent="2"/>
    </xf>
    <xf numFmtId="43" fontId="6" fillId="0" borderId="3" xfId="1" applyFont="1" applyBorder="1" applyAlignment="1">
      <alignment horizontal="left" vertical="center" indent="2"/>
    </xf>
    <xf numFmtId="43" fontId="6" fillId="3" borderId="3" xfId="1" applyFont="1" applyFill="1" applyBorder="1" applyAlignment="1">
      <alignment horizontal="left" vertical="center" indent="2"/>
    </xf>
    <xf numFmtId="43" fontId="6" fillId="0" borderId="3" xfId="1" applyFont="1" applyFill="1" applyBorder="1" applyAlignment="1">
      <alignment horizontal="left" vertical="center" indent="2"/>
    </xf>
    <xf numFmtId="43" fontId="3" fillId="0" borderId="2" xfId="1" applyFont="1" applyBorder="1" applyAlignment="1"/>
    <xf numFmtId="43" fontId="8" fillId="0" borderId="2" xfId="2" applyNumberFormat="1" applyFont="1" applyBorder="1" applyAlignment="1"/>
    <xf numFmtId="0" fontId="2" fillId="0" borderId="8" xfId="1" applyNumberFormat="1" applyFont="1" applyBorder="1"/>
    <xf numFmtId="164" fontId="0" fillId="0" borderId="9" xfId="1" applyNumberFormat="1" applyFont="1" applyBorder="1"/>
    <xf numFmtId="164" fontId="2" fillId="0" borderId="12" xfId="1" applyNumberFormat="1" applyFont="1" applyBorder="1"/>
    <xf numFmtId="43" fontId="0" fillId="0" borderId="2" xfId="1" applyFont="1" applyBorder="1" applyAlignment="1">
      <alignment horizontal="left" indent="2"/>
    </xf>
    <xf numFmtId="164" fontId="0" fillId="0" borderId="2" xfId="1" applyNumberFormat="1" applyFont="1" applyBorder="1" applyAlignment="1">
      <alignment horizontal="right"/>
    </xf>
    <xf numFmtId="164" fontId="2" fillId="0" borderId="36" xfId="1" applyNumberFormat="1" applyFont="1" applyFill="1" applyBorder="1"/>
    <xf numFmtId="164" fontId="2" fillId="0" borderId="36" xfId="0" applyNumberFormat="1" applyFont="1" applyBorder="1"/>
    <xf numFmtId="164" fontId="2" fillId="0" borderId="13" xfId="0" applyNumberFormat="1" applyFont="1" applyBorder="1"/>
    <xf numFmtId="0" fontId="0" fillId="0" borderId="0" xfId="0" applyAlignment="1">
      <alignment horizontal="left" vertical="center" wrapText="1"/>
    </xf>
    <xf numFmtId="175" fontId="0" fillId="0" borderId="0" xfId="5" applyNumberFormat="1" applyFont="1"/>
    <xf numFmtId="176" fontId="0" fillId="0" borderId="0" xfId="5" applyNumberFormat="1" applyFont="1"/>
    <xf numFmtId="43" fontId="2" fillId="0" borderId="4" xfId="1" applyFont="1" applyBorder="1" applyAlignment="1">
      <alignment horizontal="center" vertical="center"/>
    </xf>
    <xf numFmtId="43" fontId="2" fillId="0" borderId="4" xfId="1" applyFont="1" applyBorder="1" applyAlignment="1">
      <alignment vertical="center"/>
    </xf>
    <xf numFmtId="0" fontId="0" fillId="0" borderId="0" xfId="0" applyAlignment="1">
      <alignment wrapText="1"/>
    </xf>
    <xf numFmtId="164" fontId="0" fillId="4" borderId="0" xfId="1" applyNumberFormat="1" applyFont="1" applyFill="1" applyBorder="1"/>
    <xf numFmtId="0" fontId="0" fillId="0" borderId="2" xfId="0" applyBorder="1"/>
    <xf numFmtId="0" fontId="0" fillId="0" borderId="11" xfId="0" applyBorder="1"/>
    <xf numFmtId="0" fontId="2" fillId="0" borderId="37" xfId="0" applyFont="1" applyBorder="1"/>
    <xf numFmtId="44" fontId="0" fillId="0" borderId="0" xfId="0" applyNumberFormat="1"/>
    <xf numFmtId="0" fontId="2" fillId="0" borderId="0" xfId="0" applyFont="1" applyAlignment="1">
      <alignment horizontal="left" vertical="center" wrapText="1"/>
    </xf>
    <xf numFmtId="0" fontId="8" fillId="0" borderId="0" xfId="2" applyFont="1"/>
    <xf numFmtId="172" fontId="1" fillId="0" borderId="0" xfId="1" applyNumberFormat="1" applyFont="1"/>
    <xf numFmtId="0" fontId="2" fillId="0" borderId="32" xfId="0" applyFont="1" applyBorder="1" applyAlignment="1">
      <alignment horizontal="left" vertical="center" wrapText="1"/>
    </xf>
    <xf numFmtId="170" fontId="0" fillId="0" borderId="29" xfId="3" applyNumberFormat="1" applyFont="1" applyBorder="1"/>
    <xf numFmtId="0" fontId="2" fillId="0" borderId="0" xfId="0" applyFont="1" applyAlignment="1">
      <alignment vertical="center" wrapText="1"/>
    </xf>
    <xf numFmtId="0" fontId="2" fillId="9" borderId="0" xfId="0" applyFont="1" applyFill="1" applyAlignment="1">
      <alignment vertical="center" wrapText="1"/>
    </xf>
    <xf numFmtId="0" fontId="2" fillId="8" borderId="0" xfId="0" applyFont="1" applyFill="1" applyAlignment="1">
      <alignment vertical="center" wrapText="1"/>
    </xf>
    <xf numFmtId="0" fontId="2" fillId="3" borderId="0" xfId="0" applyFont="1" applyFill="1" applyAlignment="1">
      <alignment vertical="center" wrapText="1"/>
    </xf>
    <xf numFmtId="177" fontId="2" fillId="0" borderId="0" xfId="5" applyNumberFormat="1" applyFont="1"/>
    <xf numFmtId="0" fontId="2" fillId="2" borderId="0" xfId="0" applyFont="1" applyFill="1" applyAlignment="1">
      <alignment vertical="center" wrapText="1"/>
    </xf>
    <xf numFmtId="0" fontId="2" fillId="0" borderId="0" xfId="0" applyFont="1" applyAlignment="1">
      <alignment horizontal="center" wrapText="1"/>
    </xf>
    <xf numFmtId="170" fontId="0" fillId="0" borderId="0" xfId="3" applyNumberFormat="1" applyFont="1" applyFill="1"/>
    <xf numFmtId="0" fontId="2" fillId="0" borderId="18" xfId="0" applyFont="1" applyBorder="1" applyAlignment="1">
      <alignment horizontal="left" indent="2"/>
    </xf>
    <xf numFmtId="169" fontId="2" fillId="0" borderId="18" xfId="0" applyNumberFormat="1" applyFont="1" applyBorder="1"/>
    <xf numFmtId="170" fontId="0" fillId="0" borderId="0" xfId="3" applyNumberFormat="1" applyFont="1" applyFill="1" applyBorder="1"/>
    <xf numFmtId="169" fontId="0" fillId="0" borderId="2" xfId="0" applyNumberFormat="1" applyBorder="1"/>
    <xf numFmtId="169" fontId="2" fillId="0" borderId="4" xfId="0" applyNumberFormat="1" applyFont="1" applyBorder="1"/>
    <xf numFmtId="0" fontId="2" fillId="0" borderId="34" xfId="0" applyFont="1" applyBorder="1"/>
    <xf numFmtId="0" fontId="0" fillId="0" borderId="13" xfId="0" applyBorder="1"/>
    <xf numFmtId="0" fontId="0" fillId="0" borderId="7" xfId="0" applyBorder="1"/>
    <xf numFmtId="0" fontId="0" fillId="0" borderId="40" xfId="0" applyBorder="1"/>
    <xf numFmtId="0" fontId="0" fillId="0" borderId="38" xfId="0" applyBorder="1"/>
    <xf numFmtId="168" fontId="2" fillId="0" borderId="0" xfId="0" applyNumberFormat="1" applyFont="1"/>
    <xf numFmtId="165" fontId="0" fillId="0" borderId="9" xfId="0" applyNumberFormat="1" applyBorder="1"/>
    <xf numFmtId="0" fontId="0" fillId="0" borderId="41" xfId="0" applyBorder="1"/>
    <xf numFmtId="165" fontId="0" fillId="0" borderId="26" xfId="0" applyNumberFormat="1" applyBorder="1"/>
    <xf numFmtId="165" fontId="0" fillId="0" borderId="42" xfId="0" applyNumberFormat="1" applyBorder="1"/>
    <xf numFmtId="43" fontId="2" fillId="0" borderId="0" xfId="1" applyFont="1" applyBorder="1"/>
    <xf numFmtId="3" fontId="0" fillId="0" borderId="0" xfId="0" applyNumberFormat="1"/>
    <xf numFmtId="168" fontId="0" fillId="0" borderId="13" xfId="0" applyNumberFormat="1" applyBorder="1"/>
    <xf numFmtId="165" fontId="0" fillId="0" borderId="13" xfId="0" applyNumberFormat="1" applyBorder="1"/>
    <xf numFmtId="0" fontId="3" fillId="0" borderId="2" xfId="0" applyFont="1" applyBorder="1"/>
    <xf numFmtId="43" fontId="8" fillId="0" borderId="0" xfId="2" applyNumberFormat="1" applyFont="1" applyBorder="1" applyAlignment="1"/>
    <xf numFmtId="169" fontId="2" fillId="0" borderId="13" xfId="1" applyNumberFormat="1" applyFont="1" applyBorder="1"/>
    <xf numFmtId="164" fontId="2" fillId="0" borderId="1" xfId="1" applyNumberFormat="1" applyFont="1" applyBorder="1"/>
    <xf numFmtId="164" fontId="2" fillId="0" borderId="8" xfId="1" applyNumberFormat="1" applyFont="1" applyBorder="1"/>
    <xf numFmtId="172" fontId="0" fillId="0" borderId="9" xfId="1" applyNumberFormat="1" applyFont="1" applyBorder="1"/>
    <xf numFmtId="0" fontId="2" fillId="0" borderId="13" xfId="1" applyNumberFormat="1" applyFont="1" applyBorder="1"/>
    <xf numFmtId="164" fontId="2" fillId="0" borderId="13" xfId="1" applyNumberFormat="1" applyFont="1" applyBorder="1"/>
    <xf numFmtId="164" fontId="2" fillId="0" borderId="36" xfId="1" applyNumberFormat="1" applyFont="1" applyBorder="1"/>
    <xf numFmtId="164" fontId="1" fillId="0" borderId="9" xfId="1" applyNumberFormat="1" applyFont="1" applyBorder="1"/>
    <xf numFmtId="172" fontId="2" fillId="0" borderId="13" xfId="1" applyNumberFormat="1" applyFont="1" applyBorder="1"/>
    <xf numFmtId="172" fontId="0" fillId="4" borderId="9" xfId="1" applyNumberFormat="1" applyFont="1" applyFill="1" applyBorder="1"/>
    <xf numFmtId="0" fontId="7" fillId="0" borderId="0" xfId="1" applyNumberFormat="1" applyFont="1"/>
    <xf numFmtId="172" fontId="0" fillId="0" borderId="0" xfId="1" applyNumberFormat="1" applyFont="1" applyAlignment="1">
      <alignment horizontal="right"/>
    </xf>
    <xf numFmtId="165" fontId="0" fillId="0" borderId="0" xfId="1" applyNumberFormat="1" applyFont="1"/>
    <xf numFmtId="0" fontId="2" fillId="0" borderId="6" xfId="0" applyFont="1" applyBorder="1" applyAlignment="1">
      <alignment horizontal="center" vertical="center" wrapText="1"/>
    </xf>
    <xf numFmtId="2" fontId="0" fillId="0" borderId="9" xfId="0" applyNumberFormat="1" applyBorder="1"/>
    <xf numFmtId="2" fontId="2" fillId="0" borderId="9" xfId="0" applyNumberFormat="1" applyFont="1" applyBorder="1"/>
    <xf numFmtId="0" fontId="2" fillId="0" borderId="35" xfId="0" applyFont="1" applyBorder="1" applyAlignment="1">
      <alignment horizontal="center" vertical="center" wrapText="1"/>
    </xf>
    <xf numFmtId="170" fontId="0" fillId="0" borderId="28" xfId="3" applyNumberFormat="1" applyFont="1" applyBorder="1"/>
    <xf numFmtId="0" fontId="2" fillId="0" borderId="4" xfId="0" applyFont="1" applyBorder="1" applyAlignment="1">
      <alignment vertical="center"/>
    </xf>
    <xf numFmtId="0" fontId="0" fillId="4" borderId="0" xfId="0" applyFill="1"/>
    <xf numFmtId="0" fontId="2" fillId="0" borderId="13" xfId="0" applyFont="1" applyBorder="1"/>
    <xf numFmtId="0" fontId="14" fillId="0" borderId="0" xfId="2" applyFont="1"/>
    <xf numFmtId="3" fontId="0" fillId="0" borderId="2" xfId="0" applyNumberFormat="1" applyBorder="1"/>
    <xf numFmtId="164" fontId="0" fillId="0" borderId="0" xfId="0" applyNumberFormat="1"/>
    <xf numFmtId="9" fontId="2" fillId="0" borderId="13" xfId="3" applyFont="1" applyBorder="1"/>
    <xf numFmtId="170" fontId="0" fillId="0" borderId="3" xfId="3" applyNumberFormat="1" applyFont="1" applyBorder="1"/>
    <xf numFmtId="170" fontId="0" fillId="4" borderId="3" xfId="3" applyNumberFormat="1" applyFont="1" applyFill="1" applyBorder="1"/>
    <xf numFmtId="0" fontId="2" fillId="0" borderId="19" xfId="0" applyFont="1" applyBorder="1"/>
    <xf numFmtId="0" fontId="0" fillId="0" borderId="21" xfId="0" applyBorder="1"/>
    <xf numFmtId="0" fontId="0" fillId="0" borderId="27" xfId="0" applyBorder="1"/>
    <xf numFmtId="2" fontId="0" fillId="4" borderId="0" xfId="0" applyNumberFormat="1" applyFill="1"/>
    <xf numFmtId="0" fontId="2" fillId="0" borderId="4" xfId="0" applyFont="1" applyBorder="1" applyAlignment="1">
      <alignment horizontal="left" vertical="center"/>
    </xf>
    <xf numFmtId="0" fontId="2" fillId="0" borderId="4" xfId="1" applyNumberFormat="1" applyFont="1" applyBorder="1" applyAlignment="1">
      <alignment horizontal="left" vertical="center"/>
    </xf>
    <xf numFmtId="172" fontId="0" fillId="0" borderId="0" xfId="0" applyNumberFormat="1"/>
    <xf numFmtId="0" fontId="2" fillId="0" borderId="0" xfId="0" applyFont="1" applyAlignment="1">
      <alignment horizontal="left"/>
    </xf>
    <xf numFmtId="44" fontId="0" fillId="0" borderId="0" xfId="5" applyFont="1"/>
    <xf numFmtId="0" fontId="0" fillId="0" borderId="0" xfId="0" applyAlignment="1">
      <alignment horizontal="left" vertical="center" indent="1"/>
    </xf>
    <xf numFmtId="0" fontId="0" fillId="0" borderId="0" xfId="0" applyAlignment="1">
      <alignment horizontal="left" vertical="center" wrapText="1" indent="1"/>
    </xf>
    <xf numFmtId="175" fontId="0" fillId="0" borderId="0" xfId="5" applyNumberFormat="1" applyFont="1" applyAlignment="1">
      <alignment horizontal="center" wrapText="1"/>
    </xf>
    <xf numFmtId="0" fontId="2" fillId="0" borderId="32" xfId="0" applyFont="1" applyBorder="1"/>
    <xf numFmtId="0" fontId="0" fillId="0" borderId="32" xfId="0" applyBorder="1"/>
    <xf numFmtId="44" fontId="0" fillId="0" borderId="0" xfId="5" applyFont="1" applyFill="1" applyBorder="1"/>
    <xf numFmtId="0" fontId="3" fillId="0" borderId="24" xfId="0" applyFont="1" applyBorder="1"/>
    <xf numFmtId="0" fontId="0" fillId="0" borderId="0" xfId="0" applyAlignment="1">
      <alignment horizontal="left" vertical="center" indent="2"/>
    </xf>
    <xf numFmtId="10" fontId="0" fillId="0" borderId="32" xfId="3" applyNumberFormat="1" applyFont="1" applyBorder="1"/>
    <xf numFmtId="178" fontId="0" fillId="0" borderId="29" xfId="3" applyNumberFormat="1" applyFont="1" applyBorder="1"/>
    <xf numFmtId="0" fontId="2" fillId="0" borderId="1" xfId="1" applyNumberFormat="1" applyFont="1" applyBorder="1" applyAlignment="1">
      <alignment horizontal="center"/>
    </xf>
    <xf numFmtId="172" fontId="0" fillId="0" borderId="13" xfId="1" applyNumberFormat="1" applyFont="1" applyBorder="1"/>
    <xf numFmtId="43" fontId="0" fillId="0" borderId="9" xfId="1" applyFont="1" applyBorder="1"/>
    <xf numFmtId="172" fontId="0" fillId="0" borderId="36" xfId="1" applyNumberFormat="1" applyFont="1" applyBorder="1"/>
    <xf numFmtId="43" fontId="2" fillId="0" borderId="32" xfId="1" applyFont="1" applyBorder="1"/>
    <xf numFmtId="10" fontId="0" fillId="0" borderId="28" xfId="0" applyNumberFormat="1" applyBorder="1"/>
    <xf numFmtId="177" fontId="0" fillId="0" borderId="0" xfId="5" applyNumberFormat="1" applyFont="1"/>
    <xf numFmtId="0" fontId="0" fillId="0" borderId="36" xfId="0" applyBorder="1"/>
    <xf numFmtId="0" fontId="0" fillId="0" borderId="12" xfId="0" applyBorder="1"/>
    <xf numFmtId="165" fontId="0" fillId="0" borderId="16" xfId="0" applyNumberFormat="1" applyBorder="1" applyAlignment="1">
      <alignment horizontal="center"/>
    </xf>
    <xf numFmtId="165" fontId="0" fillId="0" borderId="43" xfId="0" applyNumberFormat="1" applyBorder="1" applyAlignment="1">
      <alignment horizontal="center"/>
    </xf>
    <xf numFmtId="0" fontId="0" fillId="0" borderId="16" xfId="0" applyBorder="1" applyAlignment="1">
      <alignment horizontal="center"/>
    </xf>
    <xf numFmtId="170" fontId="0" fillId="0" borderId="16" xfId="3" applyNumberFormat="1" applyFont="1" applyBorder="1" applyAlignment="1">
      <alignment horizontal="center"/>
    </xf>
    <xf numFmtId="0" fontId="0" fillId="0" borderId="43" xfId="0" applyBorder="1"/>
    <xf numFmtId="10" fontId="11" fillId="4" borderId="3" xfId="3" applyNumberFormat="1" applyFont="1" applyFill="1" applyBorder="1"/>
    <xf numFmtId="10" fontId="11" fillId="4" borderId="3" xfId="0" applyNumberFormat="1" applyFont="1" applyFill="1" applyBorder="1"/>
    <xf numFmtId="0" fontId="0" fillId="4" borderId="25" xfId="0" applyFill="1" applyBorder="1" applyAlignment="1">
      <alignment horizontal="center"/>
    </xf>
    <xf numFmtId="0" fontId="0" fillId="4" borderId="27" xfId="0" applyFill="1" applyBorder="1" applyAlignment="1">
      <alignment horizontal="center"/>
    </xf>
    <xf numFmtId="0" fontId="7" fillId="0" borderId="0" xfId="0" applyFont="1" applyAlignment="1">
      <alignment horizontal="left" wrapText="1"/>
    </xf>
    <xf numFmtId="168" fontId="0" fillId="0" borderId="0" xfId="5" applyNumberFormat="1" applyFont="1"/>
    <xf numFmtId="9" fontId="2" fillId="0" borderId="0" xfId="3" applyFont="1" applyBorder="1"/>
    <xf numFmtId="0" fontId="2" fillId="0" borderId="0" xfId="0" applyFont="1" applyAlignment="1">
      <alignment horizontal="center" vertical="center" wrapText="1"/>
    </xf>
    <xf numFmtId="0" fontId="0" fillId="0" borderId="15" xfId="0" applyBorder="1" applyAlignment="1">
      <alignment vertical="center"/>
    </xf>
    <xf numFmtId="0" fontId="0" fillId="0" borderId="0" xfId="1" applyNumberFormat="1" applyFont="1" applyFill="1"/>
    <xf numFmtId="43" fontId="2" fillId="0" borderId="0" xfId="1" applyFont="1" applyAlignment="1">
      <alignment vertical="center"/>
    </xf>
    <xf numFmtId="43" fontId="0" fillId="0" borderId="0" xfId="1" applyFont="1" applyAlignment="1">
      <alignment horizontal="left" vertical="center" indent="2"/>
    </xf>
    <xf numFmtId="43" fontId="0" fillId="0" borderId="14" xfId="1" applyFont="1" applyBorder="1"/>
    <xf numFmtId="164" fontId="2" fillId="0" borderId="4" xfId="1" applyNumberFormat="1" applyFont="1" applyBorder="1"/>
    <xf numFmtId="164" fontId="2" fillId="0" borderId="35" xfId="1" applyNumberFormat="1" applyFont="1" applyBorder="1"/>
    <xf numFmtId="43" fontId="2" fillId="0" borderId="28" xfId="1" applyFont="1" applyBorder="1"/>
    <xf numFmtId="164" fontId="0" fillId="0" borderId="28" xfId="1" applyNumberFormat="1" applyFont="1" applyBorder="1"/>
    <xf numFmtId="0" fontId="3" fillId="0" borderId="2" xfId="0" applyFont="1" applyBorder="1" applyAlignment="1">
      <alignment horizontal="center"/>
    </xf>
    <xf numFmtId="164" fontId="3" fillId="0" borderId="2" xfId="1" applyNumberFormat="1" applyFont="1" applyBorder="1" applyAlignment="1">
      <alignment horizontal="center"/>
    </xf>
    <xf numFmtId="164" fontId="3" fillId="0" borderId="0" xfId="1" applyNumberFormat="1" applyFont="1" applyBorder="1" applyAlignment="1">
      <alignment horizontal="center"/>
    </xf>
    <xf numFmtId="43" fontId="8" fillId="0" borderId="2" xfId="2" applyNumberFormat="1" applyFont="1" applyBorder="1" applyAlignment="1">
      <alignment horizontal="center"/>
    </xf>
    <xf numFmtId="0" fontId="0" fillId="0" borderId="23" xfId="0" applyBorder="1" applyAlignment="1">
      <alignment horizontal="left" vertical="center" wrapText="1"/>
    </xf>
    <xf numFmtId="0" fontId="0" fillId="6" borderId="0" xfId="0" applyFill="1" applyAlignment="1">
      <alignment horizontal="center" vertical="center" wrapText="1"/>
    </xf>
    <xf numFmtId="0" fontId="0" fillId="0" borderId="0" xfId="0" applyAlignment="1">
      <alignment horizontal="center"/>
    </xf>
    <xf numFmtId="0" fontId="2" fillId="0" borderId="44" xfId="0" applyFont="1" applyBorder="1"/>
    <xf numFmtId="0" fontId="2" fillId="0" borderId="24" xfId="0" applyFont="1" applyBorder="1"/>
    <xf numFmtId="2" fontId="0" fillId="0" borderId="23" xfId="0" applyNumberFormat="1" applyBorder="1"/>
    <xf numFmtId="0" fontId="0" fillId="0" borderId="24" xfId="0" applyBorder="1" applyAlignment="1">
      <alignment horizontal="left" indent="2"/>
    </xf>
    <xf numFmtId="0" fontId="3" fillId="0" borderId="2" xfId="0" applyFont="1" applyBorder="1" applyAlignment="1">
      <alignment horizontal="left"/>
    </xf>
    <xf numFmtId="0" fontId="0" fillId="0" borderId="25" xfId="0" applyBorder="1" applyAlignment="1">
      <alignment horizontal="left" indent="2"/>
    </xf>
    <xf numFmtId="168" fontId="0" fillId="11" borderId="23" xfId="0" applyNumberFormat="1" applyFill="1" applyBorder="1"/>
    <xf numFmtId="0" fontId="0" fillId="11" borderId="24" xfId="0" applyFill="1" applyBorder="1" applyAlignment="1">
      <alignment horizontal="left" indent="2"/>
    </xf>
    <xf numFmtId="43" fontId="0" fillId="0" borderId="0" xfId="1" applyFont="1" applyBorder="1" applyAlignment="1">
      <alignment horizontal="left" indent="2"/>
    </xf>
    <xf numFmtId="170" fontId="0" fillId="0" borderId="23" xfId="3" applyNumberFormat="1" applyFont="1" applyBorder="1"/>
    <xf numFmtId="0" fontId="2" fillId="0" borderId="36" xfId="0" applyFont="1" applyBorder="1"/>
    <xf numFmtId="0" fontId="2" fillId="0" borderId="9" xfId="0" applyFont="1" applyBorder="1"/>
    <xf numFmtId="175" fontId="0" fillId="0" borderId="0" xfId="5" applyNumberFormat="1" applyFont="1" applyBorder="1"/>
    <xf numFmtId="170" fontId="0" fillId="0" borderId="27" xfId="3" applyNumberFormat="1" applyFont="1" applyBorder="1"/>
    <xf numFmtId="44" fontId="0" fillId="0" borderId="0" xfId="5" applyFont="1" applyBorder="1"/>
    <xf numFmtId="44" fontId="0" fillId="0" borderId="23" xfId="5" applyFont="1" applyBorder="1"/>
    <xf numFmtId="43" fontId="0" fillId="0" borderId="23" xfId="0" applyNumberFormat="1" applyBorder="1"/>
    <xf numFmtId="43" fontId="0" fillId="0" borderId="26" xfId="0" applyNumberFormat="1" applyBorder="1"/>
    <xf numFmtId="43" fontId="0" fillId="0" borderId="27" xfId="0" applyNumberFormat="1" applyBorder="1"/>
    <xf numFmtId="0" fontId="2" fillId="0" borderId="25" xfId="0" applyFont="1" applyBorder="1"/>
    <xf numFmtId="0" fontId="2" fillId="4" borderId="4" xfId="0" applyFont="1" applyFill="1" applyBorder="1"/>
    <xf numFmtId="168" fontId="0" fillId="4" borderId="0" xfId="0" applyNumberFormat="1" applyFill="1"/>
    <xf numFmtId="43" fontId="0" fillId="4" borderId="0" xfId="0" applyNumberFormat="1" applyFill="1"/>
    <xf numFmtId="2" fontId="2" fillId="12" borderId="0" xfId="0" applyNumberFormat="1" applyFont="1" applyFill="1"/>
    <xf numFmtId="43" fontId="0" fillId="4" borderId="28" xfId="0" applyNumberFormat="1" applyFill="1" applyBorder="1"/>
    <xf numFmtId="43" fontId="0" fillId="4" borderId="29" xfId="0" applyNumberFormat="1" applyFill="1" applyBorder="1"/>
    <xf numFmtId="9" fontId="0" fillId="0" borderId="0" xfId="3" applyFont="1" applyBorder="1"/>
    <xf numFmtId="44" fontId="0" fillId="4" borderId="0" xfId="5" applyFont="1" applyFill="1"/>
    <xf numFmtId="43" fontId="0" fillId="0" borderId="0" xfId="1" applyFont="1" applyBorder="1"/>
    <xf numFmtId="43" fontId="2" fillId="0" borderId="46" xfId="1" applyFont="1" applyBorder="1" applyAlignment="1">
      <alignment vertical="center"/>
    </xf>
    <xf numFmtId="43" fontId="2" fillId="0" borderId="44" xfId="1" applyFont="1" applyBorder="1" applyAlignment="1">
      <alignment horizontal="center" vertical="center" wrapText="1"/>
    </xf>
    <xf numFmtId="43" fontId="0" fillId="0" borderId="47" xfId="1" applyFont="1" applyBorder="1" applyAlignment="1">
      <alignment vertical="center"/>
    </xf>
    <xf numFmtId="43" fontId="0" fillId="0" borderId="0" xfId="1" applyFont="1" applyBorder="1" applyAlignment="1">
      <alignment vertical="center" wrapText="1"/>
    </xf>
    <xf numFmtId="0" fontId="0" fillId="4" borderId="0" xfId="0" applyFill="1" applyAlignment="1">
      <alignment horizontal="center" vertical="center" wrapText="1"/>
    </xf>
    <xf numFmtId="0" fontId="0" fillId="7" borderId="0" xfId="0" applyFill="1" applyAlignment="1">
      <alignment horizontal="center" vertical="center" wrapText="1"/>
    </xf>
    <xf numFmtId="43" fontId="2" fillId="0" borderId="0" xfId="1" applyFont="1" applyBorder="1" applyAlignment="1">
      <alignment horizontal="left" vertical="center"/>
    </xf>
    <xf numFmtId="43" fontId="0" fillId="0" borderId="0" xfId="1" applyFont="1" applyBorder="1" applyAlignment="1">
      <alignment horizontal="left" vertical="center" wrapText="1"/>
    </xf>
    <xf numFmtId="43" fontId="0" fillId="0" borderId="23" xfId="1" applyFont="1" applyFill="1" applyBorder="1" applyAlignment="1">
      <alignment horizontal="left" vertical="center"/>
    </xf>
    <xf numFmtId="43" fontId="0" fillId="0" borderId="23" xfId="1" applyFont="1" applyBorder="1" applyAlignment="1">
      <alignment horizontal="left" vertical="center" wrapText="1"/>
    </xf>
    <xf numFmtId="43" fontId="0" fillId="0" borderId="23" xfId="1" applyFont="1" applyBorder="1" applyAlignment="1">
      <alignment horizontal="left" vertical="center"/>
    </xf>
    <xf numFmtId="43" fontId="2" fillId="0" borderId="0" xfId="1" applyFont="1" applyBorder="1" applyAlignment="1">
      <alignment horizontal="left" vertical="center" wrapText="1"/>
    </xf>
    <xf numFmtId="0" fontId="0" fillId="0" borderId="0" xfId="1" applyNumberFormat="1" applyFont="1" applyBorder="1" applyAlignment="1">
      <alignment horizontal="left" vertical="center" wrapText="1"/>
    </xf>
    <xf numFmtId="43" fontId="0" fillId="0" borderId="23" xfId="1" applyFont="1" applyBorder="1"/>
    <xf numFmtId="43" fontId="0" fillId="0" borderId="48" xfId="1" applyFont="1" applyBorder="1" applyAlignment="1">
      <alignment vertical="center"/>
    </xf>
    <xf numFmtId="43" fontId="0" fillId="0" borderId="26" xfId="1" applyFont="1" applyBorder="1" applyAlignment="1">
      <alignment vertical="center" wrapText="1"/>
    </xf>
    <xf numFmtId="43" fontId="0" fillId="0" borderId="26" xfId="1" applyFont="1" applyBorder="1" applyAlignment="1">
      <alignment vertical="center"/>
    </xf>
    <xf numFmtId="0" fontId="0" fillId="4" borderId="26" xfId="0" applyFill="1" applyBorder="1" applyAlignment="1">
      <alignment horizontal="center" vertical="center" wrapText="1"/>
    </xf>
    <xf numFmtId="0" fontId="0" fillId="0" borderId="26" xfId="0" applyBorder="1" applyAlignment="1">
      <alignment horizontal="center" vertical="center" wrapText="1"/>
    </xf>
    <xf numFmtId="43" fontId="0" fillId="0" borderId="26" xfId="1" applyFont="1" applyBorder="1"/>
    <xf numFmtId="43" fontId="0" fillId="0" borderId="26" xfId="1" applyFont="1" applyBorder="1" applyAlignment="1">
      <alignment wrapText="1"/>
    </xf>
    <xf numFmtId="0" fontId="0" fillId="0" borderId="27" xfId="0" applyBorder="1" applyAlignment="1">
      <alignment wrapText="1"/>
    </xf>
    <xf numFmtId="43" fontId="8" fillId="0" borderId="24" xfId="2" applyNumberFormat="1" applyFont="1" applyBorder="1"/>
    <xf numFmtId="0" fontId="2" fillId="0" borderId="34" xfId="0" applyFont="1" applyBorder="1" applyAlignment="1">
      <alignment vertical="center"/>
    </xf>
    <xf numFmtId="43" fontId="2" fillId="0" borderId="44" xfId="1" applyFont="1" applyBorder="1" applyAlignment="1">
      <alignment vertical="center"/>
    </xf>
    <xf numFmtId="0" fontId="0" fillId="0" borderId="24" xfId="0" applyBorder="1" applyAlignment="1">
      <alignment vertical="center"/>
    </xf>
    <xf numFmtId="175" fontId="0" fillId="0" borderId="0" xfId="5" applyNumberFormat="1" applyFont="1" applyBorder="1" applyAlignment="1">
      <alignment vertical="center"/>
    </xf>
    <xf numFmtId="175" fontId="0" fillId="0" borderId="23" xfId="5" applyNumberFormat="1" applyFont="1" applyBorder="1" applyAlignment="1">
      <alignment vertical="center"/>
    </xf>
    <xf numFmtId="172" fontId="0" fillId="0" borderId="0" xfId="1" applyNumberFormat="1" applyFont="1" applyBorder="1" applyAlignment="1">
      <alignment vertical="center"/>
    </xf>
    <xf numFmtId="172" fontId="0" fillId="0" borderId="23" xfId="1" applyNumberFormat="1" applyFont="1" applyBorder="1" applyAlignment="1">
      <alignment vertical="center"/>
    </xf>
    <xf numFmtId="43" fontId="0" fillId="0" borderId="23" xfId="1" applyFont="1" applyBorder="1" applyAlignment="1">
      <alignment vertical="center"/>
    </xf>
    <xf numFmtId="0" fontId="2" fillId="0" borderId="44" xfId="0" applyFont="1" applyBorder="1" applyAlignment="1">
      <alignment vertical="center"/>
    </xf>
    <xf numFmtId="43" fontId="0" fillId="0" borderId="27" xfId="1" applyFont="1" applyBorder="1" applyAlignment="1">
      <alignment vertical="center"/>
    </xf>
    <xf numFmtId="164" fontId="2" fillId="0" borderId="0" xfId="1" applyNumberFormat="1" applyFont="1" applyBorder="1"/>
    <xf numFmtId="164" fontId="0" fillId="0" borderId="26" xfId="1" applyNumberFormat="1" applyFont="1" applyBorder="1"/>
    <xf numFmtId="164" fontId="3" fillId="0" borderId="2" xfId="1" applyNumberFormat="1" applyFont="1" applyBorder="1" applyAlignment="1">
      <alignment horizontal="left"/>
    </xf>
    <xf numFmtId="43" fontId="8" fillId="0" borderId="30" xfId="2" applyNumberFormat="1" applyFont="1" applyBorder="1" applyAlignment="1">
      <alignment horizontal="left"/>
    </xf>
    <xf numFmtId="43" fontId="2" fillId="0" borderId="34" xfId="1" applyFont="1" applyBorder="1"/>
    <xf numFmtId="0" fontId="2" fillId="0" borderId="44" xfId="1" applyNumberFormat="1" applyFont="1" applyBorder="1"/>
    <xf numFmtId="43" fontId="0" fillId="4" borderId="24" xfId="1" applyFont="1" applyFill="1" applyBorder="1"/>
    <xf numFmtId="164" fontId="0" fillId="4" borderId="0" xfId="1" applyNumberFormat="1" applyFont="1" applyFill="1" applyBorder="1" applyAlignment="1">
      <alignment horizontal="center"/>
    </xf>
    <xf numFmtId="43" fontId="0" fillId="0" borderId="24" xfId="1" applyFont="1" applyBorder="1"/>
    <xf numFmtId="164" fontId="0" fillId="0" borderId="0" xfId="1" applyNumberFormat="1" applyFont="1" applyBorder="1" applyAlignment="1">
      <alignment horizontal="center"/>
    </xf>
    <xf numFmtId="43" fontId="0" fillId="0" borderId="24" xfId="1" applyFont="1" applyFill="1" applyBorder="1"/>
    <xf numFmtId="164" fontId="0" fillId="0" borderId="0" xfId="1" applyNumberFormat="1" applyFont="1" applyFill="1" applyBorder="1"/>
    <xf numFmtId="164" fontId="0" fillId="0" borderId="0" xfId="1" applyNumberFormat="1" applyFont="1" applyFill="1" applyBorder="1" applyAlignment="1">
      <alignment horizontal="center"/>
    </xf>
    <xf numFmtId="43" fontId="0" fillId="0" borderId="0" xfId="1" applyFont="1" applyBorder="1" applyAlignment="1">
      <alignment horizontal="left"/>
    </xf>
    <xf numFmtId="164" fontId="2" fillId="0" borderId="23" xfId="1" applyNumberFormat="1" applyFont="1" applyBorder="1"/>
    <xf numFmtId="164" fontId="0" fillId="0" borderId="23" xfId="1" applyNumberFormat="1" applyFont="1" applyBorder="1"/>
    <xf numFmtId="43" fontId="0" fillId="0" borderId="30" xfId="1" applyFont="1" applyBorder="1"/>
    <xf numFmtId="164" fontId="0" fillId="4" borderId="23" xfId="1" applyNumberFormat="1" applyFont="1" applyFill="1" applyBorder="1"/>
    <xf numFmtId="43" fontId="7" fillId="0" borderId="24" xfId="1" applyFont="1" applyBorder="1"/>
    <xf numFmtId="0" fontId="0" fillId="0" borderId="0" xfId="1" applyNumberFormat="1" applyFont="1" applyBorder="1"/>
    <xf numFmtId="43" fontId="2" fillId="0" borderId="24" xfId="1" applyFont="1" applyFill="1" applyBorder="1"/>
    <xf numFmtId="43" fontId="0" fillId="4" borderId="24" xfId="1" applyFont="1" applyFill="1" applyBorder="1" applyAlignment="1">
      <alignment horizontal="left" indent="2"/>
    </xf>
    <xf numFmtId="43" fontId="0" fillId="0" borderId="24" xfId="1" applyFont="1" applyFill="1" applyBorder="1" applyAlignment="1">
      <alignment horizontal="left" indent="2"/>
    </xf>
    <xf numFmtId="164" fontId="2" fillId="4" borderId="0" xfId="1" applyNumberFormat="1" applyFont="1" applyFill="1" applyBorder="1"/>
    <xf numFmtId="43" fontId="0" fillId="0" borderId="0" xfId="1" applyFont="1" applyFill="1" applyBorder="1"/>
    <xf numFmtId="0" fontId="0" fillId="0" borderId="23" xfId="1" applyNumberFormat="1" applyFont="1" applyBorder="1"/>
    <xf numFmtId="43" fontId="0" fillId="0" borderId="23" xfId="1" applyFont="1" applyFill="1" applyBorder="1"/>
    <xf numFmtId="43" fontId="0" fillId="0" borderId="30" xfId="1" applyFont="1" applyFill="1" applyBorder="1" applyAlignment="1">
      <alignment horizontal="left" indent="2"/>
    </xf>
    <xf numFmtId="43" fontId="2" fillId="0" borderId="24" xfId="1" applyFont="1" applyBorder="1"/>
    <xf numFmtId="164" fontId="0" fillId="0" borderId="24" xfId="1" applyNumberFormat="1" applyFont="1" applyBorder="1" applyAlignment="1">
      <alignment horizontal="left" indent="2"/>
    </xf>
    <xf numFmtId="164" fontId="0" fillId="0" borderId="0" xfId="1" applyNumberFormat="1" applyFont="1" applyBorder="1" applyAlignment="1">
      <alignment horizontal="right"/>
    </xf>
    <xf numFmtId="43" fontId="7" fillId="0" borderId="0" xfId="1" applyFont="1" applyBorder="1"/>
    <xf numFmtId="164" fontId="0" fillId="0" borderId="30" xfId="1" applyNumberFormat="1" applyFont="1" applyBorder="1" applyAlignment="1">
      <alignment horizontal="left" indent="2"/>
    </xf>
    <xf numFmtId="0" fontId="8" fillId="0" borderId="24" xfId="2" applyNumberFormat="1" applyFont="1" applyBorder="1"/>
    <xf numFmtId="0" fontId="3" fillId="0" borderId="0" xfId="1" applyNumberFormat="1" applyFont="1" applyBorder="1"/>
    <xf numFmtId="0" fontId="2" fillId="0" borderId="22" xfId="1" applyNumberFormat="1" applyFont="1" applyBorder="1"/>
    <xf numFmtId="0" fontId="0" fillId="0" borderId="24" xfId="1" applyNumberFormat="1" applyFont="1" applyBorder="1" applyAlignment="1">
      <alignment wrapText="1"/>
    </xf>
    <xf numFmtId="1" fontId="0" fillId="4" borderId="0" xfId="1" applyNumberFormat="1" applyFont="1" applyFill="1" applyBorder="1"/>
    <xf numFmtId="0" fontId="7" fillId="0" borderId="24" xfId="1" applyNumberFormat="1" applyFont="1" applyBorder="1"/>
    <xf numFmtId="164" fontId="0" fillId="0" borderId="24" xfId="1" applyNumberFormat="1" applyFont="1" applyBorder="1"/>
    <xf numFmtId="0" fontId="0" fillId="0" borderId="0" xfId="1" applyNumberFormat="1" applyFont="1" applyBorder="1" applyAlignment="1">
      <alignment horizontal="left" indent="2"/>
    </xf>
    <xf numFmtId="172" fontId="0" fillId="0" borderId="0" xfId="1" applyNumberFormat="1" applyFont="1" applyBorder="1"/>
    <xf numFmtId="164" fontId="2" fillId="0" borderId="24" xfId="1" applyNumberFormat="1" applyFont="1" applyBorder="1"/>
    <xf numFmtId="164" fontId="0" fillId="0" borderId="24" xfId="1" applyNumberFormat="1" applyFont="1" applyFill="1" applyBorder="1" applyAlignment="1">
      <alignment horizontal="left" indent="2"/>
    </xf>
    <xf numFmtId="172" fontId="0" fillId="0" borderId="0" xfId="1" applyNumberFormat="1" applyFont="1" applyFill="1" applyBorder="1"/>
    <xf numFmtId="43" fontId="8" fillId="0" borderId="30" xfId="2" applyNumberFormat="1" applyFont="1" applyBorder="1" applyAlignment="1"/>
    <xf numFmtId="43" fontId="2" fillId="0" borderId="31" xfId="1" applyFont="1" applyBorder="1"/>
    <xf numFmtId="43" fontId="2" fillId="0" borderId="22" xfId="1" applyFont="1" applyBorder="1"/>
    <xf numFmtId="43" fontId="2" fillId="0" borderId="30" xfId="1" applyFont="1" applyBorder="1"/>
    <xf numFmtId="43" fontId="8" fillId="0" borderId="24" xfId="2" applyNumberFormat="1" applyFont="1" applyBorder="1" applyAlignment="1"/>
    <xf numFmtId="43" fontId="0" fillId="0" borderId="24" xfId="1" applyFont="1" applyBorder="1" applyAlignment="1">
      <alignment horizontal="left" indent="2"/>
    </xf>
    <xf numFmtId="169" fontId="0" fillId="0" borderId="0" xfId="1" applyNumberFormat="1" applyFont="1" applyBorder="1"/>
    <xf numFmtId="169" fontId="0" fillId="4" borderId="0" xfId="1" applyNumberFormat="1" applyFont="1" applyFill="1" applyBorder="1"/>
    <xf numFmtId="169" fontId="2" fillId="0" borderId="0" xfId="1" applyNumberFormat="1" applyFont="1" applyBorder="1"/>
    <xf numFmtId="0" fontId="8" fillId="0" borderId="24" xfId="2" applyFont="1" applyBorder="1"/>
    <xf numFmtId="0" fontId="8" fillId="0" borderId="0" xfId="2" applyFont="1" applyBorder="1"/>
    <xf numFmtId="0" fontId="2" fillId="4" borderId="24" xfId="0" applyFont="1" applyFill="1" applyBorder="1"/>
    <xf numFmtId="172" fontId="0" fillId="4" borderId="0" xfId="1" applyNumberFormat="1" applyFont="1" applyFill="1" applyBorder="1"/>
    <xf numFmtId="170" fontId="0" fillId="4" borderId="0" xfId="3" applyNumberFormat="1" applyFont="1" applyFill="1" applyBorder="1"/>
    <xf numFmtId="0" fontId="2" fillId="4" borderId="24" xfId="1" applyNumberFormat="1" applyFont="1" applyFill="1" applyBorder="1"/>
    <xf numFmtId="0" fontId="2" fillId="0" borderId="24" xfId="1" applyNumberFormat="1" applyFont="1" applyBorder="1"/>
    <xf numFmtId="0" fontId="2" fillId="0" borderId="31" xfId="1" applyNumberFormat="1" applyFont="1" applyBorder="1"/>
    <xf numFmtId="43" fontId="2" fillId="0" borderId="25" xfId="1" applyFont="1" applyBorder="1"/>
    <xf numFmtId="164" fontId="2" fillId="0" borderId="26" xfId="1" applyNumberFormat="1" applyFont="1" applyBorder="1"/>
    <xf numFmtId="43" fontId="2" fillId="0" borderId="26" xfId="1" applyFont="1" applyBorder="1"/>
    <xf numFmtId="43" fontId="0" fillId="0" borderId="27" xfId="1" applyFont="1" applyBorder="1"/>
    <xf numFmtId="43" fontId="3" fillId="0" borderId="30" xfId="1" applyFont="1" applyBorder="1" applyAlignment="1"/>
    <xf numFmtId="43" fontId="4" fillId="4" borderId="0" xfId="2" applyNumberFormat="1" applyFill="1" applyBorder="1"/>
    <xf numFmtId="43" fontId="4" fillId="4" borderId="0" xfId="2" applyNumberFormat="1" applyFill="1" applyBorder="1" applyAlignment="1">
      <alignment wrapText="1"/>
    </xf>
    <xf numFmtId="43" fontId="4" fillId="0" borderId="0" xfId="2" applyNumberFormat="1" applyFill="1" applyBorder="1"/>
    <xf numFmtId="43" fontId="0" fillId="4" borderId="30" xfId="1" applyFont="1" applyFill="1" applyBorder="1"/>
    <xf numFmtId="43" fontId="7" fillId="0" borderId="0" xfId="1" applyFont="1" applyBorder="1" applyAlignment="1">
      <alignment horizontal="left" wrapText="1"/>
    </xf>
    <xf numFmtId="43" fontId="14" fillId="0" borderId="0" xfId="2" applyNumberFormat="1" applyFont="1" applyBorder="1" applyAlignment="1"/>
    <xf numFmtId="43" fontId="4" fillId="0" borderId="0" xfId="2" applyNumberFormat="1" applyBorder="1"/>
    <xf numFmtId="0" fontId="2" fillId="0" borderId="34" xfId="1" applyNumberFormat="1" applyFont="1" applyBorder="1"/>
    <xf numFmtId="2" fontId="0" fillId="0" borderId="0" xfId="1" applyNumberFormat="1" applyFont="1" applyBorder="1"/>
    <xf numFmtId="43" fontId="8" fillId="0" borderId="0" xfId="2" applyNumberFormat="1" applyFont="1" applyBorder="1"/>
    <xf numFmtId="43" fontId="7" fillId="0" borderId="0" xfId="1" applyFont="1" applyBorder="1" applyAlignment="1">
      <alignment horizontal="left"/>
    </xf>
    <xf numFmtId="43" fontId="0" fillId="0" borderId="49" xfId="1" applyFont="1" applyBorder="1" applyAlignment="1">
      <alignment horizontal="left" vertical="center"/>
    </xf>
    <xf numFmtId="176" fontId="0" fillId="0" borderId="0" xfId="5" applyNumberFormat="1" applyFont="1" applyBorder="1"/>
    <xf numFmtId="43" fontId="0" fillId="0" borderId="24" xfId="1" applyFont="1" applyBorder="1" applyAlignment="1">
      <alignment horizontal="left" vertical="center"/>
    </xf>
    <xf numFmtId="43" fontId="2" fillId="0" borderId="44" xfId="1" applyFont="1" applyBorder="1"/>
    <xf numFmtId="1" fontId="0" fillId="0" borderId="0" xfId="0" applyNumberFormat="1"/>
    <xf numFmtId="44" fontId="0" fillId="0" borderId="23" xfId="5" applyFont="1" applyFill="1" applyBorder="1"/>
    <xf numFmtId="175" fontId="0" fillId="0" borderId="0" xfId="5" applyNumberFormat="1" applyFont="1" applyFill="1" applyBorder="1"/>
    <xf numFmtId="176" fontId="0" fillId="0" borderId="0" xfId="5" applyNumberFormat="1" applyFont="1" applyFill="1" applyBorder="1"/>
    <xf numFmtId="1" fontId="0" fillId="0" borderId="0" xfId="1" applyNumberFormat="1" applyFont="1" applyBorder="1"/>
    <xf numFmtId="175" fontId="0" fillId="0" borderId="26" xfId="5" applyNumberFormat="1" applyFont="1" applyBorder="1"/>
    <xf numFmtId="2" fontId="0" fillId="0" borderId="26" xfId="1" applyNumberFormat="1" applyFont="1" applyBorder="1"/>
    <xf numFmtId="169" fontId="0" fillId="0" borderId="26" xfId="1" applyNumberFormat="1" applyFont="1" applyBorder="1"/>
    <xf numFmtId="176" fontId="0" fillId="0" borderId="26" xfId="5" applyNumberFormat="1" applyFont="1" applyBorder="1"/>
    <xf numFmtId="44" fontId="0" fillId="0" borderId="27" xfId="5" applyFont="1" applyBorder="1"/>
    <xf numFmtId="0" fontId="14" fillId="0" borderId="19" xfId="2" applyFont="1" applyBorder="1"/>
    <xf numFmtId="0" fontId="15" fillId="0" borderId="21" xfId="0" applyFont="1" applyBorder="1"/>
    <xf numFmtId="167" fontId="0" fillId="0" borderId="23" xfId="0" applyNumberFormat="1" applyBorder="1"/>
    <xf numFmtId="173" fontId="0" fillId="0" borderId="23" xfId="0" applyNumberFormat="1" applyBorder="1"/>
    <xf numFmtId="0" fontId="0" fillId="13" borderId="37" xfId="0" applyFill="1" applyBorder="1"/>
    <xf numFmtId="0" fontId="0" fillId="0" borderId="37" xfId="0" applyBorder="1"/>
    <xf numFmtId="0" fontId="0" fillId="14" borderId="37" xfId="0" applyFill="1" applyBorder="1"/>
    <xf numFmtId="0" fontId="0" fillId="15" borderId="37" xfId="0" applyFill="1" applyBorder="1"/>
    <xf numFmtId="0" fontId="0" fillId="16" borderId="0" xfId="0" applyFill="1"/>
    <xf numFmtId="0" fontId="31" fillId="16" borderId="0" xfId="0" applyFont="1" applyFill="1" applyAlignment="1">
      <alignment horizontal="center"/>
    </xf>
    <xf numFmtId="0" fontId="33" fillId="16" borderId="0" xfId="0" applyFont="1" applyFill="1" applyAlignment="1">
      <alignment horizontal="center"/>
    </xf>
    <xf numFmtId="0" fontId="32" fillId="16" borderId="0" xfId="0" applyFont="1" applyFill="1" applyAlignment="1">
      <alignment horizontal="center"/>
    </xf>
    <xf numFmtId="0" fontId="0" fillId="16" borderId="0" xfId="0" applyFill="1" applyAlignment="1">
      <alignment horizontal="center"/>
    </xf>
    <xf numFmtId="0" fontId="34" fillId="16" borderId="0" xfId="2" applyFont="1" applyFill="1" applyAlignment="1">
      <alignment horizontal="center"/>
    </xf>
    <xf numFmtId="0" fontId="15" fillId="16" borderId="0" xfId="0" applyFont="1" applyFill="1" applyAlignment="1">
      <alignment horizontal="center"/>
    </xf>
    <xf numFmtId="0" fontId="13" fillId="16" borderId="0" xfId="0" applyFont="1" applyFill="1" applyAlignment="1">
      <alignment horizontal="center"/>
    </xf>
    <xf numFmtId="0" fontId="2" fillId="16" borderId="0" xfId="0" applyFont="1" applyFill="1"/>
    <xf numFmtId="0" fontId="0" fillId="16" borderId="0" xfId="0" applyFill="1" applyAlignment="1">
      <alignment wrapText="1"/>
    </xf>
    <xf numFmtId="0" fontId="0" fillId="7" borderId="37" xfId="0" applyFill="1" applyBorder="1"/>
    <xf numFmtId="0" fontId="0" fillId="12" borderId="37" xfId="0" applyFill="1" applyBorder="1"/>
    <xf numFmtId="0" fontId="0" fillId="17" borderId="37" xfId="0" applyFill="1" applyBorder="1"/>
    <xf numFmtId="0" fontId="0" fillId="16" borderId="37" xfId="0" applyFill="1" applyBorder="1"/>
    <xf numFmtId="0" fontId="2" fillId="0" borderId="6" xfId="0" applyFont="1" applyBorder="1"/>
    <xf numFmtId="0" fontId="2" fillId="0" borderId="12" xfId="0" applyFont="1" applyBorder="1"/>
    <xf numFmtId="165" fontId="0" fillId="0" borderId="3" xfId="1" applyNumberFormat="1" applyFont="1" applyBorder="1"/>
    <xf numFmtId="172" fontId="0" fillId="0" borderId="2" xfId="1" applyNumberFormat="1" applyFont="1" applyBorder="1"/>
    <xf numFmtId="170" fontId="0" fillId="0" borderId="2" xfId="3" applyNumberFormat="1" applyFont="1" applyBorder="1"/>
    <xf numFmtId="165" fontId="0" fillId="0" borderId="11" xfId="1" applyNumberFormat="1" applyFont="1" applyBorder="1"/>
    <xf numFmtId="0" fontId="4" fillId="0" borderId="21" xfId="2" applyFill="1" applyBorder="1"/>
    <xf numFmtId="0" fontId="4" fillId="0" borderId="27" xfId="2" applyFill="1" applyBorder="1"/>
    <xf numFmtId="0" fontId="35" fillId="0" borderId="36" xfId="0" applyFont="1" applyBorder="1" applyAlignment="1">
      <alignment horizontal="centerContinuous"/>
    </xf>
    <xf numFmtId="0" fontId="35" fillId="0" borderId="7" xfId="0" applyFont="1" applyBorder="1" applyAlignment="1">
      <alignment horizontal="centerContinuous"/>
    </xf>
    <xf numFmtId="0" fontId="35" fillId="0" borderId="13" xfId="0" applyFont="1" applyBorder="1" applyAlignment="1">
      <alignment horizontal="centerContinuous"/>
    </xf>
    <xf numFmtId="0" fontId="0" fillId="0" borderId="18" xfId="0" applyBorder="1" applyAlignment="1">
      <alignment horizontal="centerContinuous"/>
    </xf>
    <xf numFmtId="0" fontId="35" fillId="0" borderId="55" xfId="0" applyFont="1" applyBorder="1" applyAlignment="1">
      <alignment horizontal="right" wrapText="1"/>
    </xf>
    <xf numFmtId="0" fontId="35" fillId="0" borderId="39" xfId="0" applyFont="1" applyBorder="1" applyAlignment="1">
      <alignment horizontal="right" wrapText="1"/>
    </xf>
    <xf numFmtId="0" fontId="35" fillId="0" borderId="18" xfId="0" applyFont="1" applyBorder="1" applyAlignment="1">
      <alignment horizontal="right" wrapText="1"/>
    </xf>
    <xf numFmtId="0" fontId="35" fillId="0" borderId="12" xfId="0" applyFont="1" applyBorder="1" applyAlignment="1">
      <alignment horizontal="right" wrapText="1"/>
    </xf>
    <xf numFmtId="0" fontId="35" fillId="0" borderId="2" xfId="0" applyFont="1" applyBorder="1" applyAlignment="1">
      <alignment horizontal="right" wrapText="1"/>
    </xf>
    <xf numFmtId="0" fontId="35" fillId="0" borderId="11" xfId="0" applyFont="1" applyBorder="1" applyAlignment="1">
      <alignment horizontal="right" wrapText="1"/>
    </xf>
    <xf numFmtId="179" fontId="0" fillId="0" borderId="9" xfId="0" applyNumberFormat="1" applyBorder="1"/>
    <xf numFmtId="179" fontId="0" fillId="0" borderId="3" xfId="0" applyNumberFormat="1" applyBorder="1"/>
    <xf numFmtId="179" fontId="0" fillId="0" borderId="0" xfId="0" applyNumberFormat="1"/>
    <xf numFmtId="179" fontId="0" fillId="0" borderId="36" xfId="0" applyNumberFormat="1" applyBorder="1"/>
    <xf numFmtId="3" fontId="0" fillId="0" borderId="9" xfId="0" applyNumberFormat="1" applyBorder="1"/>
    <xf numFmtId="3" fontId="0" fillId="0" borderId="3" xfId="0" applyNumberFormat="1" applyBorder="1"/>
    <xf numFmtId="43" fontId="0" fillId="0" borderId="0" xfId="1" applyFont="1" applyFill="1" applyBorder="1" applyAlignment="1"/>
    <xf numFmtId="179" fontId="0" fillId="0" borderId="0" xfId="1" applyNumberFormat="1" applyFont="1" applyFill="1" applyBorder="1" applyAlignment="1"/>
    <xf numFmtId="3" fontId="0" fillId="0" borderId="12" xfId="0" applyNumberFormat="1" applyBorder="1"/>
    <xf numFmtId="3" fontId="0" fillId="0" borderId="11" xfId="0" applyNumberFormat="1" applyBorder="1"/>
    <xf numFmtId="179" fontId="0" fillId="0" borderId="7" xfId="0" applyNumberFormat="1" applyBorder="1"/>
    <xf numFmtId="179" fontId="0" fillId="0" borderId="13" xfId="0" applyNumberFormat="1" applyBorder="1"/>
    <xf numFmtId="179" fontId="12" fillId="0" borderId="0" xfId="1" applyNumberFormat="1" applyFont="1" applyFill="1" applyBorder="1" applyAlignment="1"/>
    <xf numFmtId="0" fontId="3" fillId="0" borderId="0" xfId="0" applyFont="1" applyAlignment="1">
      <alignment horizontal="left" vertical="center"/>
    </xf>
    <xf numFmtId="0" fontId="35" fillId="0" borderId="55" xfId="0" applyFont="1" applyBorder="1" applyAlignment="1">
      <alignment horizontal="right"/>
    </xf>
    <xf numFmtId="0" fontId="35" fillId="0" borderId="39" xfId="0" applyFont="1" applyBorder="1" applyAlignment="1">
      <alignment horizontal="right"/>
    </xf>
    <xf numFmtId="0" fontId="35" fillId="0" borderId="18" xfId="0" applyFont="1" applyBorder="1" applyAlignment="1">
      <alignment horizontal="right"/>
    </xf>
    <xf numFmtId="43" fontId="12" fillId="0" borderId="16" xfId="1" applyFont="1" applyFill="1" applyBorder="1" applyAlignment="1"/>
    <xf numFmtId="43" fontId="12" fillId="0" borderId="9" xfId="1" applyFont="1" applyBorder="1" applyAlignment="1"/>
    <xf numFmtId="43" fontId="12" fillId="0" borderId="9" xfId="1" applyFont="1" applyFill="1" applyBorder="1" applyAlignment="1"/>
    <xf numFmtId="43" fontId="12" fillId="0" borderId="3" xfId="1" applyFont="1" applyFill="1" applyBorder="1" applyAlignment="1"/>
    <xf numFmtId="43" fontId="12" fillId="0" borderId="0" xfId="1" applyFont="1" applyFill="1" applyBorder="1" applyAlignment="1"/>
    <xf numFmtId="43" fontId="0" fillId="0" borderId="16" xfId="1" applyFont="1" applyFill="1" applyBorder="1" applyAlignment="1"/>
    <xf numFmtId="179" fontId="12" fillId="0" borderId="16" xfId="1" applyNumberFormat="1" applyFont="1" applyFill="1" applyBorder="1" applyAlignment="1"/>
    <xf numFmtId="179" fontId="12" fillId="0" borderId="9" xfId="1" applyNumberFormat="1" applyFont="1" applyFill="1" applyBorder="1" applyAlignment="1"/>
    <xf numFmtId="179" fontId="12" fillId="0" borderId="3" xfId="1" applyNumberFormat="1" applyFont="1" applyFill="1" applyBorder="1" applyAlignment="1"/>
    <xf numFmtId="179" fontId="0" fillId="0" borderId="16" xfId="1" applyNumberFormat="1" applyFont="1" applyFill="1" applyBorder="1" applyAlignment="1"/>
    <xf numFmtId="43" fontId="12" fillId="0" borderId="38" xfId="1" applyFont="1" applyFill="1" applyBorder="1" applyAlignment="1"/>
    <xf numFmtId="43" fontId="12" fillId="0" borderId="12" xfId="1" applyFont="1" applyFill="1" applyBorder="1" applyAlignment="1"/>
    <xf numFmtId="43" fontId="12" fillId="0" borderId="11" xfId="1" applyFont="1" applyFill="1" applyBorder="1" applyAlignment="1"/>
    <xf numFmtId="43" fontId="12" fillId="0" borderId="2" xfId="1" applyFont="1" applyFill="1" applyBorder="1" applyAlignment="1"/>
    <xf numFmtId="43" fontId="0" fillId="0" borderId="38" xfId="1" applyFont="1" applyFill="1" applyBorder="1" applyAlignment="1"/>
    <xf numFmtId="0" fontId="35" fillId="0" borderId="55" xfId="0" applyFont="1" applyBorder="1" applyAlignment="1">
      <alignment horizontal="centerContinuous" wrapText="1"/>
    </xf>
    <xf numFmtId="0" fontId="35" fillId="0" borderId="39" xfId="0" applyFont="1" applyBorder="1" applyAlignment="1">
      <alignment horizontal="centerContinuous" wrapText="1"/>
    </xf>
    <xf numFmtId="0" fontId="35" fillId="0" borderId="37" xfId="0" applyFont="1" applyBorder="1" applyAlignment="1">
      <alignment horizontal="centerContinuous" wrapText="1"/>
    </xf>
    <xf numFmtId="0" fontId="35" fillId="0" borderId="37" xfId="0" applyFont="1" applyBorder="1" applyAlignment="1">
      <alignment wrapText="1"/>
    </xf>
    <xf numFmtId="0" fontId="35" fillId="0" borderId="9" xfId="0" applyFont="1" applyBorder="1" applyAlignment="1">
      <alignment horizontal="right"/>
    </xf>
    <xf numFmtId="0" fontId="35" fillId="0" borderId="3" xfId="0" applyFont="1" applyBorder="1" applyAlignment="1">
      <alignment horizontal="right"/>
    </xf>
    <xf numFmtId="0" fontId="35" fillId="18" borderId="9" xfId="0" applyFont="1" applyFill="1" applyBorder="1" applyAlignment="1">
      <alignment horizontal="right"/>
    </xf>
    <xf numFmtId="0" fontId="35" fillId="18" borderId="3" xfId="0" applyFont="1" applyFill="1" applyBorder="1" applyAlignment="1">
      <alignment horizontal="right"/>
    </xf>
    <xf numFmtId="0" fontId="35" fillId="0" borderId="16" xfId="0" applyFont="1" applyBorder="1" applyAlignment="1">
      <alignment horizontal="right"/>
    </xf>
    <xf numFmtId="179" fontId="35" fillId="0" borderId="40" xfId="0" applyNumberFormat="1" applyFont="1" applyBorder="1"/>
    <xf numFmtId="179" fontId="0" fillId="18" borderId="9" xfId="0" applyNumberFormat="1" applyFill="1" applyBorder="1"/>
    <xf numFmtId="179" fontId="0" fillId="18" borderId="3" xfId="0" applyNumberFormat="1" applyFill="1" applyBorder="1"/>
    <xf numFmtId="179" fontId="0" fillId="0" borderId="16" xfId="0" applyNumberFormat="1" applyBorder="1"/>
    <xf numFmtId="179" fontId="0" fillId="0" borderId="9" xfId="0" applyNumberFormat="1" applyBorder="1" applyAlignment="1">
      <alignment horizontal="right"/>
    </xf>
    <xf numFmtId="43" fontId="0" fillId="0" borderId="9" xfId="1" applyFont="1" applyFill="1" applyBorder="1" applyAlignment="1"/>
    <xf numFmtId="43" fontId="0" fillId="0" borderId="3" xfId="1" applyFont="1" applyFill="1" applyBorder="1" applyAlignment="1"/>
    <xf numFmtId="43" fontId="12" fillId="18" borderId="9" xfId="1" applyFont="1" applyFill="1" applyBorder="1" applyAlignment="1"/>
    <xf numFmtId="43" fontId="12" fillId="18" borderId="3" xfId="1" applyFont="1" applyFill="1" applyBorder="1" applyAlignment="1"/>
    <xf numFmtId="179" fontId="0" fillId="0" borderId="9" xfId="1" applyNumberFormat="1" applyFont="1" applyFill="1" applyBorder="1" applyAlignment="1"/>
    <xf numFmtId="179" fontId="0" fillId="0" borderId="3" xfId="1" applyNumberFormat="1" applyFont="1" applyFill="1" applyBorder="1" applyAlignment="1"/>
    <xf numFmtId="179" fontId="12" fillId="18" borderId="9" xfId="1" applyNumberFormat="1" applyFont="1" applyFill="1" applyBorder="1" applyAlignment="1"/>
    <xf numFmtId="179" fontId="12" fillId="18" borderId="3" xfId="1" applyNumberFormat="1" applyFont="1" applyFill="1" applyBorder="1" applyAlignment="1"/>
    <xf numFmtId="179" fontId="12" fillId="0" borderId="16" xfId="0" applyNumberFormat="1" applyFont="1" applyBorder="1"/>
    <xf numFmtId="3" fontId="0" fillId="18" borderId="9" xfId="0" applyNumberFormat="1" applyFill="1" applyBorder="1"/>
    <xf numFmtId="3" fontId="0" fillId="18" borderId="3" xfId="0" applyNumberFormat="1" applyFill="1" applyBorder="1"/>
    <xf numFmtId="3" fontId="0" fillId="0" borderId="16" xfId="0" applyNumberFormat="1" applyBorder="1"/>
    <xf numFmtId="3" fontId="12" fillId="0" borderId="16" xfId="0" applyNumberFormat="1" applyFont="1" applyBorder="1"/>
    <xf numFmtId="3" fontId="0" fillId="18" borderId="12" xfId="0" applyNumberFormat="1" applyFill="1" applyBorder="1"/>
    <xf numFmtId="3" fontId="0" fillId="18" borderId="11" xfId="0" applyNumberFormat="1" applyFill="1" applyBorder="1"/>
    <xf numFmtId="3" fontId="0" fillId="0" borderId="38" xfId="0" applyNumberFormat="1" applyBorder="1"/>
    <xf numFmtId="3" fontId="12" fillId="0" borderId="38" xfId="0" applyNumberFormat="1" applyFont="1" applyBorder="1"/>
    <xf numFmtId="0" fontId="0" fillId="0" borderId="37" xfId="0" applyBorder="1" applyAlignment="1">
      <alignment wrapText="1"/>
    </xf>
    <xf numFmtId="0" fontId="35" fillId="0" borderId="37" xfId="0" applyFont="1" applyBorder="1" applyAlignment="1">
      <alignment horizontal="right" wrapText="1"/>
    </xf>
    <xf numFmtId="179" fontId="0" fillId="0" borderId="37" xfId="0" applyNumberFormat="1" applyBorder="1" applyAlignment="1">
      <alignment horizontal="right" wrapText="1"/>
    </xf>
    <xf numFmtId="179" fontId="0" fillId="0" borderId="55" xfId="0" applyNumberFormat="1" applyBorder="1" applyAlignment="1">
      <alignment horizontal="right" wrapText="1"/>
    </xf>
    <xf numFmtId="0" fontId="0" fillId="0" borderId="55" xfId="0" applyBorder="1" applyAlignment="1">
      <alignment horizontal="right" wrapText="1"/>
    </xf>
    <xf numFmtId="0" fontId="0" fillId="0" borderId="39" xfId="0" applyBorder="1" applyAlignment="1">
      <alignment horizontal="right" wrapText="1"/>
    </xf>
    <xf numFmtId="179" fontId="0" fillId="0" borderId="18" xfId="0" applyNumberFormat="1" applyBorder="1" applyAlignment="1">
      <alignment horizontal="right" wrapText="1"/>
    </xf>
    <xf numFmtId="179" fontId="0" fillId="0" borderId="39" xfId="0" applyNumberFormat="1" applyBorder="1" applyAlignment="1">
      <alignment horizontal="right" wrapText="1"/>
    </xf>
    <xf numFmtId="43" fontId="12" fillId="0" borderId="16" xfId="1" applyFont="1" applyBorder="1" applyAlignment="1"/>
    <xf numFmtId="43" fontId="12" fillId="0" borderId="0" xfId="1" applyFont="1" applyBorder="1" applyAlignment="1"/>
    <xf numFmtId="43" fontId="12" fillId="0" borderId="3" xfId="1" applyFont="1" applyBorder="1" applyAlignment="1"/>
    <xf numFmtId="179" fontId="12" fillId="0" borderId="16" xfId="1" applyNumberFormat="1" applyFont="1" applyBorder="1" applyAlignment="1"/>
    <xf numFmtId="179" fontId="12" fillId="0" borderId="9" xfId="1" applyNumberFormat="1" applyFont="1" applyBorder="1" applyAlignment="1"/>
    <xf numFmtId="4" fontId="0" fillId="0" borderId="9" xfId="0" applyNumberFormat="1" applyBorder="1"/>
    <xf numFmtId="4" fontId="0" fillId="0" borderId="3" xfId="0" applyNumberFormat="1" applyBorder="1"/>
    <xf numFmtId="179" fontId="12" fillId="0" borderId="0" xfId="1" applyNumberFormat="1" applyFont="1" applyBorder="1" applyAlignment="1"/>
    <xf numFmtId="179" fontId="12" fillId="0" borderId="3" xfId="1" applyNumberFormat="1" applyFont="1" applyBorder="1" applyAlignment="1"/>
    <xf numFmtId="4" fontId="0" fillId="0" borderId="0" xfId="0" applyNumberFormat="1"/>
    <xf numFmtId="4" fontId="12" fillId="0" borderId="9" xfId="1" applyNumberFormat="1" applyFont="1" applyFill="1" applyBorder="1" applyAlignment="1"/>
    <xf numFmtId="43" fontId="12" fillId="0" borderId="38" xfId="1" applyFont="1" applyBorder="1" applyAlignment="1"/>
    <xf numFmtId="43" fontId="12" fillId="0" borderId="12" xfId="1" applyFont="1" applyBorder="1" applyAlignment="1"/>
    <xf numFmtId="4" fontId="0" fillId="0" borderId="12" xfId="0" applyNumberFormat="1" applyBorder="1"/>
    <xf numFmtId="4" fontId="0" fillId="0" borderId="11" xfId="0" applyNumberFormat="1" applyBorder="1"/>
    <xf numFmtId="43" fontId="12" fillId="0" borderId="2" xfId="1" applyFont="1" applyBorder="1" applyAlignment="1"/>
    <xf numFmtId="43" fontId="12" fillId="0" borderId="11" xfId="1" applyFont="1" applyBorder="1" applyAlignment="1"/>
    <xf numFmtId="4" fontId="0" fillId="0" borderId="2" xfId="0" applyNumberFormat="1" applyBorder="1"/>
    <xf numFmtId="0" fontId="12" fillId="0" borderId="36" xfId="0" applyFont="1" applyBorder="1"/>
    <xf numFmtId="0" fontId="12" fillId="0" borderId="12" xfId="0" applyFont="1" applyBorder="1"/>
    <xf numFmtId="0" fontId="12" fillId="0" borderId="9" xfId="0" applyFont="1" applyBorder="1"/>
    <xf numFmtId="43" fontId="0" fillId="0" borderId="12" xfId="1" applyFont="1" applyFill="1" applyBorder="1" applyAlignment="1"/>
    <xf numFmtId="43" fontId="0" fillId="0" borderId="11" xfId="1" applyFont="1" applyFill="1" applyBorder="1" applyAlignment="1"/>
    <xf numFmtId="0" fontId="2" fillId="0" borderId="18" xfId="0" applyFont="1" applyBorder="1" applyAlignment="1">
      <alignment horizontal="right" vertical="center" wrapText="1"/>
    </xf>
    <xf numFmtId="0" fontId="2" fillId="0" borderId="39" xfId="0" applyFont="1" applyBorder="1" applyAlignment="1">
      <alignment horizontal="right" vertical="center" wrapText="1"/>
    </xf>
    <xf numFmtId="0" fontId="0" fillId="0" borderId="16" xfId="0" applyBorder="1" applyAlignment="1">
      <alignment horizontal="left" indent="1"/>
    </xf>
    <xf numFmtId="1" fontId="0" fillId="0" borderId="16" xfId="0" applyNumberFormat="1" applyBorder="1" applyAlignment="1">
      <alignment horizontal="left" indent="1"/>
    </xf>
    <xf numFmtId="3" fontId="0" fillId="0" borderId="16" xfId="0" applyNumberFormat="1" applyBorder="1" applyAlignment="1">
      <alignment horizontal="left" indent="1"/>
    </xf>
    <xf numFmtId="0" fontId="0" fillId="0" borderId="38" xfId="0" applyBorder="1" applyAlignment="1">
      <alignment horizontal="left" indent="1"/>
    </xf>
    <xf numFmtId="180" fontId="0" fillId="0" borderId="0" xfId="0" applyNumberFormat="1"/>
    <xf numFmtId="181" fontId="0" fillId="0" borderId="0" xfId="0" applyNumberFormat="1"/>
    <xf numFmtId="0" fontId="2" fillId="0" borderId="18" xfId="0" applyFont="1" applyBorder="1" applyAlignment="1">
      <alignment horizontal="center" vertical="center"/>
    </xf>
    <xf numFmtId="0" fontId="2" fillId="0" borderId="40" xfId="0" applyFont="1" applyBorder="1"/>
    <xf numFmtId="0" fontId="2" fillId="0" borderId="7" xfId="0" applyFont="1" applyBorder="1"/>
    <xf numFmtId="0" fontId="0" fillId="0" borderId="9" xfId="0" applyBorder="1" applyAlignment="1">
      <alignment horizontal="center"/>
    </xf>
    <xf numFmtId="4" fontId="0" fillId="0" borderId="9" xfId="0" applyNumberFormat="1" applyBorder="1" applyAlignment="1">
      <alignment horizontal="center"/>
    </xf>
    <xf numFmtId="3" fontId="0" fillId="0" borderId="9" xfId="0" applyNumberFormat="1" applyBorder="1" applyAlignment="1">
      <alignment horizontal="center"/>
    </xf>
    <xf numFmtId="0" fontId="0" fillId="0" borderId="12" xfId="0" applyBorder="1" applyAlignment="1">
      <alignment horizontal="center"/>
    </xf>
    <xf numFmtId="0" fontId="3" fillId="0" borderId="6" xfId="0" applyFont="1" applyBorder="1"/>
    <xf numFmtId="0" fontId="2" fillId="0" borderId="1" xfId="0" applyFont="1" applyBorder="1" applyAlignment="1">
      <alignment horizontal="center" vertical="center" textRotation="90"/>
    </xf>
    <xf numFmtId="0" fontId="3" fillId="0" borderId="1" xfId="0" applyFont="1" applyBorder="1" applyAlignment="1">
      <alignment horizontal="center" vertical="center" textRotation="90"/>
    </xf>
    <xf numFmtId="0" fontId="3" fillId="0" borderId="10" xfId="0" applyFont="1" applyBorder="1" applyAlignment="1">
      <alignment horizontal="center" vertical="center" textRotation="90"/>
    </xf>
    <xf numFmtId="0" fontId="3" fillId="0" borderId="8" xfId="0" applyFont="1" applyBorder="1" applyAlignment="1">
      <alignment horizontal="center" vertical="center" textRotation="90"/>
    </xf>
    <xf numFmtId="0" fontId="2" fillId="0" borderId="8" xfId="0" applyFont="1" applyBorder="1" applyAlignment="1">
      <alignment horizontal="center" vertical="center" textRotation="90"/>
    </xf>
    <xf numFmtId="0" fontId="3" fillId="0" borderId="17" xfId="0" applyFont="1" applyBorder="1" applyAlignment="1">
      <alignment horizontal="center" vertical="center" textRotation="90"/>
    </xf>
    <xf numFmtId="0" fontId="0" fillId="0" borderId="26" xfId="0" applyBorder="1" applyAlignment="1">
      <alignment horizontal="center"/>
    </xf>
    <xf numFmtId="0" fontId="0" fillId="2" borderId="0" xfId="0" applyFill="1" applyAlignment="1">
      <alignment vertical="center"/>
    </xf>
    <xf numFmtId="0" fontId="3" fillId="0" borderId="0" xfId="0" applyFont="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10" fontId="0" fillId="4" borderId="0" xfId="3" applyNumberFormat="1" applyFont="1" applyFill="1" applyBorder="1"/>
    <xf numFmtId="170" fontId="0" fillId="0" borderId="0" xfId="0" applyNumberFormat="1"/>
    <xf numFmtId="2" fontId="18" fillId="4" borderId="0" xfId="0" applyNumberFormat="1" applyFont="1" applyFill="1"/>
    <xf numFmtId="0" fontId="2" fillId="16" borderId="0" xfId="0" applyFont="1" applyFill="1" applyAlignment="1">
      <alignment wrapText="1"/>
    </xf>
    <xf numFmtId="0" fontId="0" fillId="5" borderId="0" xfId="0" applyFill="1"/>
    <xf numFmtId="170" fontId="3" fillId="0" borderId="2" xfId="3" applyNumberFormat="1" applyFont="1" applyBorder="1" applyAlignment="1">
      <alignment horizontal="center"/>
    </xf>
    <xf numFmtId="43" fontId="0" fillId="0" borderId="25" xfId="1" applyFont="1" applyBorder="1"/>
    <xf numFmtId="0" fontId="0" fillId="0" borderId="30" xfId="0" applyBorder="1"/>
    <xf numFmtId="0" fontId="0" fillId="0" borderId="31" xfId="0" applyBorder="1"/>
    <xf numFmtId="167" fontId="0" fillId="0" borderId="60" xfId="0" applyNumberFormat="1" applyBorder="1"/>
    <xf numFmtId="0" fontId="3" fillId="0" borderId="56" xfId="0" applyFont="1" applyBorder="1"/>
    <xf numFmtId="170" fontId="0" fillId="4" borderId="11" xfId="3" applyNumberFormat="1" applyFont="1" applyFill="1" applyBorder="1"/>
    <xf numFmtId="0" fontId="15" fillId="13" borderId="61" xfId="0" applyFont="1" applyFill="1" applyBorder="1" applyAlignment="1">
      <alignment horizontal="center"/>
    </xf>
    <xf numFmtId="0" fontId="14" fillId="0" borderId="0" xfId="2" applyFont="1" applyAlignment="1">
      <alignment vertical="center"/>
    </xf>
    <xf numFmtId="0" fontId="15" fillId="0" borderId="0" xfId="0" applyFont="1" applyAlignment="1">
      <alignment vertical="center"/>
    </xf>
    <xf numFmtId="0" fontId="2" fillId="10" borderId="0" xfId="0" applyFont="1" applyFill="1" applyAlignment="1">
      <alignment vertical="center" wrapText="1"/>
    </xf>
    <xf numFmtId="0" fontId="37" fillId="8" borderId="0" xfId="0" applyFont="1" applyFill="1" applyAlignment="1">
      <alignment vertical="center" wrapText="1"/>
    </xf>
    <xf numFmtId="0" fontId="2" fillId="0" borderId="4" xfId="0" applyFont="1" applyBorder="1" applyAlignment="1">
      <alignment horizontal="left" vertical="center" wrapText="1"/>
    </xf>
    <xf numFmtId="0" fontId="2" fillId="0" borderId="4" xfId="0" applyFont="1" applyBorder="1" applyAlignment="1">
      <alignment vertical="center" wrapText="1"/>
    </xf>
    <xf numFmtId="0" fontId="2" fillId="0" borderId="4" xfId="3" applyNumberFormat="1" applyFont="1" applyBorder="1"/>
    <xf numFmtId="0" fontId="0" fillId="0" borderId="28" xfId="0" applyBorder="1"/>
    <xf numFmtId="0" fontId="2" fillId="0" borderId="28" xfId="0" applyFont="1" applyBorder="1"/>
    <xf numFmtId="0" fontId="2" fillId="0" borderId="0" xfId="3" applyNumberFormat="1" applyFont="1" applyBorder="1"/>
    <xf numFmtId="9" fontId="0" fillId="0" borderId="0" xfId="3" applyFont="1" applyFill="1"/>
    <xf numFmtId="0" fontId="2" fillId="0" borderId="3" xfId="0" applyFont="1" applyBorder="1"/>
    <xf numFmtId="0" fontId="8" fillId="0" borderId="0" xfId="2" applyNumberFormat="1" applyFont="1" applyBorder="1"/>
    <xf numFmtId="170" fontId="0" fillId="4" borderId="29" xfId="3" applyNumberFormat="1" applyFont="1" applyFill="1" applyBorder="1"/>
    <xf numFmtId="170" fontId="0" fillId="4" borderId="28" xfId="3" applyNumberFormat="1" applyFont="1" applyFill="1" applyBorder="1"/>
    <xf numFmtId="10" fontId="11" fillId="0" borderId="0" xfId="3" applyNumberFormat="1" applyFont="1" applyFill="1"/>
    <xf numFmtId="10" fontId="11" fillId="0" borderId="3" xfId="3" applyNumberFormat="1" applyFont="1" applyFill="1" applyBorder="1"/>
    <xf numFmtId="43" fontId="0" fillId="0" borderId="0" xfId="1" applyFont="1" applyFill="1" applyBorder="1" applyAlignment="1">
      <alignment horizontal="left" vertical="center"/>
    </xf>
    <xf numFmtId="0" fontId="2" fillId="0" borderId="59" xfId="0" applyFont="1" applyBorder="1"/>
    <xf numFmtId="0" fontId="2" fillId="0" borderId="62" xfId="0" applyFont="1" applyBorder="1"/>
    <xf numFmtId="0" fontId="2" fillId="0" borderId="20" xfId="0" applyFont="1" applyBorder="1"/>
    <xf numFmtId="10" fontId="0" fillId="0" borderId="26" xfId="3" applyNumberFormat="1" applyFont="1" applyBorder="1"/>
    <xf numFmtId="10" fontId="0" fillId="4" borderId="23" xfId="0" applyNumberFormat="1" applyFill="1" applyBorder="1"/>
    <xf numFmtId="10" fontId="0" fillId="4" borderId="27" xfId="0" applyNumberFormat="1" applyFill="1" applyBorder="1"/>
    <xf numFmtId="10" fontId="0" fillId="0" borderId="23" xfId="0" applyNumberFormat="1" applyBorder="1"/>
    <xf numFmtId="0" fontId="38" fillId="0" borderId="0" xfId="0" applyFont="1" applyAlignment="1">
      <alignment horizontal="left"/>
    </xf>
    <xf numFmtId="43" fontId="11" fillId="0" borderId="0" xfId="0" applyNumberFormat="1" applyFont="1"/>
    <xf numFmtId="170" fontId="0" fillId="4" borderId="23" xfId="0" applyNumberFormat="1" applyFill="1" applyBorder="1"/>
    <xf numFmtId="170" fontId="0" fillId="0" borderId="23" xfId="0" applyNumberFormat="1" applyBorder="1"/>
    <xf numFmtId="170" fontId="0" fillId="4" borderId="27" xfId="0" applyNumberFormat="1" applyFill="1" applyBorder="1"/>
    <xf numFmtId="164" fontId="0" fillId="0" borderId="23" xfId="0" applyNumberFormat="1" applyBorder="1"/>
    <xf numFmtId="164" fontId="0" fillId="0" borderId="27" xfId="0" applyNumberFormat="1" applyBorder="1"/>
    <xf numFmtId="164" fontId="0" fillId="0" borderId="26" xfId="0" applyNumberFormat="1" applyBorder="1"/>
    <xf numFmtId="170" fontId="0" fillId="0" borderId="26" xfId="3" applyNumberFormat="1" applyFont="1" applyBorder="1"/>
    <xf numFmtId="170" fontId="0" fillId="0" borderId="26" xfId="0" applyNumberFormat="1" applyBorder="1"/>
    <xf numFmtId="170" fontId="0" fillId="4" borderId="0" xfId="0" applyNumberFormat="1" applyFill="1"/>
    <xf numFmtId="170" fontId="0" fillId="4" borderId="26" xfId="0" applyNumberFormat="1" applyFill="1" applyBorder="1"/>
    <xf numFmtId="170" fontId="0" fillId="4" borderId="23" xfId="3" applyNumberFormat="1" applyFont="1" applyFill="1" applyBorder="1"/>
    <xf numFmtId="170" fontId="0" fillId="4" borderId="27" xfId="3" applyNumberFormat="1" applyFont="1" applyFill="1" applyBorder="1"/>
    <xf numFmtId="10" fontId="37" fillId="11" borderId="55" xfId="3" applyNumberFormat="1" applyFont="1" applyFill="1" applyBorder="1"/>
    <xf numFmtId="10" fontId="11" fillId="11" borderId="18" xfId="3" applyNumberFormat="1" applyFont="1" applyFill="1" applyBorder="1"/>
    <xf numFmtId="10" fontId="37" fillId="11" borderId="36" xfId="3" applyNumberFormat="1" applyFont="1" applyFill="1" applyBorder="1"/>
    <xf numFmtId="10" fontId="11" fillId="11" borderId="13" xfId="3" applyNumberFormat="1" applyFont="1" applyFill="1" applyBorder="1"/>
    <xf numFmtId="10" fontId="11" fillId="11" borderId="2" xfId="3" applyNumberFormat="1" applyFont="1" applyFill="1" applyBorder="1"/>
    <xf numFmtId="10" fontId="37" fillId="11" borderId="12" xfId="3" applyNumberFormat="1" applyFont="1" applyFill="1" applyBorder="1"/>
    <xf numFmtId="10" fontId="37" fillId="11" borderId="18" xfId="3" applyNumberFormat="1" applyFont="1" applyFill="1" applyBorder="1"/>
    <xf numFmtId="10" fontId="37" fillId="11" borderId="13" xfId="3" applyNumberFormat="1" applyFont="1" applyFill="1" applyBorder="1"/>
    <xf numFmtId="10" fontId="37" fillId="11" borderId="2" xfId="3" applyNumberFormat="1" applyFont="1" applyFill="1" applyBorder="1"/>
    <xf numFmtId="0" fontId="0" fillId="0" borderId="29" xfId="0" applyBorder="1"/>
    <xf numFmtId="0" fontId="2" fillId="0" borderId="35" xfId="0" applyFont="1" applyBorder="1" applyAlignment="1">
      <alignment vertical="center" wrapText="1"/>
    </xf>
    <xf numFmtId="165" fontId="0" fillId="0" borderId="2" xfId="0" applyNumberFormat="1" applyBorder="1"/>
    <xf numFmtId="2" fontId="2" fillId="0" borderId="4" xfId="0" applyNumberFormat="1" applyFont="1" applyBorder="1" applyAlignment="1">
      <alignment horizontal="right"/>
    </xf>
    <xf numFmtId="164" fontId="0" fillId="0" borderId="0" xfId="1" applyNumberFormat="1" applyFont="1" applyFill="1"/>
    <xf numFmtId="10" fontId="0" fillId="0" borderId="0" xfId="3" applyNumberFormat="1" applyFont="1" applyFill="1"/>
    <xf numFmtId="164" fontId="2" fillId="0" borderId="0" xfId="1" applyNumberFormat="1" applyFont="1" applyFill="1"/>
    <xf numFmtId="165" fontId="0" fillId="0" borderId="7" xfId="0" applyNumberFormat="1" applyBorder="1"/>
    <xf numFmtId="0" fontId="0" fillId="0" borderId="63" xfId="0" applyBorder="1"/>
    <xf numFmtId="0" fontId="2" fillId="0" borderId="63" xfId="0" applyFont="1" applyBorder="1"/>
    <xf numFmtId="43" fontId="1" fillId="0" borderId="0" xfId="1" applyFont="1" applyFill="1"/>
    <xf numFmtId="43" fontId="2" fillId="0" borderId="0" xfId="1" applyFont="1" applyFill="1"/>
    <xf numFmtId="43" fontId="9" fillId="0" borderId="0" xfId="2" applyNumberFormat="1" applyFont="1" applyFill="1" applyAlignment="1">
      <alignment vertical="center"/>
    </xf>
    <xf numFmtId="43" fontId="0" fillId="0" borderId="3" xfId="1" applyFont="1" applyFill="1" applyBorder="1" applyAlignment="1">
      <alignment vertical="center"/>
    </xf>
    <xf numFmtId="0" fontId="2" fillId="0" borderId="6" xfId="1" applyNumberFormat="1" applyFont="1" applyFill="1" applyBorder="1"/>
    <xf numFmtId="0" fontId="2" fillId="0" borderId="4" xfId="1" applyNumberFormat="1" applyFont="1" applyFill="1" applyBorder="1"/>
    <xf numFmtId="0" fontId="2" fillId="0" borderId="0" xfId="1" applyNumberFormat="1" applyFont="1" applyFill="1" applyBorder="1"/>
    <xf numFmtId="43" fontId="1" fillId="0" borderId="0" xfId="1" applyFont="1" applyFill="1" applyBorder="1"/>
    <xf numFmtId="43" fontId="7" fillId="0" borderId="0" xfId="1" applyFont="1" applyFill="1" applyBorder="1" applyAlignment="1">
      <alignment horizontal="left" vertical="center"/>
    </xf>
    <xf numFmtId="43" fontId="0" fillId="0" borderId="7" xfId="1" applyFont="1" applyFill="1" applyBorder="1" applyAlignment="1">
      <alignment vertical="center"/>
    </xf>
    <xf numFmtId="43" fontId="2" fillId="0" borderId="3" xfId="1" applyFont="1" applyFill="1" applyBorder="1" applyAlignment="1">
      <alignment horizontal="left" vertical="center"/>
    </xf>
    <xf numFmtId="43" fontId="5" fillId="0" borderId="3" xfId="1" applyFont="1" applyFill="1" applyBorder="1" applyAlignment="1">
      <alignment vertical="center"/>
    </xf>
    <xf numFmtId="43" fontId="5" fillId="0" borderId="0" xfId="1" applyFont="1" applyFill="1"/>
    <xf numFmtId="43" fontId="0" fillId="0" borderId="0" xfId="1" applyFont="1" applyFill="1" applyAlignment="1">
      <alignment horizontal="left"/>
    </xf>
    <xf numFmtId="43" fontId="0" fillId="0" borderId="0" xfId="1" applyFont="1" applyFill="1" applyAlignment="1">
      <alignment horizontal="right"/>
    </xf>
    <xf numFmtId="43" fontId="2" fillId="0" borderId="0" xfId="1" applyFont="1" applyFill="1" applyAlignment="1">
      <alignment horizontal="left"/>
    </xf>
    <xf numFmtId="43" fontId="2" fillId="0" borderId="0" xfId="1" applyFont="1" applyFill="1" applyAlignment="1">
      <alignment horizontal="right"/>
    </xf>
    <xf numFmtId="43" fontId="1" fillId="0" borderId="0" xfId="1" applyFont="1" applyFill="1" applyAlignment="1">
      <alignment horizontal="left"/>
    </xf>
    <xf numFmtId="43" fontId="1" fillId="0" borderId="0" xfId="1" applyFont="1" applyFill="1" applyAlignment="1">
      <alignment horizontal="right"/>
    </xf>
    <xf numFmtId="43" fontId="5" fillId="0" borderId="3" xfId="1" applyFont="1" applyFill="1" applyBorder="1" applyAlignment="1">
      <alignment horizontal="left" vertical="center"/>
    </xf>
    <xf numFmtId="1" fontId="2" fillId="0" borderId="4" xfId="0" applyNumberFormat="1" applyFont="1" applyBorder="1" applyAlignment="1">
      <alignment horizontal="right"/>
    </xf>
    <xf numFmtId="165" fontId="0" fillId="0" borderId="3" xfId="0" applyNumberFormat="1" applyBorder="1"/>
    <xf numFmtId="43" fontId="0" fillId="0" borderId="0" xfId="1" applyFont="1" applyBorder="1" applyAlignment="1">
      <alignment horizontal="left" vertical="center" indent="2"/>
    </xf>
    <xf numFmtId="43" fontId="3" fillId="0" borderId="0" xfId="1" applyFont="1" applyBorder="1" applyAlignment="1">
      <alignment horizontal="center"/>
    </xf>
    <xf numFmtId="170" fontId="2" fillId="0" borderId="28" xfId="3" applyNumberFormat="1" applyFont="1" applyBorder="1"/>
    <xf numFmtId="170" fontId="2" fillId="0" borderId="29" xfId="3" applyNumberFormat="1" applyFont="1" applyBorder="1"/>
    <xf numFmtId="172" fontId="0" fillId="0" borderId="26" xfId="1" applyNumberFormat="1" applyFont="1" applyBorder="1"/>
    <xf numFmtId="43" fontId="30" fillId="0" borderId="0" xfId="1" applyFont="1" applyAlignment="1">
      <alignment vertical="center"/>
    </xf>
    <xf numFmtId="43" fontId="8" fillId="0" borderId="2" xfId="2" applyNumberFormat="1" applyFont="1" applyFill="1" applyBorder="1" applyAlignment="1"/>
    <xf numFmtId="43" fontId="3" fillId="0" borderId="2" xfId="1" applyFont="1" applyFill="1" applyBorder="1" applyAlignment="1"/>
    <xf numFmtId="172" fontId="0" fillId="0" borderId="23" xfId="1" applyNumberFormat="1" applyFont="1" applyBorder="1"/>
    <xf numFmtId="172" fontId="0" fillId="0" borderId="27" xfId="1" applyNumberFormat="1" applyFont="1" applyBorder="1"/>
    <xf numFmtId="43" fontId="7" fillId="0" borderId="24" xfId="1" applyFont="1" applyBorder="1" applyAlignment="1">
      <alignment horizontal="left" wrapText="1"/>
    </xf>
    <xf numFmtId="164" fontId="0" fillId="0" borderId="23" xfId="1" applyNumberFormat="1" applyFont="1" applyFill="1" applyBorder="1"/>
    <xf numFmtId="164" fontId="2" fillId="4" borderId="23" xfId="1" applyNumberFormat="1" applyFont="1" applyFill="1" applyBorder="1"/>
    <xf numFmtId="164" fontId="0" fillId="0" borderId="23" xfId="1" applyNumberFormat="1" applyFont="1" applyBorder="1" applyAlignment="1">
      <alignment horizontal="right"/>
    </xf>
    <xf numFmtId="43" fontId="0" fillId="0" borderId="60" xfId="1" applyFont="1" applyBorder="1"/>
    <xf numFmtId="178" fontId="0" fillId="0" borderId="0" xfId="3" applyNumberFormat="1" applyFont="1"/>
    <xf numFmtId="168" fontId="0" fillId="0" borderId="26" xfId="0" applyNumberFormat="1" applyBorder="1"/>
    <xf numFmtId="9" fontId="0" fillId="0" borderId="0" xfId="3" applyFont="1" applyFill="1" applyBorder="1"/>
    <xf numFmtId="177" fontId="0" fillId="0" borderId="0" xfId="0" applyNumberFormat="1"/>
    <xf numFmtId="0" fontId="0" fillId="2" borderId="0" xfId="0" applyFill="1" applyAlignment="1">
      <alignment horizontal="center" vertical="center" wrapText="1"/>
    </xf>
    <xf numFmtId="1" fontId="18" fillId="2" borderId="0" xfId="0" applyNumberFormat="1" applyFont="1" applyFill="1"/>
    <xf numFmtId="168" fontId="18" fillId="2" borderId="0" xfId="0" applyNumberFormat="1" applyFont="1" applyFill="1"/>
    <xf numFmtId="0" fontId="12" fillId="2" borderId="0" xfId="0" applyFont="1" applyFill="1"/>
    <xf numFmtId="0" fontId="12" fillId="0" borderId="0" xfId="0" applyFont="1" applyAlignment="1">
      <alignment horizontal="right"/>
    </xf>
    <xf numFmtId="44" fontId="0" fillId="0" borderId="9" xfId="5" applyFont="1" applyBorder="1"/>
    <xf numFmtId="9" fontId="0" fillId="0" borderId="9" xfId="3" applyFont="1" applyBorder="1"/>
    <xf numFmtId="176" fontId="0" fillId="0" borderId="9" xfId="5" applyNumberFormat="1" applyFont="1" applyBorder="1"/>
    <xf numFmtId="44" fontId="0" fillId="0" borderId="3" xfId="5" applyFont="1" applyBorder="1"/>
    <xf numFmtId="9" fontId="0" fillId="0" borderId="3" xfId="3" applyFont="1" applyBorder="1"/>
    <xf numFmtId="176" fontId="0" fillId="0" borderId="3" xfId="5" applyNumberFormat="1" applyFont="1" applyBorder="1"/>
    <xf numFmtId="0" fontId="0" fillId="0" borderId="64" xfId="0" applyBorder="1"/>
    <xf numFmtId="0" fontId="0" fillId="0" borderId="65" xfId="0" applyBorder="1"/>
    <xf numFmtId="9" fontId="0" fillId="0" borderId="12" xfId="3" applyFont="1" applyBorder="1"/>
    <xf numFmtId="9" fontId="0" fillId="0" borderId="2" xfId="3" applyFont="1" applyBorder="1"/>
    <xf numFmtId="9" fontId="0" fillId="0" borderId="11" xfId="3" applyFont="1" applyBorder="1"/>
    <xf numFmtId="167" fontId="0" fillId="0" borderId="45" xfId="0" applyNumberFormat="1" applyBorder="1"/>
    <xf numFmtId="177" fontId="0" fillId="0" borderId="3" xfId="0" applyNumberFormat="1" applyBorder="1"/>
    <xf numFmtId="177" fontId="0" fillId="4" borderId="0" xfId="0" applyNumberFormat="1" applyFill="1"/>
    <xf numFmtId="9" fontId="0" fillId="4" borderId="0" xfId="3" applyFont="1" applyFill="1"/>
    <xf numFmtId="9" fontId="0" fillId="4" borderId="3" xfId="3" applyFont="1" applyFill="1" applyBorder="1"/>
    <xf numFmtId="164" fontId="0" fillId="0" borderId="13" xfId="1" applyNumberFormat="1" applyFont="1" applyBorder="1"/>
    <xf numFmtId="164" fontId="2" fillId="0" borderId="19" xfId="1" applyNumberFormat="1" applyFont="1" applyBorder="1"/>
    <xf numFmtId="164" fontId="0" fillId="0" borderId="21" xfId="1" applyNumberFormat="1" applyFont="1" applyBorder="1"/>
    <xf numFmtId="164" fontId="2" fillId="0" borderId="25" xfId="1" applyNumberFormat="1" applyFont="1" applyBorder="1"/>
    <xf numFmtId="10" fontId="11" fillId="4" borderId="0" xfId="0" applyNumberFormat="1" applyFont="1" applyFill="1"/>
    <xf numFmtId="170" fontId="0" fillId="0" borderId="28" xfId="0" applyNumberFormat="1" applyBorder="1"/>
    <xf numFmtId="168" fontId="0" fillId="0" borderId="24" xfId="0" applyNumberFormat="1" applyBorder="1"/>
    <xf numFmtId="168" fontId="0" fillId="0" borderId="25" xfId="0" applyNumberFormat="1" applyBorder="1"/>
    <xf numFmtId="0" fontId="2" fillId="0" borderId="66" xfId="0" applyFont="1" applyBorder="1"/>
    <xf numFmtId="0" fontId="0" fillId="0" borderId="67" xfId="0" applyBorder="1"/>
    <xf numFmtId="0" fontId="2" fillId="0" borderId="68" xfId="0" applyFont="1" applyBorder="1"/>
    <xf numFmtId="0" fontId="0" fillId="0" borderId="69" xfId="0" applyBorder="1"/>
    <xf numFmtId="168" fontId="2" fillId="0" borderId="63" xfId="0" applyNumberFormat="1" applyFont="1" applyBorder="1"/>
    <xf numFmtId="168" fontId="2" fillId="0" borderId="18" xfId="0" applyNumberFormat="1" applyFont="1" applyBorder="1"/>
    <xf numFmtId="10" fontId="0" fillId="0" borderId="23" xfId="3" applyNumberFormat="1" applyFont="1" applyBorder="1"/>
    <xf numFmtId="10" fontId="0" fillId="0" borderId="27" xfId="3" applyNumberFormat="1" applyFont="1" applyBorder="1"/>
    <xf numFmtId="10" fontId="0" fillId="0" borderId="37" xfId="3" applyNumberFormat="1" applyFont="1" applyBorder="1"/>
    <xf numFmtId="10" fontId="2" fillId="0" borderId="0" xfId="0" applyNumberFormat="1" applyFont="1"/>
    <xf numFmtId="10" fontId="0" fillId="4" borderId="40" xfId="3" applyNumberFormat="1" applyFont="1" applyFill="1" applyBorder="1"/>
    <xf numFmtId="10" fontId="0" fillId="4" borderId="16" xfId="3" applyNumberFormat="1" applyFont="1" applyFill="1" applyBorder="1"/>
    <xf numFmtId="10" fontId="0" fillId="4" borderId="43" xfId="3" applyNumberFormat="1" applyFont="1" applyFill="1" applyBorder="1"/>
    <xf numFmtId="0" fontId="3" fillId="0" borderId="1" xfId="0" applyFont="1" applyBorder="1" applyAlignment="1">
      <alignment wrapText="1"/>
    </xf>
    <xf numFmtId="0" fontId="2" fillId="0" borderId="16" xfId="0" applyFont="1" applyBorder="1" applyAlignment="1">
      <alignment vertical="center" textRotation="90" wrapText="1"/>
    </xf>
    <xf numFmtId="172" fontId="0" fillId="0" borderId="9" xfId="0" applyNumberFormat="1" applyBorder="1"/>
    <xf numFmtId="0" fontId="2" fillId="0" borderId="0" xfId="0" applyFont="1" applyAlignment="1">
      <alignment vertical="center"/>
    </xf>
    <xf numFmtId="0" fontId="2" fillId="0" borderId="0" xfId="1" applyNumberFormat="1" applyFont="1" applyBorder="1" applyAlignment="1">
      <alignment horizontal="center" vertical="center"/>
    </xf>
    <xf numFmtId="0" fontId="2" fillId="0" borderId="10" xfId="0" applyFont="1" applyBorder="1" applyAlignment="1">
      <alignment horizontal="center" vertical="center" textRotation="90"/>
    </xf>
    <xf numFmtId="0" fontId="39" fillId="0" borderId="70" xfId="0" applyFont="1" applyBorder="1" applyAlignment="1">
      <alignment horizontal="right" vertical="center" wrapText="1"/>
    </xf>
    <xf numFmtId="0" fontId="40" fillId="0" borderId="70" xfId="0" applyFont="1" applyBorder="1" applyAlignment="1">
      <alignment horizontal="right" vertical="center" wrapText="1"/>
    </xf>
    <xf numFmtId="11" fontId="40" fillId="0" borderId="70" xfId="0" applyNumberFormat="1" applyFont="1" applyBorder="1" applyAlignment="1">
      <alignment horizontal="right" vertical="center" wrapText="1"/>
    </xf>
    <xf numFmtId="43" fontId="0" fillId="0" borderId="3" xfId="0" applyNumberFormat="1" applyBorder="1"/>
    <xf numFmtId="0" fontId="2" fillId="0" borderId="6" xfId="0" applyFont="1" applyBorder="1" applyAlignment="1">
      <alignment wrapText="1"/>
    </xf>
    <xf numFmtId="168" fontId="0" fillId="0" borderId="9" xfId="0" applyNumberFormat="1" applyBorder="1"/>
    <xf numFmtId="171" fontId="0" fillId="0" borderId="2" xfId="0" applyNumberFormat="1" applyBorder="1"/>
    <xf numFmtId="168" fontId="0" fillId="0" borderId="2" xfId="0" applyNumberFormat="1" applyBorder="1"/>
    <xf numFmtId="168" fontId="0" fillId="0" borderId="12" xfId="0" applyNumberFormat="1" applyBorder="1"/>
    <xf numFmtId="171" fontId="0" fillId="0" borderId="7" xfId="0" applyNumberFormat="1" applyBorder="1"/>
    <xf numFmtId="171" fontId="0" fillId="0" borderId="3" xfId="0" applyNumberFormat="1" applyBorder="1"/>
    <xf numFmtId="168" fontId="0" fillId="0" borderId="36" xfId="0" applyNumberFormat="1" applyBorder="1"/>
    <xf numFmtId="170" fontId="0" fillId="0" borderId="13" xfId="3" applyNumberFormat="1" applyFont="1" applyBorder="1"/>
    <xf numFmtId="171" fontId="0" fillId="0" borderId="13" xfId="0" applyNumberFormat="1" applyBorder="1"/>
    <xf numFmtId="171" fontId="0" fillId="0" borderId="11" xfId="0" applyNumberFormat="1" applyBorder="1"/>
    <xf numFmtId="0" fontId="3" fillId="0" borderId="0" xfId="0" applyFont="1" applyAlignment="1">
      <alignment horizontal="center"/>
    </xf>
    <xf numFmtId="0" fontId="30" fillId="0" borderId="0" xfId="0" applyFont="1"/>
    <xf numFmtId="0" fontId="2" fillId="0" borderId="0" xfId="0" applyFont="1" applyAlignment="1">
      <alignment horizontal="right"/>
    </xf>
    <xf numFmtId="0" fontId="7" fillId="0" borderId="0" xfId="0" applyFont="1" applyAlignment="1">
      <alignment vertical="center" wrapText="1"/>
    </xf>
    <xf numFmtId="0" fontId="7" fillId="0" borderId="0" xfId="0" applyFont="1" applyAlignment="1">
      <alignment horizontal="left" vertical="top"/>
    </xf>
    <xf numFmtId="0" fontId="3" fillId="0" borderId="0" xfId="0" applyFont="1" applyAlignment="1">
      <alignment horizontal="left"/>
    </xf>
    <xf numFmtId="0" fontId="7" fillId="0" borderId="0" xfId="0" applyFont="1" applyAlignment="1">
      <alignment horizontal="left" vertical="center" wrapText="1"/>
    </xf>
    <xf numFmtId="0" fontId="14" fillId="0" borderId="0" xfId="2" applyFont="1" applyBorder="1" applyAlignment="1">
      <alignment horizontal="left"/>
    </xf>
    <xf numFmtId="168" fontId="0" fillId="11" borderId="0" xfId="0" applyNumberFormat="1" applyFill="1"/>
    <xf numFmtId="10" fontId="0" fillId="0" borderId="0" xfId="3" applyNumberFormat="1" applyFont="1" applyFill="1" applyBorder="1"/>
    <xf numFmtId="0" fontId="14" fillId="0" borderId="0" xfId="2" applyFont="1" applyFill="1" applyBorder="1" applyAlignment="1">
      <alignment horizontal="left"/>
    </xf>
    <xf numFmtId="0" fontId="3" fillId="0" borderId="0" xfId="0" applyFont="1" applyAlignment="1">
      <alignment horizontal="left" vertical="top"/>
    </xf>
    <xf numFmtId="168" fontId="0" fillId="0" borderId="0" xfId="5" applyNumberFormat="1" applyFont="1" applyBorder="1"/>
    <xf numFmtId="0" fontId="0" fillId="11" borderId="25" xfId="0" applyFill="1" applyBorder="1" applyAlignment="1">
      <alignment horizontal="left" indent="2"/>
    </xf>
    <xf numFmtId="168" fontId="0" fillId="11" borderId="26" xfId="0" applyNumberFormat="1" applyFill="1" applyBorder="1"/>
    <xf numFmtId="168" fontId="0" fillId="11" borderId="27" xfId="0" applyNumberFormat="1" applyFill="1" applyBorder="1"/>
    <xf numFmtId="167" fontId="0" fillId="0" borderId="0" xfId="0" applyNumberFormat="1"/>
    <xf numFmtId="177" fontId="0" fillId="0" borderId="0" xfId="5" applyNumberFormat="1" applyFont="1" applyBorder="1"/>
    <xf numFmtId="2" fontId="0" fillId="5" borderId="9" xfId="0" applyNumberFormat="1" applyFill="1" applyBorder="1"/>
    <xf numFmtId="2" fontId="0" fillId="5" borderId="0" xfId="0" applyNumberFormat="1" applyFill="1"/>
    <xf numFmtId="10" fontId="0" fillId="4" borderId="0" xfId="0" applyNumberFormat="1" applyFill="1"/>
    <xf numFmtId="10" fontId="0" fillId="4" borderId="0" xfId="3" applyNumberFormat="1" applyFont="1" applyFill="1"/>
    <xf numFmtId="0" fontId="2" fillId="8" borderId="0" xfId="0" applyFont="1" applyFill="1" applyAlignment="1">
      <alignment vertical="center"/>
    </xf>
    <xf numFmtId="177" fontId="0" fillId="0" borderId="0" xfId="5" applyNumberFormat="1" applyFont="1" applyFill="1" applyBorder="1"/>
    <xf numFmtId="43" fontId="2" fillId="0" borderId="0" xfId="1" applyFont="1" applyFill="1" applyBorder="1"/>
    <xf numFmtId="43" fontId="0" fillId="0" borderId="0" xfId="1" applyFont="1" applyFill="1" applyBorder="1" applyAlignment="1">
      <alignment horizontal="left" indent="2"/>
    </xf>
    <xf numFmtId="9" fontId="0" fillId="0" borderId="0" xfId="0" applyNumberFormat="1"/>
    <xf numFmtId="0" fontId="2" fillId="0" borderId="0" xfId="5" applyNumberFormat="1" applyFont="1" applyBorder="1"/>
    <xf numFmtId="0" fontId="7" fillId="0" borderId="0" xfId="0" applyFont="1" applyAlignment="1">
      <alignment horizontal="left" vertical="center"/>
    </xf>
    <xf numFmtId="0" fontId="7" fillId="0" borderId="0" xfId="0" applyFont="1" applyAlignment="1">
      <alignment horizontal="center" vertical="center" wrapText="1"/>
    </xf>
    <xf numFmtId="167" fontId="0" fillId="0" borderId="9" xfId="0" applyNumberFormat="1" applyBorder="1"/>
    <xf numFmtId="0" fontId="0" fillId="0" borderId="0" xfId="0" applyAlignment="1">
      <alignment vertical="center" wrapText="1"/>
    </xf>
    <xf numFmtId="0" fontId="39" fillId="0" borderId="0" xfId="0" applyFont="1" applyAlignment="1">
      <alignment horizontal="right" vertical="center" wrapText="1"/>
    </xf>
    <xf numFmtId="0" fontId="40" fillId="0" borderId="0" xfId="0" applyFont="1" applyAlignment="1">
      <alignment horizontal="right" vertical="center" wrapText="1"/>
    </xf>
    <xf numFmtId="11" fontId="40" fillId="0" borderId="0" xfId="0" applyNumberFormat="1" applyFont="1" applyAlignment="1">
      <alignment horizontal="right" vertical="center" wrapText="1"/>
    </xf>
    <xf numFmtId="0" fontId="0" fillId="0" borderId="9" xfId="0" applyBorder="1" applyAlignment="1">
      <alignment vertical="center"/>
    </xf>
    <xf numFmtId="0" fontId="2" fillId="0" borderId="28" xfId="0" applyFont="1" applyBorder="1" applyAlignment="1">
      <alignment vertical="center" wrapText="1"/>
    </xf>
    <xf numFmtId="9" fontId="29" fillId="0" borderId="0" xfId="0" applyNumberFormat="1" applyFont="1"/>
    <xf numFmtId="171" fontId="2" fillId="0" borderId="13" xfId="0" applyNumberFormat="1" applyFont="1" applyBorder="1"/>
    <xf numFmtId="0" fontId="3" fillId="0" borderId="2" xfId="0" applyFont="1" applyBorder="1" applyAlignment="1">
      <alignment horizontal="center"/>
    </xf>
    <xf numFmtId="0" fontId="2" fillId="0" borderId="9" xfId="0" applyFont="1" applyBorder="1" applyAlignment="1">
      <alignment horizontal="center"/>
    </xf>
    <xf numFmtId="0" fontId="2" fillId="0" borderId="0" xfId="0" applyFont="1" applyAlignment="1">
      <alignment horizontal="center"/>
    </xf>
    <xf numFmtId="0" fontId="2" fillId="0" borderId="3" xfId="0" applyFont="1" applyBorder="1" applyAlignment="1">
      <alignment horizontal="center"/>
    </xf>
    <xf numFmtId="0" fontId="36" fillId="0" borderId="0" xfId="0" applyFont="1" applyAlignment="1">
      <alignment horizontal="center" vertical="center" textRotation="90"/>
    </xf>
    <xf numFmtId="0" fontId="8" fillId="0" borderId="2" xfId="2" applyFont="1" applyBorder="1" applyAlignment="1">
      <alignment horizontal="center"/>
    </xf>
    <xf numFmtId="0" fontId="0" fillId="0" borderId="15" xfId="0" applyBorder="1" applyAlignment="1">
      <alignment horizontal="center" vertical="center" wrapText="1"/>
    </xf>
    <xf numFmtId="0" fontId="0" fillId="0" borderId="0" xfId="0" applyAlignment="1">
      <alignment horizontal="center" vertical="center" wrapText="1"/>
    </xf>
    <xf numFmtId="10" fontId="0" fillId="0" borderId="0" xfId="3" applyNumberFormat="1" applyFont="1" applyAlignment="1">
      <alignment horizontal="center" vertical="center" wrapText="1"/>
    </xf>
    <xf numFmtId="10" fontId="0" fillId="0" borderId="3" xfId="3" applyNumberFormat="1" applyFont="1" applyBorder="1" applyAlignment="1">
      <alignment horizontal="center" vertical="center" wrapText="1"/>
    </xf>
    <xf numFmtId="10" fontId="0" fillId="0" borderId="2" xfId="3" applyNumberFormat="1" applyFont="1" applyBorder="1" applyAlignment="1">
      <alignment horizontal="center" vertical="center" wrapText="1"/>
    </xf>
    <xf numFmtId="10" fontId="0" fillId="0" borderId="11" xfId="3" applyNumberFormat="1" applyFont="1" applyBorder="1" applyAlignment="1">
      <alignment horizontal="center" vertical="center" wrapText="1"/>
    </xf>
    <xf numFmtId="0" fontId="0" fillId="0" borderId="13" xfId="0" applyBorder="1" applyAlignment="1">
      <alignment horizontal="center" vertical="center" wrapText="1"/>
    </xf>
    <xf numFmtId="0" fontId="0" fillId="0" borderId="2" xfId="0" applyBorder="1" applyAlignment="1">
      <alignment horizontal="center" vertical="center" wrapText="1"/>
    </xf>
    <xf numFmtId="0" fontId="2" fillId="0" borderId="9" xfId="0" applyFont="1" applyBorder="1" applyAlignment="1">
      <alignment horizontal="center" vertical="center" textRotation="90"/>
    </xf>
    <xf numFmtId="0" fontId="2" fillId="0" borderId="8" xfId="0" applyFont="1" applyBorder="1" applyAlignment="1">
      <alignment horizontal="center" vertical="center" textRotation="90"/>
    </xf>
    <xf numFmtId="0" fontId="3" fillId="0" borderId="9" xfId="0" applyFont="1" applyBorder="1" applyAlignment="1">
      <alignment horizontal="center"/>
    </xf>
    <xf numFmtId="0" fontId="3" fillId="0" borderId="0" xfId="0" applyFont="1" applyAlignment="1">
      <alignment horizontal="center"/>
    </xf>
    <xf numFmtId="0" fontId="3" fillId="0" borderId="3" xfId="0" applyFont="1" applyBorder="1" applyAlignment="1">
      <alignment horizontal="center"/>
    </xf>
    <xf numFmtId="0" fontId="2" fillId="0" borderId="3" xfId="0" applyFont="1" applyBorder="1" applyAlignment="1">
      <alignment horizontal="center" vertical="center" textRotation="90"/>
    </xf>
    <xf numFmtId="0" fontId="2" fillId="0" borderId="10" xfId="0" applyFont="1" applyBorder="1" applyAlignment="1">
      <alignment horizontal="center" vertical="center" textRotation="90"/>
    </xf>
    <xf numFmtId="0" fontId="2" fillId="0" borderId="0" xfId="0" applyFont="1" applyAlignment="1">
      <alignment horizontal="center" vertical="center" textRotation="90"/>
    </xf>
    <xf numFmtId="0" fontId="2" fillId="0" borderId="1" xfId="0" applyFont="1" applyBorder="1" applyAlignment="1">
      <alignment horizontal="center" vertical="center" textRotation="90"/>
    </xf>
    <xf numFmtId="0" fontId="3" fillId="0" borderId="0" xfId="0" applyFont="1" applyAlignment="1">
      <alignment horizontal="center" vertical="center"/>
    </xf>
    <xf numFmtId="0" fontId="3" fillId="0" borderId="0" xfId="0" applyFont="1" applyAlignment="1">
      <alignment horizontal="center" vertical="center" wrapText="1"/>
    </xf>
    <xf numFmtId="0" fontId="36" fillId="0" borderId="3" xfId="0" applyFont="1" applyBorder="1" applyAlignment="1">
      <alignment horizontal="center" vertical="center" textRotation="90"/>
    </xf>
    <xf numFmtId="0" fontId="30" fillId="0" borderId="19" xfId="0" applyFont="1" applyBorder="1" applyAlignment="1">
      <alignment horizontal="center"/>
    </xf>
    <xf numFmtId="0" fontId="30" fillId="0" borderId="20" xfId="0" applyFont="1" applyBorder="1" applyAlignment="1">
      <alignment horizontal="center"/>
    </xf>
    <xf numFmtId="0" fontId="30" fillId="0" borderId="21" xfId="0" applyFont="1" applyBorder="1" applyAlignment="1">
      <alignment horizontal="center"/>
    </xf>
    <xf numFmtId="0" fontId="30" fillId="0" borderId="0" xfId="0" applyFont="1" applyAlignment="1">
      <alignment horizontal="center"/>
    </xf>
    <xf numFmtId="0" fontId="7" fillId="0" borderId="0" xfId="0" applyFont="1" applyAlignment="1">
      <alignment horizontal="left" wrapText="1"/>
    </xf>
    <xf numFmtId="0" fontId="3" fillId="0" borderId="30" xfId="0" applyFont="1" applyBorder="1" applyAlignment="1">
      <alignment horizontal="center"/>
    </xf>
    <xf numFmtId="0" fontId="3" fillId="0" borderId="45" xfId="0" applyFont="1" applyBorder="1" applyAlignment="1">
      <alignment horizontal="center"/>
    </xf>
    <xf numFmtId="0" fontId="2" fillId="0" borderId="2" xfId="0" applyFont="1" applyBorder="1" applyAlignment="1">
      <alignment horizontal="center"/>
    </xf>
    <xf numFmtId="0" fontId="2" fillId="0" borderId="13" xfId="1" applyNumberFormat="1" applyFont="1" applyBorder="1" applyAlignment="1">
      <alignment horizontal="center"/>
    </xf>
    <xf numFmtId="43" fontId="30" fillId="0" borderId="19" xfId="1" applyFont="1" applyBorder="1" applyAlignment="1">
      <alignment horizontal="center"/>
    </xf>
    <xf numFmtId="43" fontId="30" fillId="0" borderId="20" xfId="1" applyFont="1" applyBorder="1" applyAlignment="1">
      <alignment horizontal="center"/>
    </xf>
    <xf numFmtId="43" fontId="30" fillId="0" borderId="21" xfId="1" applyFont="1" applyBorder="1" applyAlignment="1">
      <alignment horizontal="center"/>
    </xf>
    <xf numFmtId="164" fontId="2" fillId="0" borderId="36" xfId="1" applyNumberFormat="1" applyFont="1" applyBorder="1" applyAlignment="1">
      <alignment horizontal="center"/>
    </xf>
    <xf numFmtId="164" fontId="2" fillId="0" borderId="13" xfId="1" applyNumberFormat="1" applyFont="1" applyBorder="1" applyAlignment="1">
      <alignment horizontal="center"/>
    </xf>
    <xf numFmtId="164" fontId="2" fillId="0" borderId="7" xfId="1" applyNumberFormat="1" applyFont="1" applyBorder="1" applyAlignment="1">
      <alignment horizontal="center"/>
    </xf>
    <xf numFmtId="43" fontId="3" fillId="0" borderId="30" xfId="1" applyFont="1" applyBorder="1" applyAlignment="1">
      <alignment horizontal="center"/>
    </xf>
    <xf numFmtId="43" fontId="3" fillId="0" borderId="2" xfId="1" applyFont="1" applyBorder="1" applyAlignment="1">
      <alignment horizontal="center"/>
    </xf>
    <xf numFmtId="0" fontId="2" fillId="0" borderId="13" xfId="1" applyNumberFormat="1" applyFont="1" applyBorder="1" applyAlignment="1">
      <alignment horizontal="center" wrapText="1"/>
    </xf>
    <xf numFmtId="0" fontId="2" fillId="0" borderId="1" xfId="1" applyNumberFormat="1" applyFont="1" applyBorder="1" applyAlignment="1">
      <alignment horizontal="center" wrapText="1"/>
    </xf>
    <xf numFmtId="0" fontId="2" fillId="0" borderId="13" xfId="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36" xfId="1" applyNumberFormat="1" applyFont="1" applyBorder="1" applyAlignment="1">
      <alignment horizontal="center" vertical="center"/>
    </xf>
    <xf numFmtId="0" fontId="2" fillId="0" borderId="8" xfId="1" applyNumberFormat="1" applyFont="1" applyBorder="1" applyAlignment="1">
      <alignment horizontal="center" vertical="center"/>
    </xf>
    <xf numFmtId="0" fontId="2" fillId="0" borderId="13" xfId="1" applyNumberFormat="1" applyFont="1" applyBorder="1" applyAlignment="1">
      <alignment horizontal="center" vertical="center"/>
    </xf>
    <xf numFmtId="0" fontId="2" fillId="0" borderId="1" xfId="1" applyNumberFormat="1" applyFont="1" applyBorder="1" applyAlignment="1">
      <alignment horizontal="center" vertical="center"/>
    </xf>
    <xf numFmtId="43" fontId="30" fillId="11" borderId="56" xfId="1" applyFont="1" applyFill="1" applyBorder="1" applyAlignment="1">
      <alignment horizontal="center" vertical="center"/>
    </xf>
    <xf numFmtId="43" fontId="30" fillId="11" borderId="57" xfId="1" applyFont="1" applyFill="1" applyBorder="1" applyAlignment="1">
      <alignment horizontal="center" vertical="center"/>
    </xf>
    <xf numFmtId="43" fontId="30" fillId="11" borderId="58" xfId="1" applyFont="1" applyFill="1" applyBorder="1" applyAlignment="1">
      <alignment horizontal="center" vertical="center"/>
    </xf>
    <xf numFmtId="43" fontId="3" fillId="0" borderId="45" xfId="1" applyFont="1" applyBorder="1" applyAlignment="1">
      <alignment horizontal="center"/>
    </xf>
    <xf numFmtId="0" fontId="7" fillId="0" borderId="24" xfId="0" applyFont="1" applyBorder="1" applyAlignment="1">
      <alignment horizontal="left" wrapText="1"/>
    </xf>
    <xf numFmtId="0" fontId="7" fillId="0" borderId="23" xfId="0" applyFont="1" applyBorder="1" applyAlignment="1">
      <alignment horizontal="left" wrapText="1"/>
    </xf>
    <xf numFmtId="0" fontId="7" fillId="0" borderId="25" xfId="0" applyFont="1" applyBorder="1" applyAlignment="1">
      <alignment horizontal="left" wrapText="1"/>
    </xf>
    <xf numFmtId="0" fontId="7" fillId="0" borderId="26" xfId="0" applyFont="1" applyBorder="1" applyAlignment="1">
      <alignment horizontal="left" wrapText="1"/>
    </xf>
    <xf numFmtId="0" fontId="7" fillId="0" borderId="27" xfId="0" applyFont="1" applyBorder="1" applyAlignment="1">
      <alignment horizontal="left"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4" xfId="0" applyBorder="1" applyAlignment="1">
      <alignment horizontal="left" vertical="center" wrapText="1"/>
    </xf>
    <xf numFmtId="0" fontId="0" fillId="0" borderId="0" xfId="0" applyAlignment="1">
      <alignment horizontal="left" vertical="center" wrapText="1"/>
    </xf>
    <xf numFmtId="0" fontId="0" fillId="0" borderId="23" xfId="0" applyBorder="1" applyAlignment="1">
      <alignment horizontal="left" vertical="center" wrapText="1"/>
    </xf>
    <xf numFmtId="0" fontId="0" fillId="0" borderId="0" xfId="0" applyAlignment="1">
      <alignment horizontal="left" wrapText="1"/>
    </xf>
    <xf numFmtId="0" fontId="2" fillId="8" borderId="0" xfId="0" applyFont="1" applyFill="1" applyAlignment="1">
      <alignment horizontal="center"/>
    </xf>
    <xf numFmtId="0" fontId="2" fillId="3" borderId="0" xfId="0" applyFont="1" applyFill="1" applyAlignment="1">
      <alignment horizontal="center"/>
    </xf>
    <xf numFmtId="0" fontId="35" fillId="0" borderId="55" xfId="0" applyFont="1" applyBorder="1" applyAlignment="1">
      <alignment horizontal="center" wrapText="1"/>
    </xf>
    <xf numFmtId="0" fontId="35" fillId="0" borderId="39" xfId="0" applyFont="1" applyBorder="1" applyAlignment="1">
      <alignment horizontal="center" wrapText="1"/>
    </xf>
    <xf numFmtId="0" fontId="35" fillId="0" borderId="18" xfId="0" applyFont="1" applyBorder="1" applyAlignment="1">
      <alignment horizontal="center" wrapText="1"/>
    </xf>
    <xf numFmtId="0" fontId="35" fillId="0" borderId="37" xfId="0" applyFont="1" applyBorder="1" applyAlignment="1">
      <alignment horizontal="center" wrapText="1"/>
    </xf>
    <xf numFmtId="0" fontId="35" fillId="0" borderId="40" xfId="0" applyFont="1" applyBorder="1" applyAlignment="1">
      <alignment horizontal="center" wrapText="1"/>
    </xf>
    <xf numFmtId="0" fontId="35" fillId="0" borderId="38" xfId="0" applyFont="1" applyBorder="1" applyAlignment="1">
      <alignment horizontal="center" wrapText="1"/>
    </xf>
    <xf numFmtId="0" fontId="35" fillId="0" borderId="36" xfId="0" applyFont="1" applyBorder="1" applyAlignment="1">
      <alignment horizontal="center" wrapText="1"/>
    </xf>
    <xf numFmtId="0" fontId="35" fillId="0" borderId="12" xfId="0" applyFont="1" applyBorder="1" applyAlignment="1">
      <alignment horizontal="center" wrapText="1"/>
    </xf>
    <xf numFmtId="0" fontId="35" fillId="0" borderId="13" xfId="0" applyFont="1" applyBorder="1" applyAlignment="1">
      <alignment horizontal="center" wrapText="1"/>
    </xf>
    <xf numFmtId="0" fontId="35" fillId="0" borderId="2" xfId="0" applyFont="1" applyBorder="1" applyAlignment="1">
      <alignment horizontal="center" wrapText="1"/>
    </xf>
    <xf numFmtId="0" fontId="35" fillId="0" borderId="7" xfId="0" applyFont="1" applyBorder="1" applyAlignment="1">
      <alignment horizontal="center" wrapText="1"/>
    </xf>
    <xf numFmtId="0" fontId="35" fillId="0" borderId="11" xfId="0" applyFont="1" applyBorder="1" applyAlignment="1">
      <alignment horizontal="center" wrapText="1"/>
    </xf>
    <xf numFmtId="0" fontId="35" fillId="0" borderId="55" xfId="0" applyFont="1" applyBorder="1" applyAlignment="1">
      <alignment horizontal="center"/>
    </xf>
    <xf numFmtId="0" fontId="35" fillId="0" borderId="18" xfId="0" applyFont="1" applyBorder="1" applyAlignment="1">
      <alignment horizontal="center"/>
    </xf>
    <xf numFmtId="0" fontId="35" fillId="0" borderId="39" xfId="0" applyFont="1" applyBorder="1" applyAlignment="1">
      <alignment horizontal="center"/>
    </xf>
    <xf numFmtId="0" fontId="22" fillId="4" borderId="19" xfId="0" applyFont="1" applyFill="1" applyBorder="1" applyAlignment="1">
      <alignment horizontal="center"/>
    </xf>
    <xf numFmtId="0" fontId="22" fillId="4" borderId="21" xfId="0" applyFont="1" applyFill="1" applyBorder="1" applyAlignment="1">
      <alignment horizontal="center"/>
    </xf>
    <xf numFmtId="0" fontId="3" fillId="0" borderId="0" xfId="0" applyFont="1" applyAlignment="1">
      <alignment horizontal="center" wrapText="1"/>
    </xf>
    <xf numFmtId="0" fontId="3" fillId="0" borderId="2" xfId="0" applyFont="1" applyBorder="1" applyAlignment="1">
      <alignment horizontal="center" wrapText="1"/>
    </xf>
    <xf numFmtId="0" fontId="2" fillId="0" borderId="19" xfId="0" applyFont="1" applyBorder="1" applyAlignment="1">
      <alignment horizontal="center" vertical="center"/>
    </xf>
    <xf numFmtId="0" fontId="2" fillId="0" borderId="25" xfId="0" applyFont="1" applyBorder="1" applyAlignment="1">
      <alignment horizontal="center" vertical="center"/>
    </xf>
    <xf numFmtId="0" fontId="5" fillId="0" borderId="34" xfId="0" applyFont="1" applyBorder="1" applyAlignment="1">
      <alignment horizontal="center" vertical="center"/>
    </xf>
    <xf numFmtId="0" fontId="5" fillId="0" borderId="4" xfId="0" applyFont="1" applyBorder="1" applyAlignment="1">
      <alignment horizontal="center" vertical="center"/>
    </xf>
    <xf numFmtId="0" fontId="0" fillId="6" borderId="0" xfId="0" applyFill="1" applyAlignment="1">
      <alignment horizontal="center" vertical="center" wrapText="1"/>
    </xf>
    <xf numFmtId="0" fontId="5" fillId="0" borderId="30" xfId="0" applyFont="1" applyBorder="1" applyAlignment="1">
      <alignment horizontal="center"/>
    </xf>
    <xf numFmtId="0" fontId="5" fillId="0" borderId="2" xfId="0" applyFont="1" applyBorder="1" applyAlignment="1">
      <alignment horizontal="center"/>
    </xf>
    <xf numFmtId="0" fontId="3" fillId="0" borderId="24" xfId="0" applyFont="1" applyBorder="1" applyAlignment="1">
      <alignment horizontal="center"/>
    </xf>
    <xf numFmtId="0" fontId="2" fillId="0" borderId="0" xfId="0" applyFont="1" applyAlignment="1">
      <alignment horizontal="left" vertical="center" wrapText="1"/>
    </xf>
    <xf numFmtId="0" fontId="13" fillId="0" borderId="2" xfId="0" applyFont="1" applyBorder="1" applyAlignment="1">
      <alignment horizontal="center"/>
    </xf>
    <xf numFmtId="0" fontId="13" fillId="0" borderId="0" xfId="0" applyFont="1" applyAlignment="1">
      <alignment horizontal="center"/>
    </xf>
    <xf numFmtId="0" fontId="2" fillId="0" borderId="4" xfId="0" applyFont="1" applyBorder="1" applyAlignment="1">
      <alignment horizontal="center"/>
    </xf>
    <xf numFmtId="0" fontId="2" fillId="0" borderId="6" xfId="0" applyFont="1" applyBorder="1" applyAlignment="1">
      <alignment horizontal="center"/>
    </xf>
    <xf numFmtId="0" fontId="2" fillId="0" borderId="5" xfId="0" applyFont="1" applyBorder="1" applyAlignment="1">
      <alignment horizontal="center"/>
    </xf>
    <xf numFmtId="0" fontId="3" fillId="0" borderId="50" xfId="0" applyFont="1" applyBorder="1" applyAlignment="1">
      <alignment horizontal="center"/>
    </xf>
    <xf numFmtId="0" fontId="3" fillId="0" borderId="51" xfId="0" applyFont="1" applyBorder="1" applyAlignment="1">
      <alignment horizontal="center"/>
    </xf>
    <xf numFmtId="0" fontId="3" fillId="0" borderId="34" xfId="0" applyFont="1" applyBorder="1" applyAlignment="1">
      <alignment horizontal="center"/>
    </xf>
    <xf numFmtId="0" fontId="3" fillId="0" borderId="44" xfId="0" applyFont="1" applyBorder="1" applyAlignment="1">
      <alignment horizontal="center"/>
    </xf>
    <xf numFmtId="0" fontId="3" fillId="0" borderId="52" xfId="0" applyFont="1" applyBorder="1" applyAlignment="1">
      <alignment horizontal="center"/>
    </xf>
    <xf numFmtId="0" fontId="3" fillId="0" borderId="53" xfId="0" applyFont="1" applyBorder="1" applyAlignment="1">
      <alignment horizontal="center"/>
    </xf>
    <xf numFmtId="0" fontId="3" fillId="0" borderId="54" xfId="0" applyFont="1" applyBorder="1" applyAlignment="1">
      <alignment horizontal="center"/>
    </xf>
    <xf numFmtId="0" fontId="3" fillId="0" borderId="36" xfId="0" applyFont="1" applyBorder="1" applyAlignment="1">
      <alignment horizontal="center"/>
    </xf>
    <xf numFmtId="0" fontId="3" fillId="0" borderId="13" xfId="0" applyFont="1" applyBorder="1" applyAlignment="1">
      <alignment horizontal="center"/>
    </xf>
    <xf numFmtId="0" fontId="3" fillId="0" borderId="7" xfId="0" applyFont="1" applyBorder="1" applyAlignment="1">
      <alignment horizontal="center"/>
    </xf>
  </cellXfs>
  <cellStyles count="6">
    <cellStyle name="Comma" xfId="1" builtinId="3"/>
    <cellStyle name="Currency" xfId="5" builtinId="4"/>
    <cellStyle name="Hyperlink" xfId="2" builtinId="8"/>
    <cellStyle name="Normal" xfId="0" builtinId="0"/>
    <cellStyle name="Percent" xfId="3" builtinId="5"/>
    <cellStyle name="Percent 2" xfId="4" xr:uid="{8E056A51-B174-4D90-8B30-4D78AB50E7E9}"/>
  </cellStyles>
  <dxfs count="25">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bgColor theme="1" tint="0.24994659260841701"/>
        </patternFill>
      </fill>
    </dxf>
    <dxf>
      <font>
        <strike val="0"/>
      </font>
      <fill>
        <patternFill>
          <bgColor rgb="FFFFCCCC"/>
        </patternFill>
      </fill>
    </dxf>
    <dxf>
      <font>
        <strike val="0"/>
      </font>
      <fill>
        <patternFill>
          <bgColor rgb="FFFFCCCC"/>
        </patternFill>
      </fill>
    </dxf>
    <dxf>
      <font>
        <strike val="0"/>
      </font>
      <fill>
        <patternFill>
          <bgColor rgb="FFFFCCCC"/>
        </patternFill>
      </fill>
    </dxf>
    <dxf>
      <font>
        <strike val="0"/>
      </font>
      <fill>
        <patternFill>
          <bgColor rgb="FFFFCCCC"/>
        </patternFill>
      </fill>
    </dxf>
    <dxf>
      <font>
        <strike val="0"/>
      </font>
      <fill>
        <patternFill>
          <bgColor rgb="FFFFCCCC"/>
        </patternFill>
      </fill>
    </dxf>
    <dxf>
      <font>
        <strike val="0"/>
      </font>
      <fill>
        <patternFill>
          <bgColor rgb="FFFFCCCC"/>
        </patternFill>
      </fill>
    </dxf>
    <dxf>
      <fill>
        <patternFill>
          <bgColor rgb="FFFFCCCC"/>
        </patternFill>
      </fill>
    </dxf>
    <dxf>
      <fill>
        <patternFill>
          <bgColor rgb="FFFF9999"/>
        </patternFill>
      </fill>
    </dxf>
    <dxf>
      <fill>
        <patternFill>
          <bgColor rgb="FFFFCCCC"/>
        </patternFill>
      </fill>
    </dxf>
    <dxf>
      <fill>
        <patternFill>
          <bgColor rgb="FFFF9999"/>
        </patternFill>
      </fill>
    </dxf>
    <dxf>
      <fill>
        <patternFill>
          <bgColor rgb="FFFF9999"/>
        </patternFill>
      </fill>
    </dxf>
    <dxf>
      <fill>
        <patternFill>
          <bgColor rgb="FFFF9999"/>
        </patternFill>
      </fill>
    </dxf>
    <dxf>
      <fill>
        <patternFill>
          <bgColor rgb="FFFFCCCC"/>
        </patternFill>
      </fill>
    </dxf>
    <dxf>
      <fill>
        <patternFill>
          <bgColor rgb="FFFF9999"/>
        </patternFill>
      </fill>
    </dxf>
    <dxf>
      <fill>
        <patternFill>
          <bgColor rgb="FFFFCCCC"/>
        </patternFill>
      </fill>
    </dxf>
  </dxfs>
  <tableStyles count="0" defaultTableStyle="TableStyleMedium2" defaultPivotStyle="PivotStyleLight16"/>
  <colors>
    <mruColors>
      <color rgb="FFFFCC99"/>
      <color rgb="FFFFCCCC"/>
      <color rgb="FFFF9999"/>
      <color rgb="FFFF9966"/>
      <color rgb="FFF1B6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a:t>Energy use shares by</a:t>
            </a:r>
            <a:r>
              <a:rPr lang="en-CA" baseline="0"/>
              <a:t> transportation mode and province in 2019</a:t>
            </a:r>
            <a:endParaRPr lang="en-CA"/>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percentStacked"/>
        <c:varyColors val="0"/>
        <c:ser>
          <c:idx val="0"/>
          <c:order val="0"/>
          <c:tx>
            <c:strRef>
              <c:f>'Background Data'!$AC$282</c:f>
              <c:strCache>
                <c:ptCount val="1"/>
                <c:pt idx="0">
                  <c:v> Passenger Light Trucks </c:v>
                </c:pt>
              </c:strCache>
            </c:strRef>
          </c:tx>
          <c:spPr>
            <a:solidFill>
              <a:schemeClr val="accent1"/>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Data'!$AD$282:$AN$282</c:f>
              <c:numCache>
                <c:formatCode>0.00%</c:formatCode>
                <c:ptCount val="11"/>
                <c:pt idx="0">
                  <c:v>0.21649316637740534</c:v>
                </c:pt>
                <c:pt idx="1">
                  <c:v>0.25542170218710059</c:v>
                </c:pt>
                <c:pt idx="2">
                  <c:v>0.19592524020357246</c:v>
                </c:pt>
                <c:pt idx="3">
                  <c:v>0.1726468665345296</c:v>
                </c:pt>
                <c:pt idx="4">
                  <c:v>0.1721840434514241</c:v>
                </c:pt>
                <c:pt idx="5">
                  <c:v>0.20226169543994951</c:v>
                </c:pt>
                <c:pt idx="6">
                  <c:v>0.27617001441967687</c:v>
                </c:pt>
                <c:pt idx="7">
                  <c:v>0.26840139703459631</c:v>
                </c:pt>
                <c:pt idx="8">
                  <c:v>0.23497076575184242</c:v>
                </c:pt>
                <c:pt idx="9">
                  <c:v>0.29467304288888058</c:v>
                </c:pt>
                <c:pt idx="10">
                  <c:v>0.27494831299371791</c:v>
                </c:pt>
              </c:numCache>
            </c:numRef>
          </c:val>
          <c:extLst>
            <c:ext xmlns:c16="http://schemas.microsoft.com/office/drawing/2014/chart" uri="{C3380CC4-5D6E-409C-BE32-E72D297353CC}">
              <c16:uniqueId val="{00000000-9428-45F7-80B2-73E0D9D572DC}"/>
            </c:ext>
          </c:extLst>
        </c:ser>
        <c:ser>
          <c:idx val="1"/>
          <c:order val="1"/>
          <c:tx>
            <c:strRef>
              <c:f>'Background Data'!$AC$283</c:f>
              <c:strCache>
                <c:ptCount val="1"/>
                <c:pt idx="0">
                  <c:v> Cars </c:v>
                </c:pt>
              </c:strCache>
            </c:strRef>
          </c:tx>
          <c:spPr>
            <a:solidFill>
              <a:schemeClr val="accent2"/>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Data'!$AD$283:$AN$283</c:f>
              <c:numCache>
                <c:formatCode>0.00%</c:formatCode>
                <c:ptCount val="11"/>
                <c:pt idx="0">
                  <c:v>0.1732333397428939</c:v>
                </c:pt>
                <c:pt idx="1">
                  <c:v>0.21693976534597498</c:v>
                </c:pt>
                <c:pt idx="2">
                  <c:v>0.22851389454872656</c:v>
                </c:pt>
                <c:pt idx="3">
                  <c:v>8.6406336239503348E-2</c:v>
                </c:pt>
                <c:pt idx="4">
                  <c:v>0.1278377120819105</c:v>
                </c:pt>
                <c:pt idx="5">
                  <c:v>0.10841659594978989</c:v>
                </c:pt>
                <c:pt idx="6">
                  <c:v>0.14113945756298274</c:v>
                </c:pt>
                <c:pt idx="7">
                  <c:v>0.20083843163097195</c:v>
                </c:pt>
                <c:pt idx="8">
                  <c:v>0.1216678325660089</c:v>
                </c:pt>
                <c:pt idx="9">
                  <c:v>0.2011000301238845</c:v>
                </c:pt>
                <c:pt idx="10">
                  <c:v>0.21221308202299818</c:v>
                </c:pt>
              </c:numCache>
            </c:numRef>
          </c:val>
          <c:extLst>
            <c:ext xmlns:c16="http://schemas.microsoft.com/office/drawing/2014/chart" uri="{C3380CC4-5D6E-409C-BE32-E72D297353CC}">
              <c16:uniqueId val="{00000001-9428-45F7-80B2-73E0D9D572DC}"/>
            </c:ext>
          </c:extLst>
        </c:ser>
        <c:ser>
          <c:idx val="2"/>
          <c:order val="2"/>
          <c:tx>
            <c:strRef>
              <c:f>'Background Data'!$AC$284</c:f>
              <c:strCache>
                <c:ptCount val="1"/>
                <c:pt idx="0">
                  <c:v> Heavy Trucks </c:v>
                </c:pt>
              </c:strCache>
            </c:strRef>
          </c:tx>
          <c:spPr>
            <a:solidFill>
              <a:schemeClr val="accent3"/>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Data'!$AD$284:$AN$284</c:f>
              <c:numCache>
                <c:formatCode>0.00%</c:formatCode>
                <c:ptCount val="11"/>
                <c:pt idx="0">
                  <c:v>0.17042978510745149</c:v>
                </c:pt>
                <c:pt idx="1">
                  <c:v>0.161694861625262</c:v>
                </c:pt>
                <c:pt idx="2">
                  <c:v>0.1615631768921458</c:v>
                </c:pt>
                <c:pt idx="3">
                  <c:v>0.24716683078145404</c:v>
                </c:pt>
                <c:pt idx="4">
                  <c:v>0.10552317595372686</c:v>
                </c:pt>
                <c:pt idx="5">
                  <c:v>0.23885508584463108</c:v>
                </c:pt>
                <c:pt idx="6">
                  <c:v>0.18227632509483002</c:v>
                </c:pt>
                <c:pt idx="7">
                  <c:v>0.1461685403624382</c:v>
                </c:pt>
                <c:pt idx="8">
                  <c:v>0.13720982934487305</c:v>
                </c:pt>
                <c:pt idx="9">
                  <c:v>0.12530046692020938</c:v>
                </c:pt>
                <c:pt idx="10">
                  <c:v>0.10620095502995976</c:v>
                </c:pt>
              </c:numCache>
            </c:numRef>
          </c:val>
          <c:extLst>
            <c:ext xmlns:c16="http://schemas.microsoft.com/office/drawing/2014/chart" uri="{C3380CC4-5D6E-409C-BE32-E72D297353CC}">
              <c16:uniqueId val="{00000002-9428-45F7-80B2-73E0D9D572DC}"/>
            </c:ext>
          </c:extLst>
        </c:ser>
        <c:ser>
          <c:idx val="3"/>
          <c:order val="3"/>
          <c:tx>
            <c:strRef>
              <c:f>'Background Data'!$AC$285</c:f>
              <c:strCache>
                <c:ptCount val="1"/>
                <c:pt idx="0">
                  <c:v> Passenger Air </c:v>
                </c:pt>
              </c:strCache>
            </c:strRef>
          </c:tx>
          <c:spPr>
            <a:solidFill>
              <a:schemeClr val="accent4"/>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Data'!$AD$285:$AN$285</c:f>
              <c:numCache>
                <c:formatCode>0.00%</c:formatCode>
                <c:ptCount val="11"/>
                <c:pt idx="0">
                  <c:v>0.11761317570910541</c:v>
                </c:pt>
                <c:pt idx="1">
                  <c:v>0.10033042412988903</c:v>
                </c:pt>
                <c:pt idx="2">
                  <c:v>0.15193091559154845</c:v>
                </c:pt>
                <c:pt idx="3">
                  <c:v>8.468383884913977E-2</c:v>
                </c:pt>
                <c:pt idx="4">
                  <c:v>0.19018431115131379</c:v>
                </c:pt>
                <c:pt idx="5">
                  <c:v>1.9860720565372945E-2</c:v>
                </c:pt>
                <c:pt idx="6">
                  <c:v>9.6585898107072979E-2</c:v>
                </c:pt>
                <c:pt idx="7">
                  <c:v>8.4346833607907734E-2</c:v>
                </c:pt>
                <c:pt idx="8">
                  <c:v>0.2277240234915161</c:v>
                </c:pt>
                <c:pt idx="9">
                  <c:v>3.0047219188914415E-2</c:v>
                </c:pt>
                <c:pt idx="10">
                  <c:v>3.4274903243268866E-2</c:v>
                </c:pt>
              </c:numCache>
            </c:numRef>
          </c:val>
          <c:extLst>
            <c:ext xmlns:c16="http://schemas.microsoft.com/office/drawing/2014/chart" uri="{C3380CC4-5D6E-409C-BE32-E72D297353CC}">
              <c16:uniqueId val="{00000003-9428-45F7-80B2-73E0D9D572DC}"/>
            </c:ext>
          </c:extLst>
        </c:ser>
        <c:ser>
          <c:idx val="4"/>
          <c:order val="4"/>
          <c:tx>
            <c:strRef>
              <c:f>'Background Data'!$AC$286</c:f>
              <c:strCache>
                <c:ptCount val="1"/>
                <c:pt idx="0">
                  <c:v> Medium Trucks </c:v>
                </c:pt>
              </c:strCache>
            </c:strRef>
          </c:tx>
          <c:spPr>
            <a:solidFill>
              <a:schemeClr val="accent5"/>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Data'!$AD$286:$AN$286</c:f>
              <c:numCache>
                <c:formatCode>0.00%</c:formatCode>
                <c:ptCount val="11"/>
                <c:pt idx="0">
                  <c:v>0.10732973633193238</c:v>
                </c:pt>
                <c:pt idx="1">
                  <c:v>6.7219804264393029E-2</c:v>
                </c:pt>
                <c:pt idx="2">
                  <c:v>6.4909384729594136E-2</c:v>
                </c:pt>
                <c:pt idx="3">
                  <c:v>0.20524177066472829</c:v>
                </c:pt>
                <c:pt idx="4">
                  <c:v>0.16045143532654899</c:v>
                </c:pt>
                <c:pt idx="5">
                  <c:v>0.15484448170752407</c:v>
                </c:pt>
                <c:pt idx="6">
                  <c:v>5.4320318886102927E-2</c:v>
                </c:pt>
                <c:pt idx="7">
                  <c:v>6.8182998352553523E-2</c:v>
                </c:pt>
                <c:pt idx="8">
                  <c:v>6.3910784297776135E-2</c:v>
                </c:pt>
                <c:pt idx="9">
                  <c:v>6.8092687427043733E-2</c:v>
                </c:pt>
                <c:pt idx="10">
                  <c:v>6.659255200801395E-2</c:v>
                </c:pt>
              </c:numCache>
            </c:numRef>
          </c:val>
          <c:extLst>
            <c:ext xmlns:c16="http://schemas.microsoft.com/office/drawing/2014/chart" uri="{C3380CC4-5D6E-409C-BE32-E72D297353CC}">
              <c16:uniqueId val="{00000004-9428-45F7-80B2-73E0D9D572DC}"/>
            </c:ext>
          </c:extLst>
        </c:ser>
        <c:ser>
          <c:idx val="5"/>
          <c:order val="5"/>
          <c:tx>
            <c:strRef>
              <c:f>'Background Data'!$AC$287</c:f>
              <c:strCache>
                <c:ptCount val="1"/>
                <c:pt idx="0">
                  <c:v> Freight Light Trucks </c:v>
                </c:pt>
              </c:strCache>
            </c:strRef>
          </c:tx>
          <c:spPr>
            <a:solidFill>
              <a:schemeClr val="accent6"/>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Data'!$AD$287:$AN$287</c:f>
              <c:numCache>
                <c:formatCode>0.00%</c:formatCode>
                <c:ptCount val="11"/>
                <c:pt idx="0">
                  <c:v>8.461041055472722E-2</c:v>
                </c:pt>
                <c:pt idx="1">
                  <c:v>8.5537411067357239E-2</c:v>
                </c:pt>
                <c:pt idx="2">
                  <c:v>7.7160804988384124E-2</c:v>
                </c:pt>
                <c:pt idx="3">
                  <c:v>9.8137905021912497E-2</c:v>
                </c:pt>
                <c:pt idx="4">
                  <c:v>6.8838375900097767E-2</c:v>
                </c:pt>
                <c:pt idx="5">
                  <c:v>0.11549182965492429</c:v>
                </c:pt>
                <c:pt idx="6">
                  <c:v>9.1969893184176935E-2</c:v>
                </c:pt>
                <c:pt idx="7">
                  <c:v>7.6411782537067527E-2</c:v>
                </c:pt>
                <c:pt idx="8">
                  <c:v>6.6906489449966675E-2</c:v>
                </c:pt>
                <c:pt idx="9">
                  <c:v>8.4683172045035213E-2</c:v>
                </c:pt>
                <c:pt idx="10">
                  <c:v>7.9500172601275954E-2</c:v>
                </c:pt>
              </c:numCache>
            </c:numRef>
          </c:val>
          <c:extLst>
            <c:ext xmlns:c16="http://schemas.microsoft.com/office/drawing/2014/chart" uri="{C3380CC4-5D6E-409C-BE32-E72D297353CC}">
              <c16:uniqueId val="{00000005-9428-45F7-80B2-73E0D9D572DC}"/>
            </c:ext>
          </c:extLst>
        </c:ser>
        <c:ser>
          <c:idx val="6"/>
          <c:order val="6"/>
          <c:tx>
            <c:strRef>
              <c:f>'Background Data'!$AC$288</c:f>
              <c:strCache>
                <c:ptCount val="1"/>
                <c:pt idx="0">
                  <c:v> Off-Road* </c:v>
                </c:pt>
              </c:strCache>
            </c:strRef>
          </c:tx>
          <c:spPr>
            <a:solidFill>
              <a:schemeClr val="accent1">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Data'!$AD$288:$AN$288</c:f>
              <c:numCache>
                <c:formatCode>0.00%</c:formatCode>
                <c:ptCount val="11"/>
                <c:pt idx="0">
                  <c:v>4.3342006456196847E-2</c:v>
                </c:pt>
                <c:pt idx="1">
                  <c:v>4.9170525620864797E-2</c:v>
                </c:pt>
                <c:pt idx="2">
                  <c:v>4.5375991652859458E-2</c:v>
                </c:pt>
                <c:pt idx="3">
                  <c:v>2.8251691509278472E-2</c:v>
                </c:pt>
                <c:pt idx="4">
                  <c:v>4.3438077428133673E-2</c:v>
                </c:pt>
                <c:pt idx="5">
                  <c:v>2.6815839675222847E-2</c:v>
                </c:pt>
                <c:pt idx="6">
                  <c:v>3.6462495063327181E-2</c:v>
                </c:pt>
                <c:pt idx="7">
                  <c:v>5.2454695222405263E-2</c:v>
                </c:pt>
                <c:pt idx="8">
                  <c:v>6.5236135287706012E-2</c:v>
                </c:pt>
                <c:pt idx="9">
                  <c:v>7.3615242685544313E-2</c:v>
                </c:pt>
                <c:pt idx="10">
                  <c:v>4.2828688813802196E-2</c:v>
                </c:pt>
              </c:numCache>
            </c:numRef>
          </c:val>
          <c:extLst>
            <c:ext xmlns:c16="http://schemas.microsoft.com/office/drawing/2014/chart" uri="{C3380CC4-5D6E-409C-BE32-E72D297353CC}">
              <c16:uniqueId val="{00000006-9428-45F7-80B2-73E0D9D572DC}"/>
            </c:ext>
          </c:extLst>
        </c:ser>
        <c:ser>
          <c:idx val="7"/>
          <c:order val="7"/>
          <c:tx>
            <c:strRef>
              <c:f>'Background Data'!$AC$289</c:f>
              <c:strCache>
                <c:ptCount val="1"/>
                <c:pt idx="0">
                  <c:v> Freight Rail </c:v>
                </c:pt>
              </c:strCache>
            </c:strRef>
          </c:tx>
          <c:spPr>
            <a:solidFill>
              <a:schemeClr val="accent2">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Data'!$AD$289:$AN$289</c:f>
              <c:numCache>
                <c:formatCode>0.00%</c:formatCode>
                <c:ptCount val="11"/>
                <c:pt idx="0">
                  <c:v>3.3490360979574342E-2</c:v>
                </c:pt>
                <c:pt idx="1">
                  <c:v>2.0550277317788877E-2</c:v>
                </c:pt>
                <c:pt idx="2">
                  <c:v>1.4114071038646063E-2</c:v>
                </c:pt>
                <c:pt idx="3">
                  <c:v>5.1321885446469706E-2</c:v>
                </c:pt>
                <c:pt idx="4">
                  <c:v>2.9035378316340222E-2</c:v>
                </c:pt>
                <c:pt idx="5">
                  <c:v>0.11497863558292207</c:v>
                </c:pt>
                <c:pt idx="6">
                  <c:v>0.10230570633455487</c:v>
                </c:pt>
                <c:pt idx="7">
                  <c:v>2.610465897858319E-2</c:v>
                </c:pt>
                <c:pt idx="8">
                  <c:v>0</c:v>
                </c:pt>
                <c:pt idx="9">
                  <c:v>3.5470873969198333E-2</c:v>
                </c:pt>
                <c:pt idx="10">
                  <c:v>0</c:v>
                </c:pt>
              </c:numCache>
            </c:numRef>
          </c:val>
          <c:extLst>
            <c:ext xmlns:c16="http://schemas.microsoft.com/office/drawing/2014/chart" uri="{C3380CC4-5D6E-409C-BE32-E72D297353CC}">
              <c16:uniqueId val="{00000007-9428-45F7-80B2-73E0D9D572DC}"/>
            </c:ext>
          </c:extLst>
        </c:ser>
        <c:ser>
          <c:idx val="8"/>
          <c:order val="8"/>
          <c:tx>
            <c:strRef>
              <c:f>'Background Data'!$AC$290</c:f>
              <c:strCache>
                <c:ptCount val="1"/>
                <c:pt idx="0">
                  <c:v> Marine </c:v>
                </c:pt>
              </c:strCache>
            </c:strRef>
          </c:tx>
          <c:spPr>
            <a:solidFill>
              <a:schemeClr val="accent3">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Data'!$AD$290:$AN$290</c:f>
              <c:numCache>
                <c:formatCode>0.00%</c:formatCode>
                <c:ptCount val="11"/>
                <c:pt idx="0">
                  <c:v>2.8893855500629548E-2</c:v>
                </c:pt>
                <c:pt idx="1">
                  <c:v>1.9816633568460643E-2</c:v>
                </c:pt>
                <c:pt idx="2">
                  <c:v>3.4312048688127088E-2</c:v>
                </c:pt>
                <c:pt idx="3">
                  <c:v>9.7201032866627504E-5</c:v>
                </c:pt>
                <c:pt idx="4">
                  <c:v>7.671216608980444E-2</c:v>
                </c:pt>
                <c:pt idx="5">
                  <c:v>0</c:v>
                </c:pt>
                <c:pt idx="6">
                  <c:v>6.0617749979334859E-4</c:v>
                </c:pt>
                <c:pt idx="7">
                  <c:v>5.448434925864909E-2</c:v>
                </c:pt>
                <c:pt idx="8">
                  <c:v>5.5963168426361266E-2</c:v>
                </c:pt>
                <c:pt idx="9">
                  <c:v>4.6334299807960243E-2</c:v>
                </c:pt>
                <c:pt idx="10">
                  <c:v>0.17488381265635899</c:v>
                </c:pt>
              </c:numCache>
            </c:numRef>
          </c:val>
          <c:extLst>
            <c:ext xmlns:c16="http://schemas.microsoft.com/office/drawing/2014/chart" uri="{C3380CC4-5D6E-409C-BE32-E72D297353CC}">
              <c16:uniqueId val="{00000008-9428-45F7-80B2-73E0D9D572DC}"/>
            </c:ext>
          </c:extLst>
        </c:ser>
        <c:ser>
          <c:idx val="9"/>
          <c:order val="9"/>
          <c:tx>
            <c:strRef>
              <c:f>'Background Data'!$AC$291</c:f>
              <c:strCache>
                <c:ptCount val="1"/>
                <c:pt idx="0">
                  <c:v> Urban Transit </c:v>
                </c:pt>
              </c:strCache>
            </c:strRef>
          </c:tx>
          <c:spPr>
            <a:solidFill>
              <a:schemeClr val="accent4">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Data'!$AD$291:$AN$291</c:f>
              <c:numCache>
                <c:formatCode>0.00%</c:formatCode>
                <c:ptCount val="11"/>
                <c:pt idx="0">
                  <c:v>1.3768205754924958E-2</c:v>
                </c:pt>
                <c:pt idx="1">
                  <c:v>1.3436591423001593E-2</c:v>
                </c:pt>
                <c:pt idx="2">
                  <c:v>1.433877791231011E-2</c:v>
                </c:pt>
                <c:pt idx="3">
                  <c:v>1.4742598986573579E-2</c:v>
                </c:pt>
                <c:pt idx="4">
                  <c:v>1.4156431517340012E-2</c:v>
                </c:pt>
                <c:pt idx="5">
                  <c:v>1.0532318178423773E-2</c:v>
                </c:pt>
                <c:pt idx="6">
                  <c:v>7.8551786845948261E-3</c:v>
                </c:pt>
                <c:pt idx="7">
                  <c:v>1.2138332784184512E-2</c:v>
                </c:pt>
                <c:pt idx="8">
                  <c:v>1.5079080512128069E-2</c:v>
                </c:pt>
                <c:pt idx="9">
                  <c:v>2.5902040893173179E-2</c:v>
                </c:pt>
                <c:pt idx="10">
                  <c:v>4.2236889295890548E-3</c:v>
                </c:pt>
              </c:numCache>
            </c:numRef>
          </c:val>
          <c:extLst>
            <c:ext xmlns:c16="http://schemas.microsoft.com/office/drawing/2014/chart" uri="{C3380CC4-5D6E-409C-BE32-E72D297353CC}">
              <c16:uniqueId val="{00000009-9428-45F7-80B2-73E0D9D572DC}"/>
            </c:ext>
          </c:extLst>
        </c:ser>
        <c:ser>
          <c:idx val="10"/>
          <c:order val="10"/>
          <c:tx>
            <c:strRef>
              <c:f>'Background Data'!$AC$292</c:f>
              <c:strCache>
                <c:ptCount val="1"/>
                <c:pt idx="0">
                  <c:v> School Buses </c:v>
                </c:pt>
              </c:strCache>
            </c:strRef>
          </c:tx>
          <c:spPr>
            <a:solidFill>
              <a:schemeClr val="accent5">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Data'!$AD$292:$AN$292</c:f>
              <c:numCache>
                <c:formatCode>0.00%</c:formatCode>
                <c:ptCount val="11"/>
                <c:pt idx="0">
                  <c:v>4.4395109291430436E-3</c:v>
                </c:pt>
                <c:pt idx="1">
                  <c:v>4.1343570257934741E-3</c:v>
                </c:pt>
                <c:pt idx="2">
                  <c:v>4.3092444872929302E-3</c:v>
                </c:pt>
                <c:pt idx="3">
                  <c:v>5.4104546050045858E-3</c:v>
                </c:pt>
                <c:pt idx="4">
                  <c:v>4.3585525173773527E-3</c:v>
                </c:pt>
                <c:pt idx="5">
                  <c:v>3.5295890727150532E-3</c:v>
                </c:pt>
                <c:pt idx="6">
                  <c:v>2.8732721645128995E-3</c:v>
                </c:pt>
                <c:pt idx="7">
                  <c:v>5.1041976935749574E-3</c:v>
                </c:pt>
                <c:pt idx="8">
                  <c:v>4.7200214742390478E-3</c:v>
                </c:pt>
                <c:pt idx="9">
                  <c:v>8.3988025755921247E-3</c:v>
                </c:pt>
                <c:pt idx="10">
                  <c:v>1.3344124613556161E-3</c:v>
                </c:pt>
              </c:numCache>
            </c:numRef>
          </c:val>
          <c:extLst>
            <c:ext xmlns:c16="http://schemas.microsoft.com/office/drawing/2014/chart" uri="{C3380CC4-5D6E-409C-BE32-E72D297353CC}">
              <c16:uniqueId val="{0000000A-9428-45F7-80B2-73E0D9D572DC}"/>
            </c:ext>
          </c:extLst>
        </c:ser>
        <c:ser>
          <c:idx val="11"/>
          <c:order val="11"/>
          <c:tx>
            <c:strRef>
              <c:f>'Background Data'!$AC$293</c:f>
              <c:strCache>
                <c:ptCount val="1"/>
                <c:pt idx="0">
                  <c:v> Freight Air </c:v>
                </c:pt>
              </c:strCache>
            </c:strRef>
          </c:tx>
          <c:spPr>
            <a:solidFill>
              <a:schemeClr val="accent6">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Data'!$AD$293:$AN$293</c:f>
              <c:numCache>
                <c:formatCode>0.00%</c:formatCode>
                <c:ptCount val="11"/>
                <c:pt idx="0">
                  <c:v>2.6775277982751156E-3</c:v>
                </c:pt>
                <c:pt idx="1">
                  <c:v>2.3954760546585031E-3</c:v>
                </c:pt>
                <c:pt idx="2">
                  <c:v>3.5775708018879631E-3</c:v>
                </c:pt>
                <c:pt idx="3">
                  <c:v>1.8250804021587082E-3</c:v>
                </c:pt>
                <c:pt idx="4">
                  <c:v>4.429176717241687E-3</c:v>
                </c:pt>
                <c:pt idx="5">
                  <c:v>3.631747238647396E-4</c:v>
                </c:pt>
                <c:pt idx="6">
                  <c:v>2.1659273138070704E-3</c:v>
                </c:pt>
                <c:pt idx="7">
                  <c:v>1.2940230642504115E-3</c:v>
                </c:pt>
                <c:pt idx="8">
                  <c:v>3.6771706063218868E-3</c:v>
                </c:pt>
                <c:pt idx="9">
                  <c:v>5.6617840870580279E-4</c:v>
                </c:pt>
                <c:pt idx="10">
                  <c:v>5.8565741912827186E-4</c:v>
                </c:pt>
              </c:numCache>
            </c:numRef>
          </c:val>
          <c:extLst>
            <c:ext xmlns:c16="http://schemas.microsoft.com/office/drawing/2014/chart" uri="{C3380CC4-5D6E-409C-BE32-E72D297353CC}">
              <c16:uniqueId val="{0000000B-9428-45F7-80B2-73E0D9D572DC}"/>
            </c:ext>
          </c:extLst>
        </c:ser>
        <c:ser>
          <c:idx val="12"/>
          <c:order val="12"/>
          <c:tx>
            <c:strRef>
              <c:f>'Background Data'!$AC$294</c:f>
              <c:strCache>
                <c:ptCount val="1"/>
                <c:pt idx="0">
                  <c:v> Motorcycles </c:v>
                </c:pt>
              </c:strCache>
            </c:strRef>
          </c:tx>
          <c:spPr>
            <a:solidFill>
              <a:schemeClr val="accent1">
                <a:lumMod val="80000"/>
                <a:lumOff val="2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Data'!$AD$294:$AN$294</c:f>
              <c:numCache>
                <c:formatCode>0.00%</c:formatCode>
                <c:ptCount val="11"/>
                <c:pt idx="0">
                  <c:v>2.0411863700130137E-3</c:v>
                </c:pt>
                <c:pt idx="1">
                  <c:v>2.0115801973483323E-3</c:v>
                </c:pt>
                <c:pt idx="2">
                  <c:v>2.890994825687047E-3</c:v>
                </c:pt>
                <c:pt idx="3">
                  <c:v>1.9541506954099982E-3</c:v>
                </c:pt>
                <c:pt idx="4">
                  <c:v>1.3464239947560362E-3</c:v>
                </c:pt>
                <c:pt idx="5">
                  <c:v>5.2724692975607767E-4</c:v>
                </c:pt>
                <c:pt idx="6">
                  <c:v>2.1166432461723565E-3</c:v>
                </c:pt>
                <c:pt idx="7">
                  <c:v>2.6586622734761116E-3</c:v>
                </c:pt>
                <c:pt idx="8">
                  <c:v>1.9236851095674246E-3</c:v>
                </c:pt>
                <c:pt idx="9">
                  <c:v>3.1112136159957833E-3</c:v>
                </c:pt>
                <c:pt idx="10">
                  <c:v>2.1390274019777063E-3</c:v>
                </c:pt>
              </c:numCache>
            </c:numRef>
          </c:val>
          <c:extLst>
            <c:ext xmlns:c16="http://schemas.microsoft.com/office/drawing/2014/chart" uri="{C3380CC4-5D6E-409C-BE32-E72D297353CC}">
              <c16:uniqueId val="{0000000C-9428-45F7-80B2-73E0D9D572DC}"/>
            </c:ext>
          </c:extLst>
        </c:ser>
        <c:ser>
          <c:idx val="13"/>
          <c:order val="13"/>
          <c:tx>
            <c:strRef>
              <c:f>'Background Data'!$AC$295</c:f>
              <c:strCache>
                <c:ptCount val="1"/>
                <c:pt idx="0">
                  <c:v> Inter-City Buses </c:v>
                </c:pt>
              </c:strCache>
            </c:strRef>
          </c:tx>
          <c:spPr>
            <a:solidFill>
              <a:schemeClr val="accent2">
                <a:lumMod val="80000"/>
                <a:lumOff val="2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Data'!$AD$295:$AN$295</c:f>
              <c:numCache>
                <c:formatCode>0.00%</c:formatCode>
                <c:ptCount val="11"/>
                <c:pt idx="0">
                  <c:v>8.3780577976287488E-4</c:v>
                </c:pt>
                <c:pt idx="1">
                  <c:v>8.4974153048854436E-4</c:v>
                </c:pt>
                <c:pt idx="2">
                  <c:v>7.4076483623260463E-4</c:v>
                </c:pt>
                <c:pt idx="3">
                  <c:v>8.8755108336890335E-4</c:v>
                </c:pt>
                <c:pt idx="4">
                  <c:v>8.1122090709881574E-4</c:v>
                </c:pt>
                <c:pt idx="5">
                  <c:v>7.7649167351206039E-4</c:v>
                </c:pt>
                <c:pt idx="6">
                  <c:v>7.0908990714462839E-4</c:v>
                </c:pt>
                <c:pt idx="7">
                  <c:v>7.8758484349258635E-4</c:v>
                </c:pt>
                <c:pt idx="8">
                  <c:v>1.0110136816932115E-3</c:v>
                </c:pt>
                <c:pt idx="9">
                  <c:v>1.857495199005912E-3</c:v>
                </c:pt>
                <c:pt idx="10">
                  <c:v>2.747344185536536E-4</c:v>
                </c:pt>
              </c:numCache>
            </c:numRef>
          </c:val>
          <c:extLst>
            <c:ext xmlns:c16="http://schemas.microsoft.com/office/drawing/2014/chart" uri="{C3380CC4-5D6E-409C-BE32-E72D297353CC}">
              <c16:uniqueId val="{0000000D-9428-45F7-80B2-73E0D9D572DC}"/>
            </c:ext>
          </c:extLst>
        </c:ser>
        <c:ser>
          <c:idx val="14"/>
          <c:order val="14"/>
          <c:tx>
            <c:strRef>
              <c:f>'Background Data'!$AC$296</c:f>
              <c:strCache>
                <c:ptCount val="1"/>
                <c:pt idx="0">
                  <c:v> Passenger Rail </c:v>
                </c:pt>
              </c:strCache>
            </c:strRef>
          </c:tx>
          <c:spPr>
            <a:solidFill>
              <a:schemeClr val="accent3">
                <a:lumMod val="80000"/>
                <a:lumOff val="2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Data'!$AD$296:$AN$296</c:f>
              <c:numCache>
                <c:formatCode>0.00%</c:formatCode>
                <c:ptCount val="11"/>
                <c:pt idx="0">
                  <c:v>7.9992660796443841E-4</c:v>
                </c:pt>
                <c:pt idx="1">
                  <c:v>4.9084864161827153E-4</c:v>
                </c:pt>
                <c:pt idx="2">
                  <c:v>3.3711880298531064E-4</c:v>
                </c:pt>
                <c:pt idx="3">
                  <c:v>1.2258381476018816E-3</c:v>
                </c:pt>
                <c:pt idx="4">
                  <c:v>6.9351864688602007E-4</c:v>
                </c:pt>
                <c:pt idx="5">
                  <c:v>2.7462950013917085E-3</c:v>
                </c:pt>
                <c:pt idx="6">
                  <c:v>2.4436025312502868E-3</c:v>
                </c:pt>
                <c:pt idx="7">
                  <c:v>6.2351235584843481E-4</c:v>
                </c:pt>
                <c:pt idx="8">
                  <c:v>0</c:v>
                </c:pt>
                <c:pt idx="9">
                  <c:v>8.4723425085664805E-4</c:v>
                </c:pt>
                <c:pt idx="10">
                  <c:v>0</c:v>
                </c:pt>
              </c:numCache>
            </c:numRef>
          </c:val>
          <c:extLst>
            <c:ext xmlns:c16="http://schemas.microsoft.com/office/drawing/2014/chart" uri="{C3380CC4-5D6E-409C-BE32-E72D297353CC}">
              <c16:uniqueId val="{0000000E-9428-45F7-80B2-73E0D9D572DC}"/>
            </c:ext>
          </c:extLst>
        </c:ser>
        <c:dLbls>
          <c:showLegendKey val="0"/>
          <c:showVal val="0"/>
          <c:showCatName val="0"/>
          <c:showSerName val="0"/>
          <c:showPercent val="0"/>
          <c:showBubbleSize val="0"/>
        </c:dLbls>
        <c:gapWidth val="55"/>
        <c:overlap val="100"/>
        <c:axId val="1628538528"/>
        <c:axId val="1934792896"/>
      </c:barChart>
      <c:catAx>
        <c:axId val="1628538528"/>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34792896"/>
        <c:crosses val="autoZero"/>
        <c:auto val="1"/>
        <c:lblAlgn val="ctr"/>
        <c:lblOffset val="100"/>
        <c:noMultiLvlLbl val="0"/>
      </c:catAx>
      <c:valAx>
        <c:axId val="193479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share (%)</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2853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sz="1260" b="0" i="0" u="none" strike="noStrike" kern="1200" spc="0" baseline="0">
                <a:solidFill>
                  <a:sysClr val="windowText" lastClr="000000">
                    <a:lumMod val="65000"/>
                    <a:lumOff val="35000"/>
                  </a:sysClr>
                </a:solidFill>
              </a:rPr>
              <a:t>Energy use by transportation mode and province in 2019</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'Background Data'!$AC$266</c:f>
              <c:strCache>
                <c:ptCount val="1"/>
                <c:pt idx="0">
                  <c:v> Cars </c:v>
                </c:pt>
              </c:strCache>
            </c:strRef>
          </c:tx>
          <c:spPr>
            <a:solidFill>
              <a:schemeClr val="accent1"/>
            </a:solidFill>
            <a:ln>
              <a:noFill/>
            </a:ln>
            <a:effectLst/>
          </c:spPr>
          <c:invertIfNegative val="0"/>
          <c:cat>
            <c:strRef>
              <c:f>'Background Data'!$AF$264:$AH$264</c:f>
              <c:strCache>
                <c:ptCount val="3"/>
                <c:pt idx="0">
                  <c:v> QC </c:v>
                </c:pt>
                <c:pt idx="1">
                  <c:v> AB </c:v>
                </c:pt>
                <c:pt idx="2">
                  <c:v> BC &amp; T </c:v>
                </c:pt>
              </c:strCache>
            </c:strRef>
          </c:cat>
          <c:val>
            <c:numRef>
              <c:f>'Background Data'!$AF$266:$AH$266</c:f>
              <c:numCache>
                <c:formatCode>_(* #,##0.00_);_(* \(#,##0.00\);_(* "-"??_);_(@_)</c:formatCode>
                <c:ptCount val="3"/>
                <c:pt idx="0">
                  <c:v>128.92182600000001</c:v>
                </c:pt>
                <c:pt idx="1">
                  <c:v>40.891452999999998</c:v>
                </c:pt>
                <c:pt idx="2">
                  <c:v>53.944958</c:v>
                </c:pt>
              </c:numCache>
            </c:numRef>
          </c:val>
          <c:extLst>
            <c:ext xmlns:c16="http://schemas.microsoft.com/office/drawing/2014/chart" uri="{C3380CC4-5D6E-409C-BE32-E72D297353CC}">
              <c16:uniqueId val="{00000000-9C18-48CA-AF75-C2F124930CCE}"/>
            </c:ext>
          </c:extLst>
        </c:ser>
        <c:ser>
          <c:idx val="1"/>
          <c:order val="1"/>
          <c:tx>
            <c:strRef>
              <c:f>'Background Data'!$AC$267</c:f>
              <c:strCache>
                <c:ptCount val="1"/>
                <c:pt idx="0">
                  <c:v> Passenger Light Trucks </c:v>
                </c:pt>
              </c:strCache>
            </c:strRef>
          </c:tx>
          <c:spPr>
            <a:solidFill>
              <a:schemeClr val="accent2"/>
            </a:solidFill>
            <a:ln>
              <a:noFill/>
            </a:ln>
            <a:effectLst/>
          </c:spPr>
          <c:invertIfNegative val="0"/>
          <c:cat>
            <c:strRef>
              <c:f>'Background Data'!$AF$264:$AH$264</c:f>
              <c:strCache>
                <c:ptCount val="3"/>
                <c:pt idx="0">
                  <c:v> QC </c:v>
                </c:pt>
                <c:pt idx="1">
                  <c:v> AB </c:v>
                </c:pt>
                <c:pt idx="2">
                  <c:v> BC &amp; T </c:v>
                </c:pt>
              </c:strCache>
            </c:strRef>
          </c:cat>
          <c:val>
            <c:numRef>
              <c:f>'Background Data'!$AF$267:$AH$267</c:f>
              <c:numCache>
                <c:formatCode>_(* #,##0.00_);_(* \(#,##0.00\);_(* "-"??_);_(@_)</c:formatCode>
                <c:ptCount val="3"/>
                <c:pt idx="0">
                  <c:v>110.53612200000001</c:v>
                </c:pt>
                <c:pt idx="1">
                  <c:v>81.704438999999994</c:v>
                </c:pt>
                <c:pt idx="2">
                  <c:v>72.658223000000007</c:v>
                </c:pt>
              </c:numCache>
            </c:numRef>
          </c:val>
          <c:extLst>
            <c:ext xmlns:c16="http://schemas.microsoft.com/office/drawing/2014/chart" uri="{C3380CC4-5D6E-409C-BE32-E72D297353CC}">
              <c16:uniqueId val="{00000001-9C18-48CA-AF75-C2F124930CCE}"/>
            </c:ext>
          </c:extLst>
        </c:ser>
        <c:ser>
          <c:idx val="2"/>
          <c:order val="2"/>
          <c:tx>
            <c:strRef>
              <c:f>'Background Data'!$AC$268</c:f>
              <c:strCache>
                <c:ptCount val="1"/>
                <c:pt idx="0">
                  <c:v> Freight Light Trucks </c:v>
                </c:pt>
              </c:strCache>
            </c:strRef>
          </c:tx>
          <c:spPr>
            <a:solidFill>
              <a:schemeClr val="accent3"/>
            </a:solidFill>
            <a:ln>
              <a:noFill/>
            </a:ln>
            <a:effectLst/>
          </c:spPr>
          <c:invertIfNegative val="0"/>
          <c:cat>
            <c:strRef>
              <c:f>'Background Data'!$AF$264:$AH$264</c:f>
              <c:strCache>
                <c:ptCount val="3"/>
                <c:pt idx="0">
                  <c:v> QC </c:v>
                </c:pt>
                <c:pt idx="1">
                  <c:v> AB </c:v>
                </c:pt>
                <c:pt idx="2">
                  <c:v> BC &amp; T </c:v>
                </c:pt>
              </c:strCache>
            </c:strRef>
          </c:cat>
          <c:val>
            <c:numRef>
              <c:f>'Background Data'!$AF$268:$AH$268</c:f>
              <c:numCache>
                <c:formatCode>_(* #,##0.00_);_(* \(#,##0.00\);_(* "-"??_);_(@_)</c:formatCode>
                <c:ptCount val="3"/>
                <c:pt idx="0">
                  <c:v>43.532196999999996</c:v>
                </c:pt>
                <c:pt idx="1">
                  <c:v>46.443370999999999</c:v>
                </c:pt>
                <c:pt idx="2">
                  <c:v>29.048418000000002</c:v>
                </c:pt>
              </c:numCache>
            </c:numRef>
          </c:val>
          <c:extLst>
            <c:ext xmlns:c16="http://schemas.microsoft.com/office/drawing/2014/chart" uri="{C3380CC4-5D6E-409C-BE32-E72D297353CC}">
              <c16:uniqueId val="{00000002-9C18-48CA-AF75-C2F124930CCE}"/>
            </c:ext>
          </c:extLst>
        </c:ser>
        <c:ser>
          <c:idx val="3"/>
          <c:order val="3"/>
          <c:tx>
            <c:strRef>
              <c:f>'Background Data'!$AC$269</c:f>
              <c:strCache>
                <c:ptCount val="1"/>
                <c:pt idx="0">
                  <c:v> Medium Trucks </c:v>
                </c:pt>
              </c:strCache>
            </c:strRef>
          </c:tx>
          <c:spPr>
            <a:solidFill>
              <a:schemeClr val="accent4"/>
            </a:solidFill>
            <a:ln>
              <a:noFill/>
            </a:ln>
            <a:effectLst/>
          </c:spPr>
          <c:invertIfNegative val="0"/>
          <c:cat>
            <c:strRef>
              <c:f>'Background Data'!$AF$264:$AH$264</c:f>
              <c:strCache>
                <c:ptCount val="3"/>
                <c:pt idx="0">
                  <c:v> QC </c:v>
                </c:pt>
                <c:pt idx="1">
                  <c:v> AB </c:v>
                </c:pt>
                <c:pt idx="2">
                  <c:v> BC &amp; T </c:v>
                </c:pt>
              </c:strCache>
            </c:strRef>
          </c:cat>
          <c:val>
            <c:numRef>
              <c:f>'Background Data'!$AF$269:$AH$269</c:f>
              <c:numCache>
                <c:formatCode>_(* #,##0.00_);_(* \(#,##0.00\);_(* "-"??_);_(@_)</c:formatCode>
                <c:ptCount val="3"/>
                <c:pt idx="0">
                  <c:v>36.620252000000001</c:v>
                </c:pt>
                <c:pt idx="1">
                  <c:v>97.129846999999998</c:v>
                </c:pt>
                <c:pt idx="2">
                  <c:v>67.707296999999997</c:v>
                </c:pt>
              </c:numCache>
            </c:numRef>
          </c:val>
          <c:extLst>
            <c:ext xmlns:c16="http://schemas.microsoft.com/office/drawing/2014/chart" uri="{C3380CC4-5D6E-409C-BE32-E72D297353CC}">
              <c16:uniqueId val="{00000003-9C18-48CA-AF75-C2F124930CCE}"/>
            </c:ext>
          </c:extLst>
        </c:ser>
        <c:ser>
          <c:idx val="4"/>
          <c:order val="4"/>
          <c:tx>
            <c:strRef>
              <c:f>'Background Data'!$AC$270</c:f>
              <c:strCache>
                <c:ptCount val="1"/>
                <c:pt idx="0">
                  <c:v> Heavy Trucks </c:v>
                </c:pt>
              </c:strCache>
            </c:strRef>
          </c:tx>
          <c:spPr>
            <a:solidFill>
              <a:schemeClr val="accent5"/>
            </a:solidFill>
            <a:ln>
              <a:noFill/>
            </a:ln>
            <a:effectLst/>
          </c:spPr>
          <c:invertIfNegative val="0"/>
          <c:cat>
            <c:strRef>
              <c:f>'Background Data'!$AF$264:$AH$264</c:f>
              <c:strCache>
                <c:ptCount val="3"/>
                <c:pt idx="0">
                  <c:v> QC </c:v>
                </c:pt>
                <c:pt idx="1">
                  <c:v> AB </c:v>
                </c:pt>
                <c:pt idx="2">
                  <c:v> BC &amp; T </c:v>
                </c:pt>
              </c:strCache>
            </c:strRef>
          </c:cat>
          <c:val>
            <c:numRef>
              <c:f>'Background Data'!$AF$270:$AH$270</c:f>
              <c:numCache>
                <c:formatCode>_(* #,##0.00_);_(* \(#,##0.00\);_(* "-"??_);_(@_)</c:formatCode>
                <c:ptCount val="3"/>
                <c:pt idx="0">
                  <c:v>91.149905000000004</c:v>
                </c:pt>
                <c:pt idx="1">
                  <c:v>116.970714</c:v>
                </c:pt>
                <c:pt idx="2">
                  <c:v>44.528669999999998</c:v>
                </c:pt>
              </c:numCache>
            </c:numRef>
          </c:val>
          <c:extLst>
            <c:ext xmlns:c16="http://schemas.microsoft.com/office/drawing/2014/chart" uri="{C3380CC4-5D6E-409C-BE32-E72D297353CC}">
              <c16:uniqueId val="{00000004-9C18-48CA-AF75-C2F124930CCE}"/>
            </c:ext>
          </c:extLst>
        </c:ser>
        <c:ser>
          <c:idx val="5"/>
          <c:order val="5"/>
          <c:tx>
            <c:strRef>
              <c:f>'Background Data'!$AC$271</c:f>
              <c:strCache>
                <c:ptCount val="1"/>
                <c:pt idx="0">
                  <c:v> Motorcycles </c:v>
                </c:pt>
              </c:strCache>
            </c:strRef>
          </c:tx>
          <c:spPr>
            <a:solidFill>
              <a:schemeClr val="accent6"/>
            </a:solidFill>
            <a:ln>
              <a:noFill/>
            </a:ln>
            <a:effectLst/>
          </c:spPr>
          <c:invertIfNegative val="0"/>
          <c:cat>
            <c:strRef>
              <c:f>'Background Data'!$AF$264:$AH$264</c:f>
              <c:strCache>
                <c:ptCount val="3"/>
                <c:pt idx="0">
                  <c:v> QC </c:v>
                </c:pt>
                <c:pt idx="1">
                  <c:v> AB </c:v>
                </c:pt>
                <c:pt idx="2">
                  <c:v> BC &amp; T </c:v>
                </c:pt>
              </c:strCache>
            </c:strRef>
          </c:cat>
          <c:val>
            <c:numRef>
              <c:f>'Background Data'!$AF$271:$AH$271</c:f>
              <c:numCache>
                <c:formatCode>_(* #,##0.00_);_(* \(#,##0.00\);_(* "-"??_);_(@_)</c:formatCode>
                <c:ptCount val="3"/>
                <c:pt idx="0">
                  <c:v>1.631027</c:v>
                </c:pt>
                <c:pt idx="1">
                  <c:v>0.924794</c:v>
                </c:pt>
                <c:pt idx="2">
                  <c:v>0.568164</c:v>
                </c:pt>
              </c:numCache>
            </c:numRef>
          </c:val>
          <c:extLst>
            <c:ext xmlns:c16="http://schemas.microsoft.com/office/drawing/2014/chart" uri="{C3380CC4-5D6E-409C-BE32-E72D297353CC}">
              <c16:uniqueId val="{00000005-9C18-48CA-AF75-C2F124930CCE}"/>
            </c:ext>
          </c:extLst>
        </c:ser>
        <c:ser>
          <c:idx val="6"/>
          <c:order val="6"/>
          <c:tx>
            <c:strRef>
              <c:f>'Background Data'!$AC$272</c:f>
              <c:strCache>
                <c:ptCount val="1"/>
                <c:pt idx="0">
                  <c:v> School Buses </c:v>
                </c:pt>
              </c:strCache>
            </c:strRef>
          </c:tx>
          <c:spPr>
            <a:solidFill>
              <a:schemeClr val="accent1">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Data'!$AF$272:$AH$272</c:f>
              <c:numCache>
                <c:formatCode>_(* #,##0.00_);_(* \(#,##0.00\);_(* "-"??_);_(@_)</c:formatCode>
                <c:ptCount val="3"/>
                <c:pt idx="0">
                  <c:v>2.431168</c:v>
                </c:pt>
                <c:pt idx="1">
                  <c:v>2.560476</c:v>
                </c:pt>
                <c:pt idx="2">
                  <c:v>1.8392219999999999</c:v>
                </c:pt>
              </c:numCache>
            </c:numRef>
          </c:val>
          <c:extLst>
            <c:ext xmlns:c16="http://schemas.microsoft.com/office/drawing/2014/chart" uri="{C3380CC4-5D6E-409C-BE32-E72D297353CC}">
              <c16:uniqueId val="{00000006-9C18-48CA-AF75-C2F124930CCE}"/>
            </c:ext>
          </c:extLst>
        </c:ser>
        <c:ser>
          <c:idx val="7"/>
          <c:order val="7"/>
          <c:tx>
            <c:strRef>
              <c:f>'Background Data'!$AC$273</c:f>
              <c:strCache>
                <c:ptCount val="1"/>
                <c:pt idx="0">
                  <c:v> Urban Transit </c:v>
                </c:pt>
              </c:strCache>
            </c:strRef>
          </c:tx>
          <c:spPr>
            <a:solidFill>
              <a:schemeClr val="accent2">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Data'!$AF$273:$AH$273</c:f>
              <c:numCache>
                <c:formatCode>_(* #,##0.00_);_(* \(#,##0.00\);_(* "-"??_);_(@_)</c:formatCode>
                <c:ptCount val="3"/>
                <c:pt idx="0">
                  <c:v>8.0895799999999998</c:v>
                </c:pt>
                <c:pt idx="1">
                  <c:v>6.9768759999999999</c:v>
                </c:pt>
                <c:pt idx="2">
                  <c:v>5.9737309999999999</c:v>
                </c:pt>
              </c:numCache>
            </c:numRef>
          </c:val>
          <c:extLst>
            <c:ext xmlns:c16="http://schemas.microsoft.com/office/drawing/2014/chart" uri="{C3380CC4-5D6E-409C-BE32-E72D297353CC}">
              <c16:uniqueId val="{00000007-9C18-48CA-AF75-C2F124930CCE}"/>
            </c:ext>
          </c:extLst>
        </c:ser>
        <c:ser>
          <c:idx val="8"/>
          <c:order val="8"/>
          <c:tx>
            <c:strRef>
              <c:f>'Background Data'!$AC$274</c:f>
              <c:strCache>
                <c:ptCount val="1"/>
                <c:pt idx="0">
                  <c:v> Inter-City Buses </c:v>
                </c:pt>
              </c:strCache>
            </c:strRef>
          </c:tx>
          <c:spPr>
            <a:solidFill>
              <a:schemeClr val="accent3">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Data'!$AF$274:$AH$274</c:f>
              <c:numCache>
                <c:formatCode>_(* #,##0.00_);_(* \(#,##0.00\);_(* "-"??_);_(@_)</c:formatCode>
                <c:ptCount val="3"/>
                <c:pt idx="0">
                  <c:v>0.41792099999999999</c:v>
                </c:pt>
                <c:pt idx="1">
                  <c:v>0.42003000000000001</c:v>
                </c:pt>
                <c:pt idx="2">
                  <c:v>0.34231899999999998</c:v>
                </c:pt>
              </c:numCache>
            </c:numRef>
          </c:val>
          <c:extLst>
            <c:ext xmlns:c16="http://schemas.microsoft.com/office/drawing/2014/chart" uri="{C3380CC4-5D6E-409C-BE32-E72D297353CC}">
              <c16:uniqueId val="{00000008-9C18-48CA-AF75-C2F124930CCE}"/>
            </c:ext>
          </c:extLst>
        </c:ser>
        <c:ser>
          <c:idx val="9"/>
          <c:order val="9"/>
          <c:tx>
            <c:strRef>
              <c:f>'Background Data'!$AC$275</c:f>
              <c:strCache>
                <c:ptCount val="1"/>
                <c:pt idx="0">
                  <c:v> Passenger Air </c:v>
                </c:pt>
              </c:strCache>
            </c:strRef>
          </c:tx>
          <c:spPr>
            <a:solidFill>
              <a:schemeClr val="accent4">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Data'!$AF$275:$AH$275</c:f>
              <c:numCache>
                <c:formatCode>_(* #,##0.00_);_(* \(#,##0.00\);_(* "-"??_);_(@_)</c:formatCode>
                <c:ptCount val="3"/>
                <c:pt idx="0">
                  <c:v>85.715624000000005</c:v>
                </c:pt>
                <c:pt idx="1">
                  <c:v>40.076287999999998</c:v>
                </c:pt>
                <c:pt idx="2">
                  <c:v>80.253975999999994</c:v>
                </c:pt>
              </c:numCache>
            </c:numRef>
          </c:val>
          <c:extLst>
            <c:ext xmlns:c16="http://schemas.microsoft.com/office/drawing/2014/chart" uri="{C3380CC4-5D6E-409C-BE32-E72D297353CC}">
              <c16:uniqueId val="{00000009-9C18-48CA-AF75-C2F124930CCE}"/>
            </c:ext>
          </c:extLst>
        </c:ser>
        <c:ser>
          <c:idx val="10"/>
          <c:order val="10"/>
          <c:tx>
            <c:strRef>
              <c:f>'Background Data'!$AC$276</c:f>
              <c:strCache>
                <c:ptCount val="1"/>
                <c:pt idx="0">
                  <c:v> Freight Air </c:v>
                </c:pt>
              </c:strCache>
            </c:strRef>
          </c:tx>
          <c:spPr>
            <a:solidFill>
              <a:schemeClr val="accent5">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Data'!$AF$276:$AH$276</c:f>
              <c:numCache>
                <c:formatCode>_(* #,##0.00_);_(* \(#,##0.00\);_(* "-"??_);_(@_)</c:formatCode>
                <c:ptCount val="3"/>
                <c:pt idx="0">
                  <c:v>2.0183759999999999</c:v>
                </c:pt>
                <c:pt idx="1">
                  <c:v>0.86371200000000004</c:v>
                </c:pt>
                <c:pt idx="2">
                  <c:v>1.869024</c:v>
                </c:pt>
              </c:numCache>
            </c:numRef>
          </c:val>
          <c:extLst>
            <c:ext xmlns:c16="http://schemas.microsoft.com/office/drawing/2014/chart" uri="{C3380CC4-5D6E-409C-BE32-E72D297353CC}">
              <c16:uniqueId val="{0000000A-9C18-48CA-AF75-C2F124930CCE}"/>
            </c:ext>
          </c:extLst>
        </c:ser>
        <c:ser>
          <c:idx val="11"/>
          <c:order val="11"/>
          <c:tx>
            <c:strRef>
              <c:f>'Background Data'!$AC$277</c:f>
              <c:strCache>
                <c:ptCount val="1"/>
                <c:pt idx="0">
                  <c:v> Passenger Rail </c:v>
                </c:pt>
              </c:strCache>
            </c:strRef>
          </c:tx>
          <c:spPr>
            <a:solidFill>
              <a:schemeClr val="accent6">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Data'!$AF$277:$AH$277</c:f>
              <c:numCache>
                <c:formatCode>_(* #,##0.00_);_(* \(#,##0.00\);_(* "-"??_);_(@_)</c:formatCode>
                <c:ptCount val="3"/>
                <c:pt idx="0">
                  <c:v>0.190194</c:v>
                </c:pt>
                <c:pt idx="1">
                  <c:v>0.58012300000000006</c:v>
                </c:pt>
                <c:pt idx="2">
                  <c:v>0.29265099999999999</c:v>
                </c:pt>
              </c:numCache>
            </c:numRef>
          </c:val>
          <c:extLst>
            <c:ext xmlns:c16="http://schemas.microsoft.com/office/drawing/2014/chart" uri="{C3380CC4-5D6E-409C-BE32-E72D297353CC}">
              <c16:uniqueId val="{0000000B-9C18-48CA-AF75-C2F124930CCE}"/>
            </c:ext>
          </c:extLst>
        </c:ser>
        <c:ser>
          <c:idx val="12"/>
          <c:order val="12"/>
          <c:tx>
            <c:strRef>
              <c:f>'Background Data'!$AC$278</c:f>
              <c:strCache>
                <c:ptCount val="1"/>
                <c:pt idx="0">
                  <c:v> Freight Rail </c:v>
                </c:pt>
              </c:strCache>
            </c:strRef>
          </c:tx>
          <c:spPr>
            <a:solidFill>
              <a:schemeClr val="accent1">
                <a:lumMod val="80000"/>
                <a:lumOff val="20000"/>
              </a:schemeClr>
            </a:solidFill>
            <a:ln>
              <a:noFill/>
            </a:ln>
            <a:effectLst/>
          </c:spPr>
          <c:invertIfNegative val="0"/>
          <c:cat>
            <c:strRef>
              <c:f>'Background Data'!$AF$264:$AH$264</c:f>
              <c:strCache>
                <c:ptCount val="3"/>
                <c:pt idx="0">
                  <c:v> QC </c:v>
                </c:pt>
                <c:pt idx="1">
                  <c:v> AB </c:v>
                </c:pt>
                <c:pt idx="2">
                  <c:v> BC &amp; T </c:v>
                </c:pt>
              </c:strCache>
            </c:strRef>
          </c:cat>
          <c:val>
            <c:numRef>
              <c:f>'Background Data'!$AF$278:$AH$278</c:f>
              <c:numCache>
                <c:formatCode>_(* #,##0.00_);_(* \(#,##0.00\);_(* "-"??_);_(@_)</c:formatCode>
                <c:ptCount val="3"/>
                <c:pt idx="0">
                  <c:v>7.9628059999999996</c:v>
                </c:pt>
                <c:pt idx="1">
                  <c:v>24.287877000000002</c:v>
                </c:pt>
                <c:pt idx="2">
                  <c:v>12.252349000000001</c:v>
                </c:pt>
              </c:numCache>
            </c:numRef>
          </c:val>
          <c:extLst>
            <c:ext xmlns:c16="http://schemas.microsoft.com/office/drawing/2014/chart" uri="{C3380CC4-5D6E-409C-BE32-E72D297353CC}">
              <c16:uniqueId val="{0000000C-9C18-48CA-AF75-C2F124930CCE}"/>
            </c:ext>
          </c:extLst>
        </c:ser>
        <c:ser>
          <c:idx val="13"/>
          <c:order val="13"/>
          <c:tx>
            <c:strRef>
              <c:f>'Background Data'!$AC$279</c:f>
              <c:strCache>
                <c:ptCount val="1"/>
                <c:pt idx="0">
                  <c:v> Marine </c:v>
                </c:pt>
              </c:strCache>
            </c:strRef>
          </c:tx>
          <c:spPr>
            <a:solidFill>
              <a:schemeClr val="accent2">
                <a:lumMod val="80000"/>
                <a:lumOff val="20000"/>
              </a:schemeClr>
            </a:solidFill>
            <a:ln>
              <a:noFill/>
            </a:ln>
            <a:effectLst/>
          </c:spPr>
          <c:invertIfNegative val="0"/>
          <c:cat>
            <c:strRef>
              <c:f>'Background Data'!$AF$264:$AH$264</c:f>
              <c:strCache>
                <c:ptCount val="3"/>
                <c:pt idx="0">
                  <c:v> QC </c:v>
                </c:pt>
                <c:pt idx="1">
                  <c:v> AB </c:v>
                </c:pt>
                <c:pt idx="2">
                  <c:v> BC &amp; T </c:v>
                </c:pt>
              </c:strCache>
            </c:strRef>
          </c:cat>
          <c:val>
            <c:numRef>
              <c:f>'Background Data'!$AF$279:$AH$279</c:f>
              <c:numCache>
                <c:formatCode>_(* #,##0.00_);_(* \(#,##0.00\);_(* "-"??_);_(@_)</c:formatCode>
                <c:ptCount val="3"/>
                <c:pt idx="0">
                  <c:v>19.358000000000001</c:v>
                </c:pt>
                <c:pt idx="1">
                  <c:v>4.5999999999999999E-2</c:v>
                </c:pt>
                <c:pt idx="2">
                  <c:v>32.371000000000002</c:v>
                </c:pt>
              </c:numCache>
            </c:numRef>
          </c:val>
          <c:extLst>
            <c:ext xmlns:c16="http://schemas.microsoft.com/office/drawing/2014/chart" uri="{C3380CC4-5D6E-409C-BE32-E72D297353CC}">
              <c16:uniqueId val="{0000000D-9C18-48CA-AF75-C2F124930CCE}"/>
            </c:ext>
          </c:extLst>
        </c:ser>
        <c:ser>
          <c:idx val="14"/>
          <c:order val="14"/>
          <c:tx>
            <c:strRef>
              <c:f>'Background Data'!$AC$280</c:f>
              <c:strCache>
                <c:ptCount val="1"/>
                <c:pt idx="0">
                  <c:v> Off-Road* </c:v>
                </c:pt>
              </c:strCache>
            </c:strRef>
          </c:tx>
          <c:spPr>
            <a:solidFill>
              <a:schemeClr val="accent3">
                <a:lumMod val="80000"/>
                <a:lumOff val="20000"/>
              </a:schemeClr>
            </a:solidFill>
            <a:ln>
              <a:noFill/>
            </a:ln>
            <a:effectLst/>
          </c:spPr>
          <c:invertIfNegative val="0"/>
          <c:cat>
            <c:strRef>
              <c:f>'Background Data'!$AF$264:$AH$264</c:f>
              <c:strCache>
                <c:ptCount val="3"/>
                <c:pt idx="0">
                  <c:v> QC </c:v>
                </c:pt>
                <c:pt idx="1">
                  <c:v> AB </c:v>
                </c:pt>
                <c:pt idx="2">
                  <c:v> BC &amp; T </c:v>
                </c:pt>
              </c:strCache>
            </c:strRef>
          </c:cat>
          <c:val>
            <c:numRef>
              <c:f>'Background Data'!$AF$280:$AH$280</c:f>
              <c:numCache>
                <c:formatCode>_(* #,##0.00_);_(* \(#,##0.00\);_(* "-"??_);_(@_)</c:formatCode>
                <c:ptCount val="3"/>
                <c:pt idx="0">
                  <c:v>25.6</c:v>
                </c:pt>
                <c:pt idx="1">
                  <c:v>13.37</c:v>
                </c:pt>
                <c:pt idx="2">
                  <c:v>18.329999999999998</c:v>
                </c:pt>
              </c:numCache>
            </c:numRef>
          </c:val>
          <c:extLst>
            <c:ext xmlns:c16="http://schemas.microsoft.com/office/drawing/2014/chart" uri="{C3380CC4-5D6E-409C-BE32-E72D297353CC}">
              <c16:uniqueId val="{0000000E-9C18-48CA-AF75-C2F124930CCE}"/>
            </c:ext>
          </c:extLst>
        </c:ser>
        <c:dLbls>
          <c:showLegendKey val="0"/>
          <c:showVal val="0"/>
          <c:showCatName val="0"/>
          <c:showSerName val="0"/>
          <c:showPercent val="0"/>
          <c:showBubbleSize val="0"/>
        </c:dLbls>
        <c:gapWidth val="50"/>
        <c:overlap val="100"/>
        <c:axId val="1166807184"/>
        <c:axId val="1491353968"/>
      </c:barChart>
      <c:catAx>
        <c:axId val="116680718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91353968"/>
        <c:crosses val="autoZero"/>
        <c:auto val="1"/>
        <c:lblAlgn val="ctr"/>
        <c:lblOffset val="100"/>
        <c:noMultiLvlLbl val="0"/>
      </c:catAx>
      <c:valAx>
        <c:axId val="149135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(PJ)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6680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sz="1260" b="0" i="0" u="none" strike="noStrike" kern="1200" spc="0" baseline="0">
                <a:solidFill>
                  <a:sysClr val="windowText" lastClr="000000">
                    <a:lumMod val="65000"/>
                    <a:lumOff val="35000"/>
                  </a:sysClr>
                </a:solidFill>
              </a:rPr>
              <a:t>Energy use by transportation mode and province in 2019</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'Background Data'!$AC$266</c:f>
              <c:strCache>
                <c:ptCount val="1"/>
                <c:pt idx="0">
                  <c:v> Cars </c:v>
                </c:pt>
              </c:strCache>
            </c:strRef>
          </c:tx>
          <c:spPr>
            <a:solidFill>
              <a:schemeClr val="accent1"/>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Data'!$AI$266:$AN$266</c:f>
              <c:numCache>
                <c:formatCode>_(* #,##0.00_);_(* \(#,##0.00\);_(* "-"??_);_(@_)</c:formatCode>
                <c:ptCount val="6"/>
                <c:pt idx="0">
                  <c:v>15.969873</c:v>
                </c:pt>
                <c:pt idx="1">
                  <c:v>15.367122999999999</c:v>
                </c:pt>
                <c:pt idx="2">
                  <c:v>15.238616</c:v>
                </c:pt>
                <c:pt idx="3">
                  <c:v>7.4787999999999997</c:v>
                </c:pt>
                <c:pt idx="4">
                  <c:v>10.681227</c:v>
                </c:pt>
                <c:pt idx="5">
                  <c:v>2.556743</c:v>
                </c:pt>
              </c:numCache>
            </c:numRef>
          </c:val>
          <c:extLst>
            <c:ext xmlns:c16="http://schemas.microsoft.com/office/drawing/2014/chart" uri="{C3380CC4-5D6E-409C-BE32-E72D297353CC}">
              <c16:uniqueId val="{00000000-413F-4E65-AB94-9C0D77B6CD2D}"/>
            </c:ext>
          </c:extLst>
        </c:ser>
        <c:ser>
          <c:idx val="1"/>
          <c:order val="1"/>
          <c:tx>
            <c:strRef>
              <c:f>'Background Data'!$AC$267</c:f>
              <c:strCache>
                <c:ptCount val="1"/>
                <c:pt idx="0">
                  <c:v> Passenger Light Trucks </c:v>
                </c:pt>
              </c:strCache>
            </c:strRef>
          </c:tx>
          <c:spPr>
            <a:solidFill>
              <a:schemeClr val="accent2"/>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Data'!$AI$267:$AN$267</c:f>
              <c:numCache>
                <c:formatCode>_(* #,##0.00_);_(* \(#,##0.00\);_(* "-"??_);_(@_)</c:formatCode>
                <c:ptCount val="6"/>
                <c:pt idx="0">
                  <c:v>29.79335</c:v>
                </c:pt>
                <c:pt idx="1">
                  <c:v>30.069115</c:v>
                </c:pt>
                <c:pt idx="2">
                  <c:v>20.364955999999999</c:v>
                </c:pt>
                <c:pt idx="3">
                  <c:v>14.443417999999999</c:v>
                </c:pt>
                <c:pt idx="4">
                  <c:v>15.651263999999999</c:v>
                </c:pt>
                <c:pt idx="5">
                  <c:v>3.3125770000000001</c:v>
                </c:pt>
              </c:numCache>
            </c:numRef>
          </c:val>
          <c:extLst>
            <c:ext xmlns:c16="http://schemas.microsoft.com/office/drawing/2014/chart" uri="{C3380CC4-5D6E-409C-BE32-E72D297353CC}">
              <c16:uniqueId val="{00000001-413F-4E65-AB94-9C0D77B6CD2D}"/>
            </c:ext>
          </c:extLst>
        </c:ser>
        <c:ser>
          <c:idx val="2"/>
          <c:order val="2"/>
          <c:tx>
            <c:strRef>
              <c:f>'Background Data'!$AC$268</c:f>
              <c:strCache>
                <c:ptCount val="1"/>
                <c:pt idx="0">
                  <c:v> Freight Light Trucks </c:v>
                </c:pt>
              </c:strCache>
            </c:strRef>
          </c:tx>
          <c:spPr>
            <a:solidFill>
              <a:schemeClr val="accent3"/>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Data'!$AI$268:$AN$268</c:f>
              <c:numCache>
                <c:formatCode>_(* #,##0.00_);_(* \(#,##0.00\);_(* "-"??_);_(@_)</c:formatCode>
                <c:ptCount val="6"/>
                <c:pt idx="0">
                  <c:v>17.012062</c:v>
                </c:pt>
                <c:pt idx="1">
                  <c:v>10.013590000000001</c:v>
                </c:pt>
                <c:pt idx="2">
                  <c:v>5.7977439999999998</c:v>
                </c:pt>
                <c:pt idx="3">
                  <c:v>4.1126750000000003</c:v>
                </c:pt>
                <c:pt idx="4">
                  <c:v>4.4978619999999996</c:v>
                </c:pt>
                <c:pt idx="5">
                  <c:v>0.95781799999999995</c:v>
                </c:pt>
              </c:numCache>
            </c:numRef>
          </c:val>
          <c:extLst>
            <c:ext xmlns:c16="http://schemas.microsoft.com/office/drawing/2014/chart" uri="{C3380CC4-5D6E-409C-BE32-E72D297353CC}">
              <c16:uniqueId val="{00000002-413F-4E65-AB94-9C0D77B6CD2D}"/>
            </c:ext>
          </c:extLst>
        </c:ser>
        <c:ser>
          <c:idx val="3"/>
          <c:order val="3"/>
          <c:tx>
            <c:strRef>
              <c:f>'Background Data'!$AC$269</c:f>
              <c:strCache>
                <c:ptCount val="1"/>
                <c:pt idx="0">
                  <c:v> Medium Trucks </c:v>
                </c:pt>
              </c:strCache>
            </c:strRef>
          </c:tx>
          <c:spPr>
            <a:solidFill>
              <a:schemeClr val="accent4"/>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Data'!$AI$269:$AN$269</c:f>
              <c:numCache>
                <c:formatCode>_(* #,##0.00_);_(* \(#,##0.00\);_(* "-"??_);_(@_)</c:formatCode>
                <c:ptCount val="6"/>
                <c:pt idx="0">
                  <c:v>22.808747</c:v>
                </c:pt>
                <c:pt idx="1">
                  <c:v>5.9143420000000004</c:v>
                </c:pt>
                <c:pt idx="2">
                  <c:v>5.1733849999999997</c:v>
                </c:pt>
                <c:pt idx="3">
                  <c:v>3.9285320000000001</c:v>
                </c:pt>
                <c:pt idx="4">
                  <c:v>3.6166749999999999</c:v>
                </c:pt>
                <c:pt idx="5">
                  <c:v>0.80230699999999999</c:v>
                </c:pt>
              </c:numCache>
            </c:numRef>
          </c:val>
          <c:extLst>
            <c:ext xmlns:c16="http://schemas.microsoft.com/office/drawing/2014/chart" uri="{C3380CC4-5D6E-409C-BE32-E72D297353CC}">
              <c16:uniqueId val="{00000003-413F-4E65-AB94-9C0D77B6CD2D}"/>
            </c:ext>
          </c:extLst>
        </c:ser>
        <c:ser>
          <c:idx val="4"/>
          <c:order val="4"/>
          <c:tx>
            <c:strRef>
              <c:f>'Background Data'!$AC$270</c:f>
              <c:strCache>
                <c:ptCount val="1"/>
                <c:pt idx="0">
                  <c:v> Heavy Trucks </c:v>
                </c:pt>
              </c:strCache>
            </c:strRef>
          </c:tx>
          <c:spPr>
            <a:solidFill>
              <a:schemeClr val="accent5"/>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Data'!$AI$270:$AN$270</c:f>
              <c:numCache>
                <c:formatCode>_(* #,##0.00_);_(* \(#,##0.00\);_(* "-"??_);_(@_)</c:formatCode>
                <c:ptCount val="6"/>
                <c:pt idx="0">
                  <c:v>35.183593000000002</c:v>
                </c:pt>
                <c:pt idx="1">
                  <c:v>19.846063999999998</c:v>
                </c:pt>
                <c:pt idx="2">
                  <c:v>11.090538</c:v>
                </c:pt>
                <c:pt idx="3">
                  <c:v>8.434151</c:v>
                </c:pt>
                <c:pt idx="4">
                  <c:v>6.6552090000000002</c:v>
                </c:pt>
                <c:pt idx="5">
                  <c:v>1.279509</c:v>
                </c:pt>
              </c:numCache>
            </c:numRef>
          </c:val>
          <c:extLst>
            <c:ext xmlns:c16="http://schemas.microsoft.com/office/drawing/2014/chart" uri="{C3380CC4-5D6E-409C-BE32-E72D297353CC}">
              <c16:uniqueId val="{00000004-413F-4E65-AB94-9C0D77B6CD2D}"/>
            </c:ext>
          </c:extLst>
        </c:ser>
        <c:ser>
          <c:idx val="5"/>
          <c:order val="5"/>
          <c:tx>
            <c:strRef>
              <c:f>'Background Data'!$AC$271</c:f>
              <c:strCache>
                <c:ptCount val="1"/>
                <c:pt idx="0">
                  <c:v> Motorcycles </c:v>
                </c:pt>
              </c:strCache>
            </c:strRef>
          </c:tx>
          <c:spPr>
            <a:solidFill>
              <a:schemeClr val="accent6"/>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Data'!$AI$271:$AN$271</c:f>
              <c:numCache>
                <c:formatCode>_(* #,##0.00_);_(* \(#,##0.00\);_(* "-"??_);_(@_)</c:formatCode>
                <c:ptCount val="6"/>
                <c:pt idx="0">
                  <c:v>7.7663999999999997E-2</c:v>
                </c:pt>
                <c:pt idx="1">
                  <c:v>0.230458</c:v>
                </c:pt>
                <c:pt idx="2">
                  <c:v>0.20172599999999999</c:v>
                </c:pt>
                <c:pt idx="3">
                  <c:v>0.118247</c:v>
                </c:pt>
                <c:pt idx="4">
                  <c:v>0.16524900000000001</c:v>
                </c:pt>
                <c:pt idx="5">
                  <c:v>2.5770999999999999E-2</c:v>
                </c:pt>
              </c:numCache>
            </c:numRef>
          </c:val>
          <c:extLst>
            <c:ext xmlns:c16="http://schemas.microsoft.com/office/drawing/2014/chart" uri="{C3380CC4-5D6E-409C-BE32-E72D297353CC}">
              <c16:uniqueId val="{00000005-413F-4E65-AB94-9C0D77B6CD2D}"/>
            </c:ext>
          </c:extLst>
        </c:ser>
        <c:ser>
          <c:idx val="6"/>
          <c:order val="6"/>
          <c:tx>
            <c:strRef>
              <c:f>'Background Data'!$AC$272</c:f>
              <c:strCache>
                <c:ptCount val="1"/>
                <c:pt idx="0">
                  <c:v> School Buses </c:v>
                </c:pt>
              </c:strCache>
            </c:strRef>
          </c:tx>
          <c:spPr>
            <a:solidFill>
              <a:schemeClr val="accent1">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Data'!$AI$272:$AN$272</c:f>
              <c:numCache>
                <c:formatCode>_(* #,##0.00_);_(* \(#,##0.00\);_(* "-"??_);_(@_)</c:formatCode>
                <c:ptCount val="6"/>
                <c:pt idx="0">
                  <c:v>0.51991200000000004</c:v>
                </c:pt>
                <c:pt idx="1">
                  <c:v>0.31283899999999998</c:v>
                </c:pt>
                <c:pt idx="2">
                  <c:v>0.38728099999999999</c:v>
                </c:pt>
                <c:pt idx="3">
                  <c:v>0.29013499999999998</c:v>
                </c:pt>
                <c:pt idx="4">
                  <c:v>0.44609399999999999</c:v>
                </c:pt>
                <c:pt idx="5">
                  <c:v>1.6077000000000001E-2</c:v>
                </c:pt>
              </c:numCache>
            </c:numRef>
          </c:val>
          <c:extLst>
            <c:ext xmlns:c16="http://schemas.microsoft.com/office/drawing/2014/chart" uri="{C3380CC4-5D6E-409C-BE32-E72D297353CC}">
              <c16:uniqueId val="{00000006-413F-4E65-AB94-9C0D77B6CD2D}"/>
            </c:ext>
          </c:extLst>
        </c:ser>
        <c:ser>
          <c:idx val="7"/>
          <c:order val="7"/>
          <c:tx>
            <c:strRef>
              <c:f>'Background Data'!$AC$273</c:f>
              <c:strCache>
                <c:ptCount val="1"/>
                <c:pt idx="0">
                  <c:v> Urban Transit </c:v>
                </c:pt>
              </c:strCache>
            </c:strRef>
          </c:tx>
          <c:spPr>
            <a:solidFill>
              <a:schemeClr val="accent2">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Data'!$AI$273:$AN$273</c:f>
              <c:numCache>
                <c:formatCode>_(* #,##0.00_);_(* \(#,##0.00\);_(* "-"??_);_(@_)</c:formatCode>
                <c:ptCount val="6"/>
                <c:pt idx="0">
                  <c:v>1.5514209999999999</c:v>
                </c:pt>
                <c:pt idx="1">
                  <c:v>0.85526400000000002</c:v>
                </c:pt>
                <c:pt idx="2">
                  <c:v>0.92099600000000004</c:v>
                </c:pt>
                <c:pt idx="3">
                  <c:v>0.92689600000000005</c:v>
                </c:pt>
                <c:pt idx="4">
                  <c:v>1.375761</c:v>
                </c:pt>
                <c:pt idx="5">
                  <c:v>5.0887000000000002E-2</c:v>
                </c:pt>
              </c:numCache>
            </c:numRef>
          </c:val>
          <c:extLst>
            <c:ext xmlns:c16="http://schemas.microsoft.com/office/drawing/2014/chart" uri="{C3380CC4-5D6E-409C-BE32-E72D297353CC}">
              <c16:uniqueId val="{00000007-413F-4E65-AB94-9C0D77B6CD2D}"/>
            </c:ext>
          </c:extLst>
        </c:ser>
        <c:ser>
          <c:idx val="8"/>
          <c:order val="8"/>
          <c:tx>
            <c:strRef>
              <c:f>'Background Data'!$AC$274</c:f>
              <c:strCache>
                <c:ptCount val="1"/>
                <c:pt idx="0">
                  <c:v> Inter-City Buses </c:v>
                </c:pt>
              </c:strCache>
            </c:strRef>
          </c:tx>
          <c:spPr>
            <a:solidFill>
              <a:schemeClr val="accent3">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Data'!$AI$274:$AN$274</c:f>
              <c:numCache>
                <c:formatCode>_(* #,##0.00_);_(* \(#,##0.00\);_(* "-"??_);_(@_)</c:formatCode>
                <c:ptCount val="6"/>
                <c:pt idx="0">
                  <c:v>0.11437799999999999</c:v>
                </c:pt>
                <c:pt idx="1">
                  <c:v>7.7204999999999996E-2</c:v>
                </c:pt>
                <c:pt idx="2">
                  <c:v>5.9757999999999999E-2</c:v>
                </c:pt>
                <c:pt idx="3">
                  <c:v>6.2146E-2</c:v>
                </c:pt>
                <c:pt idx="4">
                  <c:v>9.8658999999999997E-2</c:v>
                </c:pt>
                <c:pt idx="5">
                  <c:v>3.31E-3</c:v>
                </c:pt>
              </c:numCache>
            </c:numRef>
          </c:val>
          <c:extLst>
            <c:ext xmlns:c16="http://schemas.microsoft.com/office/drawing/2014/chart" uri="{C3380CC4-5D6E-409C-BE32-E72D297353CC}">
              <c16:uniqueId val="{00000008-413F-4E65-AB94-9C0D77B6CD2D}"/>
            </c:ext>
          </c:extLst>
        </c:ser>
        <c:ser>
          <c:idx val="9"/>
          <c:order val="9"/>
          <c:tx>
            <c:strRef>
              <c:f>'Background Data'!$AC$275</c:f>
              <c:strCache>
                <c:ptCount val="1"/>
                <c:pt idx="0">
                  <c:v> Passenger Air </c:v>
                </c:pt>
              </c:strCache>
            </c:strRef>
          </c:tx>
          <c:spPr>
            <a:solidFill>
              <a:schemeClr val="accent4">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Data'!$AI$275:$AN$275</c:f>
              <c:numCache>
                <c:formatCode>_(* #,##0.00_);_(* \(#,##0.00\);_(* "-"??_);_(@_)</c:formatCode>
                <c:ptCount val="6"/>
                <c:pt idx="0">
                  <c:v>2.9255040000000001</c:v>
                </c:pt>
                <c:pt idx="1">
                  <c:v>10.516176</c:v>
                </c:pt>
                <c:pt idx="2">
                  <c:v>6.3998160000000004</c:v>
                </c:pt>
                <c:pt idx="3">
                  <c:v>13.997968</c:v>
                </c:pt>
                <c:pt idx="4">
                  <c:v>1.595928</c:v>
                </c:pt>
                <c:pt idx="5">
                  <c:v>0.41294399999999998</c:v>
                </c:pt>
              </c:numCache>
            </c:numRef>
          </c:val>
          <c:extLst>
            <c:ext xmlns:c16="http://schemas.microsoft.com/office/drawing/2014/chart" uri="{C3380CC4-5D6E-409C-BE32-E72D297353CC}">
              <c16:uniqueId val="{00000009-413F-4E65-AB94-9C0D77B6CD2D}"/>
            </c:ext>
          </c:extLst>
        </c:ser>
        <c:ser>
          <c:idx val="10"/>
          <c:order val="10"/>
          <c:tx>
            <c:strRef>
              <c:f>'Background Data'!$AC$276</c:f>
              <c:strCache>
                <c:ptCount val="1"/>
                <c:pt idx="0">
                  <c:v> Freight Air </c:v>
                </c:pt>
              </c:strCache>
            </c:strRef>
          </c:tx>
          <c:spPr>
            <a:solidFill>
              <a:schemeClr val="accent5">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Data'!$AI$276:$AN$276</c:f>
              <c:numCache>
                <c:formatCode>_(* #,##0.00_);_(* \(#,##0.00\);_(* "-"??_);_(@_)</c:formatCode>
                <c:ptCount val="6"/>
                <c:pt idx="0">
                  <c:v>5.3496000000000002E-2</c:v>
                </c:pt>
                <c:pt idx="1">
                  <c:v>0.23582400000000001</c:v>
                </c:pt>
                <c:pt idx="2">
                  <c:v>9.8183999999999994E-2</c:v>
                </c:pt>
                <c:pt idx="3">
                  <c:v>0.22603200000000001</c:v>
                </c:pt>
                <c:pt idx="4">
                  <c:v>3.0072000000000002E-2</c:v>
                </c:pt>
                <c:pt idx="5">
                  <c:v>7.0559999999999998E-3</c:v>
                </c:pt>
              </c:numCache>
            </c:numRef>
          </c:val>
          <c:extLst>
            <c:ext xmlns:c16="http://schemas.microsoft.com/office/drawing/2014/chart" uri="{C3380CC4-5D6E-409C-BE32-E72D297353CC}">
              <c16:uniqueId val="{0000000A-413F-4E65-AB94-9C0D77B6CD2D}"/>
            </c:ext>
          </c:extLst>
        </c:ser>
        <c:ser>
          <c:idx val="11"/>
          <c:order val="11"/>
          <c:tx>
            <c:strRef>
              <c:f>'Background Data'!$AC$277</c:f>
              <c:strCache>
                <c:ptCount val="1"/>
                <c:pt idx="0">
                  <c:v> Passenger Rail </c:v>
                </c:pt>
              </c:strCache>
            </c:strRef>
          </c:tx>
          <c:spPr>
            <a:solidFill>
              <a:schemeClr val="accent6">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Data'!$AI$277:$AN$277</c:f>
              <c:numCache>
                <c:formatCode>_(* #,##0.00_);_(* \(#,##0.00\);_(* "-"??_);_(@_)</c:formatCode>
                <c:ptCount val="6"/>
                <c:pt idx="0">
                  <c:v>0.404532</c:v>
                </c:pt>
                <c:pt idx="1">
                  <c:v>0.26605699999999999</c:v>
                </c:pt>
                <c:pt idx="2">
                  <c:v>4.7308999999999997E-2</c:v>
                </c:pt>
                <c:pt idx="3">
                  <c:v>0</c:v>
                </c:pt>
                <c:pt idx="4">
                  <c:v>4.4999999999999998E-2</c:v>
                </c:pt>
                <c:pt idx="5">
                  <c:v>0</c:v>
                </c:pt>
              </c:numCache>
            </c:numRef>
          </c:val>
          <c:extLst>
            <c:ext xmlns:c16="http://schemas.microsoft.com/office/drawing/2014/chart" uri="{C3380CC4-5D6E-409C-BE32-E72D297353CC}">
              <c16:uniqueId val="{0000000B-413F-4E65-AB94-9C0D77B6CD2D}"/>
            </c:ext>
          </c:extLst>
        </c:ser>
        <c:ser>
          <c:idx val="12"/>
          <c:order val="12"/>
          <c:tx>
            <c:strRef>
              <c:f>'Background Data'!$AC$278</c:f>
              <c:strCache>
                <c:ptCount val="1"/>
                <c:pt idx="0">
                  <c:v> Freight Rail </c:v>
                </c:pt>
              </c:strCache>
            </c:strRef>
          </c:tx>
          <c:spPr>
            <a:solidFill>
              <a:schemeClr val="accent1">
                <a:lumMod val="80000"/>
                <a:lumOff val="2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Data'!$AI$278:$AN$278</c:f>
              <c:numCache>
                <c:formatCode>_(* #,##0.00_);_(* \(#,##0.00\);_(* "-"??_);_(@_)</c:formatCode>
                <c:ptCount val="6"/>
                <c:pt idx="0">
                  <c:v>16.936468000000001</c:v>
                </c:pt>
                <c:pt idx="1">
                  <c:v>11.138942999999999</c:v>
                </c:pt>
                <c:pt idx="2">
                  <c:v>1.980691</c:v>
                </c:pt>
                <c:pt idx="3">
                  <c:v>0</c:v>
                </c:pt>
                <c:pt idx="4">
                  <c:v>1.8839999999999999</c:v>
                </c:pt>
                <c:pt idx="5">
                  <c:v>0</c:v>
                </c:pt>
              </c:numCache>
            </c:numRef>
          </c:val>
          <c:extLst>
            <c:ext xmlns:c16="http://schemas.microsoft.com/office/drawing/2014/chart" uri="{C3380CC4-5D6E-409C-BE32-E72D297353CC}">
              <c16:uniqueId val="{0000000C-413F-4E65-AB94-9C0D77B6CD2D}"/>
            </c:ext>
          </c:extLst>
        </c:ser>
        <c:ser>
          <c:idx val="13"/>
          <c:order val="13"/>
          <c:tx>
            <c:strRef>
              <c:f>'Background Data'!$AC$279</c:f>
              <c:strCache>
                <c:ptCount val="1"/>
                <c:pt idx="0">
                  <c:v> Marine </c:v>
                </c:pt>
              </c:strCache>
            </c:strRef>
          </c:tx>
          <c:spPr>
            <a:solidFill>
              <a:schemeClr val="accent2">
                <a:lumMod val="80000"/>
                <a:lumOff val="2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Data'!$AI$279:$AN$279</c:f>
              <c:numCache>
                <c:formatCode>_(* #,##0.00_);_(* \(#,##0.00\);_(* "-"??_);_(@_)</c:formatCode>
                <c:ptCount val="6"/>
                <c:pt idx="0">
                  <c:v>0</c:v>
                </c:pt>
                <c:pt idx="1">
                  <c:v>6.6000000000000003E-2</c:v>
                </c:pt>
                <c:pt idx="2">
                  <c:v>4.1340000000000003</c:v>
                </c:pt>
                <c:pt idx="3">
                  <c:v>3.44</c:v>
                </c:pt>
                <c:pt idx="4">
                  <c:v>2.4609999999999999</c:v>
                </c:pt>
                <c:pt idx="5">
                  <c:v>2.1070000000000002</c:v>
                </c:pt>
              </c:numCache>
            </c:numRef>
          </c:val>
          <c:extLst>
            <c:ext xmlns:c16="http://schemas.microsoft.com/office/drawing/2014/chart" uri="{C3380CC4-5D6E-409C-BE32-E72D297353CC}">
              <c16:uniqueId val="{0000000D-413F-4E65-AB94-9C0D77B6CD2D}"/>
            </c:ext>
          </c:extLst>
        </c:ser>
        <c:ser>
          <c:idx val="14"/>
          <c:order val="14"/>
          <c:tx>
            <c:strRef>
              <c:f>'Background Data'!$AC$280</c:f>
              <c:strCache>
                <c:ptCount val="1"/>
                <c:pt idx="0">
                  <c:v> Off-Road* </c:v>
                </c:pt>
              </c:strCache>
            </c:strRef>
          </c:tx>
          <c:spPr>
            <a:solidFill>
              <a:schemeClr val="accent3">
                <a:lumMod val="80000"/>
                <a:lumOff val="2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Data'!$AI$280:$AN$280</c:f>
              <c:numCache>
                <c:formatCode>_(* #,##0.00_);_(* \(#,##0.00\);_(* "-"??_);_(@_)</c:formatCode>
                <c:ptCount val="6"/>
                <c:pt idx="0">
                  <c:v>3.95</c:v>
                </c:pt>
                <c:pt idx="1">
                  <c:v>3.97</c:v>
                </c:pt>
                <c:pt idx="2">
                  <c:v>3.98</c:v>
                </c:pt>
                <c:pt idx="3">
                  <c:v>4.01</c:v>
                </c:pt>
                <c:pt idx="4">
                  <c:v>3.91</c:v>
                </c:pt>
                <c:pt idx="5">
                  <c:v>0.51600000000000001</c:v>
                </c:pt>
              </c:numCache>
            </c:numRef>
          </c:val>
          <c:extLst>
            <c:ext xmlns:c16="http://schemas.microsoft.com/office/drawing/2014/chart" uri="{C3380CC4-5D6E-409C-BE32-E72D297353CC}">
              <c16:uniqueId val="{0000000E-413F-4E65-AB94-9C0D77B6CD2D}"/>
            </c:ext>
          </c:extLst>
        </c:ser>
        <c:dLbls>
          <c:showLegendKey val="0"/>
          <c:showVal val="0"/>
          <c:showCatName val="0"/>
          <c:showSerName val="0"/>
          <c:showPercent val="0"/>
          <c:showBubbleSize val="0"/>
        </c:dLbls>
        <c:gapWidth val="50"/>
        <c:overlap val="100"/>
        <c:axId val="1166807184"/>
        <c:axId val="1491353968"/>
      </c:barChart>
      <c:catAx>
        <c:axId val="116680718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91353968"/>
        <c:crosses val="autoZero"/>
        <c:auto val="1"/>
        <c:lblAlgn val="ctr"/>
        <c:lblOffset val="100"/>
        <c:noMultiLvlLbl val="0"/>
      </c:catAx>
      <c:valAx>
        <c:axId val="149135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(PJ)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6680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sz="1260" b="0" i="0" u="none" strike="noStrike" kern="1200" spc="0" baseline="0">
                <a:solidFill>
                  <a:sysClr val="windowText" lastClr="000000">
                    <a:lumMod val="65000"/>
                    <a:lumOff val="35000"/>
                  </a:sysClr>
                </a:solidFill>
              </a:rPr>
              <a:t>Energy use by transportation mode and province in 2019</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'Background Data'!$AC$266</c:f>
              <c:strCache>
                <c:ptCount val="1"/>
                <c:pt idx="0">
                  <c:v> Cars </c:v>
                </c:pt>
              </c:strCache>
            </c:strRef>
          </c:tx>
          <c:spPr>
            <a:solidFill>
              <a:schemeClr val="accent1"/>
            </a:solidFill>
            <a:ln>
              <a:noFill/>
            </a:ln>
            <a:effectLst/>
          </c:spPr>
          <c:invertIfNegative val="0"/>
          <c:cat>
            <c:strRef>
              <c:f>'Background Data'!$AE$264</c:f>
              <c:strCache>
                <c:ptCount val="1"/>
                <c:pt idx="0">
                  <c:v> ON </c:v>
                </c:pt>
              </c:strCache>
            </c:strRef>
          </c:cat>
          <c:val>
            <c:numRef>
              <c:f>'Background Data'!$AE$266</c:f>
              <c:numCache>
                <c:formatCode>_(* #,##0.00_);_(* \(#,##0.00\);_(* "-"??_);_(@_)</c:formatCode>
                <c:ptCount val="1"/>
                <c:pt idx="0">
                  <c:v>204.62799999999999</c:v>
                </c:pt>
              </c:numCache>
            </c:numRef>
          </c:val>
          <c:extLst>
            <c:ext xmlns:c16="http://schemas.microsoft.com/office/drawing/2014/chart" uri="{C3380CC4-5D6E-409C-BE32-E72D297353CC}">
              <c16:uniqueId val="{00000000-7555-4F27-97B2-F3CA41453916}"/>
            </c:ext>
          </c:extLst>
        </c:ser>
        <c:ser>
          <c:idx val="1"/>
          <c:order val="1"/>
          <c:tx>
            <c:strRef>
              <c:f>'Background Data'!$AC$267</c:f>
              <c:strCache>
                <c:ptCount val="1"/>
                <c:pt idx="0">
                  <c:v> Passenger Light Trucks </c:v>
                </c:pt>
              </c:strCache>
            </c:strRef>
          </c:tx>
          <c:spPr>
            <a:solidFill>
              <a:schemeClr val="accent2"/>
            </a:solidFill>
            <a:ln>
              <a:noFill/>
            </a:ln>
            <a:effectLst/>
          </c:spPr>
          <c:invertIfNegative val="0"/>
          <c:cat>
            <c:strRef>
              <c:f>'Background Data'!$AE$264</c:f>
              <c:strCache>
                <c:ptCount val="1"/>
                <c:pt idx="0">
                  <c:v> ON </c:v>
                </c:pt>
              </c:strCache>
            </c:strRef>
          </c:cat>
          <c:val>
            <c:numRef>
              <c:f>'Background Data'!$AE$267</c:f>
              <c:numCache>
                <c:formatCode>_(* #,##0.00_);_(* \(#,##0.00\);_(* "-"??_);_(@_)</c:formatCode>
                <c:ptCount val="1"/>
                <c:pt idx="0">
                  <c:v>240.92600999999999</c:v>
                </c:pt>
              </c:numCache>
            </c:numRef>
          </c:val>
          <c:extLst>
            <c:ext xmlns:c16="http://schemas.microsoft.com/office/drawing/2014/chart" uri="{C3380CC4-5D6E-409C-BE32-E72D297353CC}">
              <c16:uniqueId val="{00000001-7555-4F27-97B2-F3CA41453916}"/>
            </c:ext>
          </c:extLst>
        </c:ser>
        <c:ser>
          <c:idx val="2"/>
          <c:order val="2"/>
          <c:tx>
            <c:strRef>
              <c:f>'Background Data'!$AC$268</c:f>
              <c:strCache>
                <c:ptCount val="1"/>
                <c:pt idx="0">
                  <c:v> Freight Light Trucks </c:v>
                </c:pt>
              </c:strCache>
            </c:strRef>
          </c:tx>
          <c:spPr>
            <a:solidFill>
              <a:schemeClr val="accent3"/>
            </a:solidFill>
            <a:ln>
              <a:noFill/>
            </a:ln>
            <a:effectLst/>
          </c:spPr>
          <c:invertIfNegative val="0"/>
          <c:cat>
            <c:strRef>
              <c:f>'Background Data'!$AE$264</c:f>
              <c:strCache>
                <c:ptCount val="1"/>
                <c:pt idx="0">
                  <c:v> ON </c:v>
                </c:pt>
              </c:strCache>
            </c:strRef>
          </c:cat>
          <c:val>
            <c:numRef>
              <c:f>'Background Data'!$AE$268</c:f>
              <c:numCache>
                <c:formatCode>_(* #,##0.00_);_(* \(#,##0.00\);_(* "-"??_);_(@_)</c:formatCode>
                <c:ptCount val="1"/>
                <c:pt idx="0">
                  <c:v>80.682991999999999</c:v>
                </c:pt>
              </c:numCache>
            </c:numRef>
          </c:val>
          <c:extLst>
            <c:ext xmlns:c16="http://schemas.microsoft.com/office/drawing/2014/chart" uri="{C3380CC4-5D6E-409C-BE32-E72D297353CC}">
              <c16:uniqueId val="{00000002-7555-4F27-97B2-F3CA41453916}"/>
            </c:ext>
          </c:extLst>
        </c:ser>
        <c:ser>
          <c:idx val="3"/>
          <c:order val="3"/>
          <c:tx>
            <c:strRef>
              <c:f>'Background Data'!$AC$269</c:f>
              <c:strCache>
                <c:ptCount val="1"/>
                <c:pt idx="0">
                  <c:v> Medium Trucks </c:v>
                </c:pt>
              </c:strCache>
            </c:strRef>
          </c:tx>
          <c:spPr>
            <a:solidFill>
              <a:schemeClr val="accent4"/>
            </a:solidFill>
            <a:ln>
              <a:noFill/>
            </a:ln>
            <a:effectLst/>
          </c:spPr>
          <c:invertIfNegative val="0"/>
          <c:cat>
            <c:strRef>
              <c:f>'Background Data'!$AE$264</c:f>
              <c:strCache>
                <c:ptCount val="1"/>
                <c:pt idx="0">
                  <c:v> ON </c:v>
                </c:pt>
              </c:strCache>
            </c:strRef>
          </c:cat>
          <c:val>
            <c:numRef>
              <c:f>'Background Data'!$AE$269</c:f>
              <c:numCache>
                <c:formatCode>_(* #,##0.00_);_(* \(#,##0.00\);_(* "-"??_);_(@_)</c:formatCode>
                <c:ptCount val="1"/>
                <c:pt idx="0">
                  <c:v>63.404946000000002</c:v>
                </c:pt>
              </c:numCache>
            </c:numRef>
          </c:val>
          <c:extLst>
            <c:ext xmlns:c16="http://schemas.microsoft.com/office/drawing/2014/chart" uri="{C3380CC4-5D6E-409C-BE32-E72D297353CC}">
              <c16:uniqueId val="{00000003-7555-4F27-97B2-F3CA41453916}"/>
            </c:ext>
          </c:extLst>
        </c:ser>
        <c:ser>
          <c:idx val="4"/>
          <c:order val="4"/>
          <c:tx>
            <c:strRef>
              <c:f>'Background Data'!$AC$270</c:f>
              <c:strCache>
                <c:ptCount val="1"/>
                <c:pt idx="0">
                  <c:v> Heavy Trucks </c:v>
                </c:pt>
              </c:strCache>
            </c:strRef>
          </c:tx>
          <c:spPr>
            <a:solidFill>
              <a:schemeClr val="accent5"/>
            </a:solidFill>
            <a:ln>
              <a:noFill/>
            </a:ln>
            <a:effectLst/>
          </c:spPr>
          <c:invertIfNegative val="0"/>
          <c:cat>
            <c:strRef>
              <c:f>'Background Data'!$AE$264</c:f>
              <c:strCache>
                <c:ptCount val="1"/>
                <c:pt idx="0">
                  <c:v> ON </c:v>
                </c:pt>
              </c:strCache>
            </c:strRef>
          </c:cat>
          <c:val>
            <c:numRef>
              <c:f>'Background Data'!$AE$270</c:f>
              <c:numCache>
                <c:formatCode>_(* #,##0.00_);_(* \(#,##0.00\);_(* "-"??_);_(@_)</c:formatCode>
                <c:ptCount val="1"/>
                <c:pt idx="0">
                  <c:v>152.51835500000001</c:v>
                </c:pt>
              </c:numCache>
            </c:numRef>
          </c:val>
          <c:extLst>
            <c:ext xmlns:c16="http://schemas.microsoft.com/office/drawing/2014/chart" uri="{C3380CC4-5D6E-409C-BE32-E72D297353CC}">
              <c16:uniqueId val="{00000004-7555-4F27-97B2-F3CA41453916}"/>
            </c:ext>
          </c:extLst>
        </c:ser>
        <c:ser>
          <c:idx val="5"/>
          <c:order val="5"/>
          <c:tx>
            <c:strRef>
              <c:f>'Background Data'!$AC$271</c:f>
              <c:strCache>
                <c:ptCount val="1"/>
                <c:pt idx="0">
                  <c:v> Motorcycles </c:v>
                </c:pt>
              </c:strCache>
            </c:strRef>
          </c:tx>
          <c:spPr>
            <a:solidFill>
              <a:schemeClr val="accent6"/>
            </a:solidFill>
            <a:ln>
              <a:noFill/>
            </a:ln>
            <a:effectLst/>
          </c:spPr>
          <c:invertIfNegative val="0"/>
          <c:cat>
            <c:strRef>
              <c:f>'Background Data'!$AE$264</c:f>
              <c:strCache>
                <c:ptCount val="1"/>
                <c:pt idx="0">
                  <c:v> ON </c:v>
                </c:pt>
              </c:strCache>
            </c:strRef>
          </c:cat>
          <c:val>
            <c:numRef>
              <c:f>'Background Data'!$AE$271</c:f>
              <c:numCache>
                <c:formatCode>_(* #,##0.00_);_(* \(#,##0.00\);_(* "-"??_);_(@_)</c:formatCode>
                <c:ptCount val="1"/>
                <c:pt idx="0">
                  <c:v>1.897419</c:v>
                </c:pt>
              </c:numCache>
            </c:numRef>
          </c:val>
          <c:extLst>
            <c:ext xmlns:c16="http://schemas.microsoft.com/office/drawing/2014/chart" uri="{C3380CC4-5D6E-409C-BE32-E72D297353CC}">
              <c16:uniqueId val="{00000005-7555-4F27-97B2-F3CA41453916}"/>
            </c:ext>
          </c:extLst>
        </c:ser>
        <c:ser>
          <c:idx val="6"/>
          <c:order val="6"/>
          <c:tx>
            <c:strRef>
              <c:f>'Background Data'!$AC$272</c:f>
              <c:strCache>
                <c:ptCount val="1"/>
                <c:pt idx="0">
                  <c:v> School Buses </c:v>
                </c:pt>
              </c:strCache>
            </c:strRef>
          </c:tx>
          <c:spPr>
            <a:solidFill>
              <a:schemeClr val="accent1">
                <a:lumMod val="60000"/>
              </a:schemeClr>
            </a:solidFill>
            <a:ln>
              <a:noFill/>
            </a:ln>
            <a:effectLst/>
          </c:spPr>
          <c:invertIfNegative val="0"/>
          <c:cat>
            <c:strRef>
              <c:f>'Background Data'!$AE$264</c:f>
              <c:strCache>
                <c:ptCount val="1"/>
                <c:pt idx="0">
                  <c:v> ON </c:v>
                </c:pt>
              </c:strCache>
            </c:strRef>
          </c:cat>
          <c:val>
            <c:numRef>
              <c:f>'Background Data'!$AE$272</c:f>
              <c:numCache>
                <c:formatCode>_(* #,##0.00_);_(* \(#,##0.00\);_(* "-"??_);_(@_)</c:formatCode>
                <c:ptCount val="1"/>
                <c:pt idx="0">
                  <c:v>3.899724</c:v>
                </c:pt>
              </c:numCache>
            </c:numRef>
          </c:val>
          <c:extLst>
            <c:ext xmlns:c16="http://schemas.microsoft.com/office/drawing/2014/chart" uri="{C3380CC4-5D6E-409C-BE32-E72D297353CC}">
              <c16:uniqueId val="{00000006-7555-4F27-97B2-F3CA41453916}"/>
            </c:ext>
          </c:extLst>
        </c:ser>
        <c:ser>
          <c:idx val="7"/>
          <c:order val="7"/>
          <c:tx>
            <c:strRef>
              <c:f>'Background Data'!$AC$273</c:f>
              <c:strCache>
                <c:ptCount val="1"/>
                <c:pt idx="0">
                  <c:v> Urban Transit </c:v>
                </c:pt>
              </c:strCache>
            </c:strRef>
          </c:tx>
          <c:spPr>
            <a:solidFill>
              <a:schemeClr val="accent2">
                <a:lumMod val="60000"/>
              </a:schemeClr>
            </a:solidFill>
            <a:ln>
              <a:noFill/>
            </a:ln>
            <a:effectLst/>
          </c:spPr>
          <c:invertIfNegative val="0"/>
          <c:cat>
            <c:strRef>
              <c:f>'Background Data'!$AE$264</c:f>
              <c:strCache>
                <c:ptCount val="1"/>
                <c:pt idx="0">
                  <c:v> ON </c:v>
                </c:pt>
              </c:strCache>
            </c:strRef>
          </c:cat>
          <c:val>
            <c:numRef>
              <c:f>'Background Data'!$AE$273</c:f>
              <c:numCache>
                <c:formatCode>_(* #,##0.00_);_(* \(#,##0.00\);_(* "-"??_);_(@_)</c:formatCode>
                <c:ptCount val="1"/>
                <c:pt idx="0">
                  <c:v>12.674037999999999</c:v>
                </c:pt>
              </c:numCache>
            </c:numRef>
          </c:val>
          <c:extLst>
            <c:ext xmlns:c16="http://schemas.microsoft.com/office/drawing/2014/chart" uri="{C3380CC4-5D6E-409C-BE32-E72D297353CC}">
              <c16:uniqueId val="{00000007-7555-4F27-97B2-F3CA41453916}"/>
            </c:ext>
          </c:extLst>
        </c:ser>
        <c:ser>
          <c:idx val="8"/>
          <c:order val="8"/>
          <c:tx>
            <c:strRef>
              <c:f>'Background Data'!$AC$274</c:f>
              <c:strCache>
                <c:ptCount val="1"/>
                <c:pt idx="0">
                  <c:v> Inter-City Buses </c:v>
                </c:pt>
              </c:strCache>
            </c:strRef>
          </c:tx>
          <c:spPr>
            <a:solidFill>
              <a:schemeClr val="accent3">
                <a:lumMod val="60000"/>
              </a:schemeClr>
            </a:solidFill>
            <a:ln>
              <a:noFill/>
            </a:ln>
            <a:effectLst/>
          </c:spPr>
          <c:invertIfNegative val="0"/>
          <c:cat>
            <c:strRef>
              <c:f>'Background Data'!$AE$264</c:f>
              <c:strCache>
                <c:ptCount val="1"/>
                <c:pt idx="0">
                  <c:v> ON </c:v>
                </c:pt>
              </c:strCache>
            </c:strRef>
          </c:cat>
          <c:val>
            <c:numRef>
              <c:f>'Background Data'!$AE$274</c:f>
              <c:numCache>
                <c:formatCode>_(* #,##0.00_);_(* \(#,##0.00\);_(* "-"??_);_(@_)</c:formatCode>
                <c:ptCount val="1"/>
                <c:pt idx="0">
                  <c:v>0.80151700000000003</c:v>
                </c:pt>
              </c:numCache>
            </c:numRef>
          </c:val>
          <c:extLst>
            <c:ext xmlns:c16="http://schemas.microsoft.com/office/drawing/2014/chart" uri="{C3380CC4-5D6E-409C-BE32-E72D297353CC}">
              <c16:uniqueId val="{00000008-7555-4F27-97B2-F3CA41453916}"/>
            </c:ext>
          </c:extLst>
        </c:ser>
        <c:ser>
          <c:idx val="9"/>
          <c:order val="9"/>
          <c:tx>
            <c:strRef>
              <c:f>'Background Data'!$AC$275</c:f>
              <c:strCache>
                <c:ptCount val="1"/>
                <c:pt idx="0">
                  <c:v> Passenger Air </c:v>
                </c:pt>
              </c:strCache>
            </c:strRef>
          </c:tx>
          <c:spPr>
            <a:solidFill>
              <a:schemeClr val="accent4">
                <a:lumMod val="60000"/>
              </a:schemeClr>
            </a:solidFill>
            <a:ln>
              <a:noFill/>
            </a:ln>
            <a:effectLst/>
          </c:spPr>
          <c:invertIfNegative val="0"/>
          <c:cat>
            <c:strRef>
              <c:f>'Background Data'!$AE$264</c:f>
              <c:strCache>
                <c:ptCount val="1"/>
                <c:pt idx="0">
                  <c:v> ON </c:v>
                </c:pt>
              </c:strCache>
            </c:strRef>
          </c:cat>
          <c:val>
            <c:numRef>
              <c:f>'Background Data'!$AE$275</c:f>
              <c:numCache>
                <c:formatCode>_(* #,##0.00_);_(* \(#,##0.00\);_(* "-"??_);_(@_)</c:formatCode>
                <c:ptCount val="1"/>
                <c:pt idx="0">
                  <c:v>94.636471999999998</c:v>
                </c:pt>
              </c:numCache>
            </c:numRef>
          </c:val>
          <c:extLst>
            <c:ext xmlns:c16="http://schemas.microsoft.com/office/drawing/2014/chart" uri="{C3380CC4-5D6E-409C-BE32-E72D297353CC}">
              <c16:uniqueId val="{00000009-7555-4F27-97B2-F3CA41453916}"/>
            </c:ext>
          </c:extLst>
        </c:ser>
        <c:ser>
          <c:idx val="10"/>
          <c:order val="10"/>
          <c:tx>
            <c:strRef>
              <c:f>'Background Data'!$AC$276</c:f>
              <c:strCache>
                <c:ptCount val="1"/>
                <c:pt idx="0">
                  <c:v> Freight Air </c:v>
                </c:pt>
              </c:strCache>
            </c:strRef>
          </c:tx>
          <c:spPr>
            <a:solidFill>
              <a:schemeClr val="accent5">
                <a:lumMod val="60000"/>
              </a:schemeClr>
            </a:solidFill>
            <a:ln>
              <a:noFill/>
            </a:ln>
            <a:effectLst/>
          </c:spPr>
          <c:invertIfNegative val="0"/>
          <c:cat>
            <c:strRef>
              <c:f>'Background Data'!$AE$264</c:f>
              <c:strCache>
                <c:ptCount val="1"/>
                <c:pt idx="0">
                  <c:v> ON </c:v>
                </c:pt>
              </c:strCache>
            </c:strRef>
          </c:cat>
          <c:val>
            <c:numRef>
              <c:f>'Background Data'!$AE$276</c:f>
              <c:numCache>
                <c:formatCode>_(* #,##0.00_);_(* \(#,##0.00\);_(* "-"??_);_(@_)</c:formatCode>
                <c:ptCount val="1"/>
                <c:pt idx="0">
                  <c:v>2.259528</c:v>
                </c:pt>
              </c:numCache>
            </c:numRef>
          </c:val>
          <c:extLst>
            <c:ext xmlns:c16="http://schemas.microsoft.com/office/drawing/2014/chart" uri="{C3380CC4-5D6E-409C-BE32-E72D297353CC}">
              <c16:uniqueId val="{0000000A-7555-4F27-97B2-F3CA41453916}"/>
            </c:ext>
          </c:extLst>
        </c:ser>
        <c:ser>
          <c:idx val="11"/>
          <c:order val="11"/>
          <c:tx>
            <c:strRef>
              <c:f>'Background Data'!$AC$277</c:f>
              <c:strCache>
                <c:ptCount val="1"/>
                <c:pt idx="0">
                  <c:v> Passenger Rail </c:v>
                </c:pt>
              </c:strCache>
            </c:strRef>
          </c:tx>
          <c:spPr>
            <a:solidFill>
              <a:schemeClr val="accent6">
                <a:lumMod val="60000"/>
              </a:schemeClr>
            </a:solidFill>
            <a:ln>
              <a:noFill/>
            </a:ln>
            <a:effectLst/>
          </c:spPr>
          <c:invertIfNegative val="0"/>
          <c:cat>
            <c:strRef>
              <c:f>'Background Data'!$AE$264</c:f>
              <c:strCache>
                <c:ptCount val="1"/>
                <c:pt idx="0">
                  <c:v> ON </c:v>
                </c:pt>
              </c:strCache>
            </c:strRef>
          </c:cat>
          <c:val>
            <c:numRef>
              <c:f>'Background Data'!$AE$277</c:f>
              <c:numCache>
                <c:formatCode>_(* #,##0.00_);_(* \(#,##0.00\);_(* "-"??_);_(@_)</c:formatCode>
                <c:ptCount val="1"/>
                <c:pt idx="0">
                  <c:v>0.46299200000000001</c:v>
                </c:pt>
              </c:numCache>
            </c:numRef>
          </c:val>
          <c:extLst>
            <c:ext xmlns:c16="http://schemas.microsoft.com/office/drawing/2014/chart" uri="{C3380CC4-5D6E-409C-BE32-E72D297353CC}">
              <c16:uniqueId val="{0000000B-7555-4F27-97B2-F3CA41453916}"/>
            </c:ext>
          </c:extLst>
        </c:ser>
        <c:ser>
          <c:idx val="12"/>
          <c:order val="12"/>
          <c:tx>
            <c:strRef>
              <c:f>'Background Data'!$AC$278</c:f>
              <c:strCache>
                <c:ptCount val="1"/>
                <c:pt idx="0">
                  <c:v> Freight Rail </c:v>
                </c:pt>
              </c:strCache>
            </c:strRef>
          </c:tx>
          <c:spPr>
            <a:solidFill>
              <a:schemeClr val="accent1">
                <a:lumMod val="80000"/>
                <a:lumOff val="20000"/>
              </a:schemeClr>
            </a:solidFill>
            <a:ln>
              <a:noFill/>
            </a:ln>
            <a:effectLst/>
          </c:spPr>
          <c:invertIfNegative val="0"/>
          <c:cat>
            <c:strRef>
              <c:f>'Background Data'!$AE$264</c:f>
              <c:strCache>
                <c:ptCount val="1"/>
                <c:pt idx="0">
                  <c:v> ON </c:v>
                </c:pt>
              </c:strCache>
            </c:strRef>
          </c:cat>
          <c:val>
            <c:numRef>
              <c:f>'Background Data'!$AE$278</c:f>
              <c:numCache>
                <c:formatCode>_(* #,##0.00_);_(* \(#,##0.00\);_(* "-"??_);_(@_)</c:formatCode>
                <c:ptCount val="1"/>
                <c:pt idx="0">
                  <c:v>19.384008000000001</c:v>
                </c:pt>
              </c:numCache>
            </c:numRef>
          </c:val>
          <c:extLst>
            <c:ext xmlns:c16="http://schemas.microsoft.com/office/drawing/2014/chart" uri="{C3380CC4-5D6E-409C-BE32-E72D297353CC}">
              <c16:uniqueId val="{0000000C-7555-4F27-97B2-F3CA41453916}"/>
            </c:ext>
          </c:extLst>
        </c:ser>
        <c:ser>
          <c:idx val="13"/>
          <c:order val="13"/>
          <c:tx>
            <c:strRef>
              <c:f>'Background Data'!$AC$279</c:f>
              <c:strCache>
                <c:ptCount val="1"/>
                <c:pt idx="0">
                  <c:v> Marine </c:v>
                </c:pt>
              </c:strCache>
            </c:strRef>
          </c:tx>
          <c:spPr>
            <a:solidFill>
              <a:schemeClr val="accent2">
                <a:lumMod val="80000"/>
                <a:lumOff val="20000"/>
              </a:schemeClr>
            </a:solidFill>
            <a:ln>
              <a:noFill/>
            </a:ln>
            <a:effectLst/>
          </c:spPr>
          <c:invertIfNegative val="0"/>
          <c:cat>
            <c:strRef>
              <c:f>'Background Data'!$AE$264</c:f>
              <c:strCache>
                <c:ptCount val="1"/>
                <c:pt idx="0">
                  <c:v> ON </c:v>
                </c:pt>
              </c:strCache>
            </c:strRef>
          </c:cat>
          <c:val>
            <c:numRef>
              <c:f>'Background Data'!$AE$279</c:f>
              <c:numCache>
                <c:formatCode>_(* #,##0.00_);_(* \(#,##0.00\);_(* "-"??_);_(@_)</c:formatCode>
                <c:ptCount val="1"/>
                <c:pt idx="0">
                  <c:v>18.692</c:v>
                </c:pt>
              </c:numCache>
            </c:numRef>
          </c:val>
          <c:extLst>
            <c:ext xmlns:c16="http://schemas.microsoft.com/office/drawing/2014/chart" uri="{C3380CC4-5D6E-409C-BE32-E72D297353CC}">
              <c16:uniqueId val="{0000000D-7555-4F27-97B2-F3CA41453916}"/>
            </c:ext>
          </c:extLst>
        </c:ser>
        <c:ser>
          <c:idx val="14"/>
          <c:order val="14"/>
          <c:tx>
            <c:strRef>
              <c:f>'Background Data'!$AC$280</c:f>
              <c:strCache>
                <c:ptCount val="1"/>
                <c:pt idx="0">
                  <c:v> Off-Road* </c:v>
                </c:pt>
              </c:strCache>
            </c:strRef>
          </c:tx>
          <c:spPr>
            <a:solidFill>
              <a:schemeClr val="accent3">
                <a:lumMod val="80000"/>
                <a:lumOff val="20000"/>
              </a:schemeClr>
            </a:solidFill>
            <a:ln>
              <a:noFill/>
            </a:ln>
            <a:effectLst/>
          </c:spPr>
          <c:invertIfNegative val="0"/>
          <c:cat>
            <c:strRef>
              <c:f>'Background Data'!$AE$264</c:f>
              <c:strCache>
                <c:ptCount val="1"/>
                <c:pt idx="0">
                  <c:v> ON </c:v>
                </c:pt>
              </c:strCache>
            </c:strRef>
          </c:cat>
          <c:val>
            <c:numRef>
              <c:f>'Background Data'!$AE$280</c:f>
              <c:numCache>
                <c:formatCode>_(* #,##0.00_);_(* \(#,##0.00\);_(* "-"??_);_(@_)</c:formatCode>
                <c:ptCount val="1"/>
                <c:pt idx="0">
                  <c:v>46.38</c:v>
                </c:pt>
              </c:numCache>
            </c:numRef>
          </c:val>
          <c:extLst>
            <c:ext xmlns:c16="http://schemas.microsoft.com/office/drawing/2014/chart" uri="{C3380CC4-5D6E-409C-BE32-E72D297353CC}">
              <c16:uniqueId val="{0000000E-7555-4F27-97B2-F3CA41453916}"/>
            </c:ext>
          </c:extLst>
        </c:ser>
        <c:dLbls>
          <c:showLegendKey val="0"/>
          <c:showVal val="0"/>
          <c:showCatName val="0"/>
          <c:showSerName val="0"/>
          <c:showPercent val="0"/>
          <c:showBubbleSize val="0"/>
        </c:dLbls>
        <c:gapWidth val="50"/>
        <c:overlap val="100"/>
        <c:axId val="1166807184"/>
        <c:axId val="1491353968"/>
      </c:barChart>
      <c:catAx>
        <c:axId val="116680718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91353968"/>
        <c:crosses val="autoZero"/>
        <c:auto val="1"/>
        <c:lblAlgn val="ctr"/>
        <c:lblOffset val="100"/>
        <c:noMultiLvlLbl val="0"/>
      </c:catAx>
      <c:valAx>
        <c:axId val="149135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(PJ)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6680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228600</xdr:colOff>
      <xdr:row>1</xdr:row>
      <xdr:rowOff>128362</xdr:rowOff>
    </xdr:from>
    <xdr:to>
      <xdr:col>20</xdr:col>
      <xdr:colOff>601926</xdr:colOff>
      <xdr:row>26</xdr:row>
      <xdr:rowOff>95250</xdr:rowOff>
    </xdr:to>
    <xdr:pic>
      <xdr:nvPicPr>
        <xdr:cNvPr id="3" name="Picture 2">
          <a:extLst>
            <a:ext uri="{FF2B5EF4-FFF2-40B4-BE49-F238E27FC236}">
              <a16:creationId xmlns:a16="http://schemas.microsoft.com/office/drawing/2014/main" id="{29531984-903B-4CED-309D-79FE1DBFCF1C}"/>
            </a:ext>
          </a:extLst>
        </xdr:cNvPr>
        <xdr:cNvPicPr>
          <a:picLocks noChangeAspect="1"/>
        </xdr:cNvPicPr>
      </xdr:nvPicPr>
      <xdr:blipFill>
        <a:blip xmlns:r="http://schemas.openxmlformats.org/officeDocument/2006/relationships" r:embed="rId1"/>
        <a:stretch>
          <a:fillRect/>
        </a:stretch>
      </xdr:blipFill>
      <xdr:spPr>
        <a:xfrm>
          <a:off x="9493250" y="312512"/>
          <a:ext cx="10126926" cy="5770788"/>
        </a:xfrm>
        <a:prstGeom prst="rect">
          <a:avLst/>
        </a:prstGeom>
      </xdr:spPr>
    </xdr:pic>
    <xdr:clientData/>
  </xdr:twoCellAnchor>
  <xdr:twoCellAnchor>
    <xdr:from>
      <xdr:col>2</xdr:col>
      <xdr:colOff>1</xdr:colOff>
      <xdr:row>52</xdr:row>
      <xdr:rowOff>1</xdr:rowOff>
    </xdr:from>
    <xdr:to>
      <xdr:col>2</xdr:col>
      <xdr:colOff>7073901</xdr:colOff>
      <xdr:row>81</xdr:row>
      <xdr:rowOff>154092</xdr:rowOff>
    </xdr:to>
    <xdr:grpSp>
      <xdr:nvGrpSpPr>
        <xdr:cNvPr id="5" name="Group 4">
          <a:extLst>
            <a:ext uri="{FF2B5EF4-FFF2-40B4-BE49-F238E27FC236}">
              <a16:creationId xmlns:a16="http://schemas.microsoft.com/office/drawing/2014/main" id="{43184968-2F92-C568-B219-67543A99EF20}"/>
            </a:ext>
          </a:extLst>
        </xdr:cNvPr>
        <xdr:cNvGrpSpPr/>
      </xdr:nvGrpSpPr>
      <xdr:grpSpPr>
        <a:xfrm>
          <a:off x="695326" y="11410951"/>
          <a:ext cx="7073900" cy="5678591"/>
          <a:chOff x="730251" y="10928351"/>
          <a:chExt cx="7073900" cy="5494441"/>
        </a:xfrm>
      </xdr:grpSpPr>
      <xdr:pic>
        <xdr:nvPicPr>
          <xdr:cNvPr id="2" name="Picture 1">
            <a:extLst>
              <a:ext uri="{FF2B5EF4-FFF2-40B4-BE49-F238E27FC236}">
                <a16:creationId xmlns:a16="http://schemas.microsoft.com/office/drawing/2014/main" id="{984B1CCE-528C-D062-F6C2-4346DE050F7B}"/>
              </a:ext>
            </a:extLst>
          </xdr:cNvPr>
          <xdr:cNvPicPr>
            <a:picLocks noChangeAspect="1"/>
          </xdr:cNvPicPr>
        </xdr:nvPicPr>
        <xdr:blipFill rotWithShape="1">
          <a:blip xmlns:r="http://schemas.openxmlformats.org/officeDocument/2006/relationships" r:embed="rId2"/>
          <a:srcRect t="-1" b="1091"/>
          <a:stretch/>
        </xdr:blipFill>
        <xdr:spPr>
          <a:xfrm>
            <a:off x="730251" y="10928351"/>
            <a:ext cx="7073900" cy="1562100"/>
          </a:xfrm>
          <a:prstGeom prst="rect">
            <a:avLst/>
          </a:prstGeom>
        </xdr:spPr>
      </xdr:pic>
      <xdr:pic>
        <xdr:nvPicPr>
          <xdr:cNvPr id="4" name="Picture 3">
            <a:extLst>
              <a:ext uri="{FF2B5EF4-FFF2-40B4-BE49-F238E27FC236}">
                <a16:creationId xmlns:a16="http://schemas.microsoft.com/office/drawing/2014/main" id="{F1B3AF3D-7245-BFD1-EF19-A054D9409E46}"/>
              </a:ext>
            </a:extLst>
          </xdr:cNvPr>
          <xdr:cNvPicPr>
            <a:picLocks noChangeAspect="1"/>
          </xdr:cNvPicPr>
        </xdr:nvPicPr>
        <xdr:blipFill>
          <a:blip xmlns:r="http://schemas.openxmlformats.org/officeDocument/2006/relationships" r:embed="rId3"/>
          <a:stretch>
            <a:fillRect/>
          </a:stretch>
        </xdr:blipFill>
        <xdr:spPr>
          <a:xfrm>
            <a:off x="736599" y="12490450"/>
            <a:ext cx="7061201" cy="3932342"/>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88323</xdr:colOff>
      <xdr:row>298</xdr:row>
      <xdr:rowOff>34779</xdr:rowOff>
    </xdr:from>
    <xdr:to>
      <xdr:col>33</xdr:col>
      <xdr:colOff>516948</xdr:colOff>
      <xdr:row>335</xdr:row>
      <xdr:rowOff>20204</xdr:rowOff>
    </xdr:to>
    <xdr:graphicFrame macro="">
      <xdr:nvGraphicFramePr>
        <xdr:cNvPr id="3" name="Chart 2">
          <a:extLst>
            <a:ext uri="{FF2B5EF4-FFF2-40B4-BE49-F238E27FC236}">
              <a16:creationId xmlns:a16="http://schemas.microsoft.com/office/drawing/2014/main" id="{A988A189-DEEA-E0E1-B43C-5C4CB2C2B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64365</xdr:colOff>
      <xdr:row>298</xdr:row>
      <xdr:rowOff>38821</xdr:rowOff>
    </xdr:from>
    <xdr:to>
      <xdr:col>37</xdr:col>
      <xdr:colOff>9525</xdr:colOff>
      <xdr:row>336</xdr:row>
      <xdr:rowOff>28575</xdr:rowOff>
    </xdr:to>
    <xdr:graphicFrame macro="">
      <xdr:nvGraphicFramePr>
        <xdr:cNvPr id="4" name="Chart 3">
          <a:extLst>
            <a:ext uri="{FF2B5EF4-FFF2-40B4-BE49-F238E27FC236}">
              <a16:creationId xmlns:a16="http://schemas.microsoft.com/office/drawing/2014/main" id="{5E9E77C2-C585-825D-289E-11E1EA87F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67252</xdr:colOff>
      <xdr:row>298</xdr:row>
      <xdr:rowOff>25689</xdr:rowOff>
    </xdr:from>
    <xdr:to>
      <xdr:col>40</xdr:col>
      <xdr:colOff>2292927</xdr:colOff>
      <xdr:row>335</xdr:row>
      <xdr:rowOff>76200</xdr:rowOff>
    </xdr:to>
    <xdr:graphicFrame macro="">
      <xdr:nvGraphicFramePr>
        <xdr:cNvPr id="5" name="Chart 4">
          <a:extLst>
            <a:ext uri="{FF2B5EF4-FFF2-40B4-BE49-F238E27FC236}">
              <a16:creationId xmlns:a16="http://schemas.microsoft.com/office/drawing/2014/main" id="{8F4D989A-B4E8-4801-BA46-B6EF04F9C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608157</xdr:colOff>
      <xdr:row>298</xdr:row>
      <xdr:rowOff>27711</xdr:rowOff>
    </xdr:from>
    <xdr:to>
      <xdr:col>34</xdr:col>
      <xdr:colOff>1292225</xdr:colOff>
      <xdr:row>336</xdr:row>
      <xdr:rowOff>6351</xdr:rowOff>
    </xdr:to>
    <xdr:graphicFrame macro="">
      <xdr:nvGraphicFramePr>
        <xdr:cNvPr id="6" name="Chart 5">
          <a:extLst>
            <a:ext uri="{FF2B5EF4-FFF2-40B4-BE49-F238E27FC236}">
              <a16:creationId xmlns:a16="http://schemas.microsoft.com/office/drawing/2014/main" id="{8C041676-C04E-4680-81F8-5551B4F09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82550</xdr:colOff>
      <xdr:row>41</xdr:row>
      <xdr:rowOff>177800</xdr:rowOff>
    </xdr:from>
    <xdr:to>
      <xdr:col>3</xdr:col>
      <xdr:colOff>82550</xdr:colOff>
      <xdr:row>70</xdr:row>
      <xdr:rowOff>106494</xdr:rowOff>
    </xdr:to>
    <xdr:pic>
      <xdr:nvPicPr>
        <xdr:cNvPr id="2" name="Picture 1">
          <a:extLst>
            <a:ext uri="{FF2B5EF4-FFF2-40B4-BE49-F238E27FC236}">
              <a16:creationId xmlns:a16="http://schemas.microsoft.com/office/drawing/2014/main" id="{843995E1-6C21-9CFD-7968-648F600DC93B}"/>
            </a:ext>
          </a:extLst>
        </xdr:cNvPr>
        <xdr:cNvPicPr>
          <a:picLocks noChangeAspect="1"/>
        </xdr:cNvPicPr>
      </xdr:nvPicPr>
      <xdr:blipFill>
        <a:blip xmlns:r="http://schemas.openxmlformats.org/officeDocument/2006/relationships" r:embed="rId1"/>
        <a:stretch>
          <a:fillRect/>
        </a:stretch>
      </xdr:blipFill>
      <xdr:spPr>
        <a:xfrm>
          <a:off x="82550" y="8759825"/>
          <a:ext cx="3746500" cy="52531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toronto-my.sharepoint.com/personal/lihwei_yeow_mail_utoronto_ca/Documents/1UofT/PhD%20Research/CANOE/CANOE-transportation/transportation/spreadsheet_database/CANOE_TRN_ON_v4.xlsx" TargetMode="External"/><Relationship Id="rId1" Type="http://schemas.openxmlformats.org/officeDocument/2006/relationships/externalLinkPath" Target="/personal/lihwei_yeow_mail_utoronto_ca/Documents/1UofT/PhD%20Research/CANOE/CANOE-transportation/transportation/spreadsheet_database/CANOE_TRN_ON_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Techs"/>
      <sheetName val="Comms"/>
      <sheetName val="ExCap"/>
      <sheetName val="Growth"/>
      <sheetName val="Demand"/>
      <sheetName val="DemandDist"/>
      <sheetName val="Lifetime"/>
      <sheetName val="Efficiency"/>
      <sheetName val="Cap2Act"/>
      <sheetName val="CapFactor"/>
      <sheetName val="CostInvest"/>
      <sheetName val="CostFixed"/>
      <sheetName val="CostVariable"/>
      <sheetName val="EmissionAct"/>
      <sheetName val="EmissionEmb"/>
      <sheetName val="InputSplit"/>
      <sheetName val="Background Data"/>
      <sheetName val="Fuel Prices"/>
      <sheetName val="NRCan Fuel Guide"/>
      <sheetName val="Autonomie 2023 LDV"/>
      <sheetName val="Autonomie 2023 MHDV"/>
      <sheetName val="GHGenius502b Data"/>
      <sheetName val="GREET-AFLEET Data"/>
      <sheetName val="OEO &amp; EPAUS9rT Data"/>
      <sheetName val="AEO-LDV Data"/>
      <sheetName val="H2 Data"/>
      <sheetName val="Conversion Factors"/>
      <sheetName val="Assumptions"/>
      <sheetName val="Refere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2">
          <cell r="G2">
            <v>1.05505585E-6</v>
          </cell>
        </row>
        <row r="3">
          <cell r="G3">
            <v>1.60934</v>
          </cell>
        </row>
        <row r="4">
          <cell r="G4">
            <v>3.7854109999999999</v>
          </cell>
        </row>
        <row r="6">
          <cell r="R6">
            <v>1.5847543726235749</v>
          </cell>
        </row>
        <row r="7">
          <cell r="R7">
            <v>1.3745181538461539</v>
          </cell>
        </row>
        <row r="8">
          <cell r="R8">
            <v>1.3371624000000004</v>
          </cell>
        </row>
        <row r="9">
          <cell r="R9">
            <v>1.346470796460177</v>
          </cell>
        </row>
        <row r="10">
          <cell r="R10">
            <v>1.3414999999999999</v>
          </cell>
        </row>
        <row r="11">
          <cell r="R11">
            <v>1.1642034728406054</v>
          </cell>
        </row>
        <row r="12">
          <cell r="G12">
            <v>235.21511924142814</v>
          </cell>
          <cell r="R12">
            <v>1.1226268817204299</v>
          </cell>
        </row>
        <row r="13">
          <cell r="R13">
            <v>1.1463657166123775</v>
          </cell>
        </row>
        <row r="14">
          <cell r="D14">
            <v>1.18</v>
          </cell>
          <cell r="G14">
            <v>3.3568209791995381E-2</v>
          </cell>
        </row>
        <row r="15">
          <cell r="G15">
            <v>3.8599424122374035E-2</v>
          </cell>
          <cell r="R15">
            <v>0.92876224398931428</v>
          </cell>
        </row>
        <row r="16">
          <cell r="R16">
            <v>0.86269644334160445</v>
          </cell>
        </row>
        <row r="17">
          <cell r="G17">
            <v>3.5999999999999999E-3</v>
          </cell>
          <cell r="R17">
            <v>1.7199</v>
          </cell>
        </row>
        <row r="18">
          <cell r="G18">
            <v>3.4655588095718011E-2</v>
          </cell>
        </row>
        <row r="19">
          <cell r="C19">
            <v>0.86965571521409502</v>
          </cell>
          <cell r="G19">
            <v>2.3559891118956438E-2</v>
          </cell>
        </row>
        <row r="20">
          <cell r="G20">
            <v>3.5664541199357219E-2</v>
          </cell>
        </row>
        <row r="21">
          <cell r="G21">
            <v>3.6460833745516674E-2</v>
          </cell>
        </row>
        <row r="22">
          <cell r="G22">
            <v>1.0695212144803425</v>
          </cell>
        </row>
        <row r="23">
          <cell r="G23">
            <v>41.838107841790482</v>
          </cell>
        </row>
        <row r="24">
          <cell r="G24">
            <v>40.064078420612752</v>
          </cell>
        </row>
        <row r="25">
          <cell r="G25">
            <v>1.0442798010365566</v>
          </cell>
        </row>
        <row r="26">
          <cell r="G26">
            <v>1.0439892732282989</v>
          </cell>
        </row>
        <row r="27">
          <cell r="G27">
            <v>31.536000000000001</v>
          </cell>
        </row>
        <row r="36">
          <cell r="F36">
            <v>0.90718474000000004</v>
          </cell>
        </row>
        <row r="50">
          <cell r="G50">
            <v>1.0550558499999999E-3</v>
          </cell>
          <cell r="H50">
            <v>1055.05585</v>
          </cell>
        </row>
      </sheetData>
      <sheetData sheetId="28" refreshError="1"/>
      <sheetData sheetId="29" refreshError="1"/>
    </sheetDataSet>
  </externalBook>
</externalLink>
</file>

<file path=xl/persons/person.xml><?xml version="1.0" encoding="utf-8"?>
<personList xmlns="http://schemas.microsoft.com/office/spreadsheetml/2018/threadedcomments" xmlns:x="http://schemas.openxmlformats.org/spreadsheetml/2006/main">
  <person displayName="jhan" id="{C4682147-4967-4C36-A8D0-ECCF24B0B90B}" userId="jhan" providerId="None"/>
  <person displayName="Lee, Uisung" id="{A48A1F17-73B9-4E15-B2F3-2834C7E4FCF2}" userId="Lee, Uisung" providerId="None"/>
  <person displayName="Jeongwoo Han" id="{DC139F61-6356-4D73-98A0-359E63F143BC}" userId="Jeongwoo Han" providerId="None"/>
  <person displayName="Qin, Zhangcai" id="{2671C60E-0E35-4CAE-A771-7E3B6F37B574}" userId="Qin, Zhangcai" providerId="None"/>
  <person displayName="Benavides, Pahola Thathiana" id="{90D4EFA7-3353-4C75-9ADD-D3E45EB3D40D}" userId="Benavides, Pahola Thathiana" providerId="None"/>
  <person displayName="Lee, Uisung" id="{2099F905-6D6D-459F-97FD-7848E2BD10EB}" userId="S::ulee@anl.gov::84fe3a32-4a90-4a2c-812b-7491f8202b67" providerId="AD"/>
  <person displayName="Kim, Taemin" id="{F04F26B5-3615-4582-95A4-ED9F605C89E7}" userId="S::tlkim@anl.gov::b9aa6be4-6457-4f34-9f34-59d24d14acc0" providerId="AD"/>
  <person displayName="Xu, Hui" id="{F94C3B71-714C-4EC8-AE01-64A7DD7F1671}" userId="S::hui.xu@anl.gov::7e50bebb-1ced-4cd0-b638-4f275d760217" providerId="AD"/>
  <person displayName="Huang, Tai-Yuan" id="{0C670B65-E7CC-4DDE-937B-6379278E185F}" userId="S::taiyuan.huang@anl.gov::a5c916f0-1b71-46c6-bdb9-d90129ecd1e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44" personId="{C4682147-4967-4C36-A8D0-ECCF24B0B90B}" id="{014A8250-35AD-4628-A2B4-6884DBE3FA76}">
    <text>The number in this cell is the energy ratio of crude inputs to fuel.
https://pubs.acs.org/doi/pdf/10.1021/es5010347</text>
  </threadedComment>
  <threadedComment ref="E144" personId="{C4682147-4967-4C36-A8D0-ECCF24B0B90B}" id="{01E0881B-4E9C-46C0-B352-851E64497A07}">
    <text>The number in this cell is the energy ratio of crude inputs to fuel.
https://pubs.acs.org/doi/pdf/10.1021/es5010347</text>
  </threadedComment>
  <threadedComment ref="F144" personId="{C4682147-4967-4C36-A8D0-ECCF24B0B90B}" id="{32723FD0-B8E5-46F3-8C25-846145EDA569}">
    <text>The number in this cell is the energy ratio of crude inputs to fuel.
https://pubs.acs.org/doi/pdf/10.1021/es5010347</text>
  </threadedComment>
  <threadedComment ref="G144" personId="{C4682147-4967-4C36-A8D0-ECCF24B0B90B}" id="{3A944772-9122-4807-9401-32D55299625D}">
    <text>The number in this cell is the energy ratio of crude inputs to fuel.
https://pubs.acs.org/doi/pdf/10.1021/es5010347</text>
  </threadedComment>
  <threadedComment ref="H144" personId="{C4682147-4967-4C36-A8D0-ECCF24B0B90B}" id="{C855BD0B-18CE-4F5E-910D-D99972F24462}">
    <text>The number in this cell is the energy ratio of crude inputs to fuel.
https://pubs.acs.org/doi/pdf/10.1021/es5010347</text>
  </threadedComment>
  <threadedComment ref="I144" personId="{C4682147-4967-4C36-A8D0-ECCF24B0B90B}" id="{25556C78-D8D7-4015-8FC2-B19B34AF82B8}">
    <text>The number in this cell is the energy ratio of crude inputs to fuel.
https://pubs.acs.org/doi/pdf/10.1021/es5010347</text>
  </threadedComment>
  <threadedComment ref="J144" personId="{C4682147-4967-4C36-A8D0-ECCF24B0B90B}" id="{BE4877DA-4657-4CEF-9BA3-BC32D0900801}">
    <text>The number in this cell is the energy ratio of crude inputs to fuel.
https://pubs.acs.org/doi/pdf/10.1021/es5010347</text>
  </threadedComment>
  <threadedComment ref="K144" personId="{C4682147-4967-4C36-A8D0-ECCF24B0B90B}" id="{E8DFB52A-D586-4041-971E-10CC5D688CA6}">
    <text>The number in this cell is the energy ratio of crude inputs to fuel.
https://pubs.acs.org/doi/pdf/10.1021/es5010347</text>
  </threadedComment>
  <threadedComment ref="L144" personId="{C4682147-4967-4C36-A8D0-ECCF24B0B90B}" id="{0D98447F-A414-40A5-8A3C-76C5D060767C}">
    <text>The number in this cell is the energy ratio of crude inputs to fuel.
https://pubs.acs.org/doi/pdf/10.1021/es5010347</text>
  </threadedComment>
  <threadedComment ref="M144" personId="{C4682147-4967-4C36-A8D0-ECCF24B0B90B}" id="{EB71B2E9-760A-46FB-BEE7-3062BC919874}">
    <text>The number in this cell is the energy ratio of crude inputs to fuel.
https://pubs.acs.org/doi/pdf/10.1021/es5010347</text>
  </threadedComment>
  <threadedComment ref="N144" personId="{C4682147-4967-4C36-A8D0-ECCF24B0B90B}" id="{84A9FF11-FB24-409C-BD12-6DD64B56F8CF}">
    <text>The number in this cell is the energy ratio of crude inputs to fuel.
https://pubs.acs.org/doi/pdf/10.1021/es5010347</text>
  </threadedComment>
  <threadedComment ref="O144" personId="{C4682147-4967-4C36-A8D0-ECCF24B0B90B}" id="{0F10A120-C164-4F1D-91BE-1508C4640A63}">
    <text>The number in this cell is the energy ratio of crude inputs to fuel.
https://pubs.acs.org/doi/pdf/10.1021/es5010347</text>
  </threadedComment>
  <threadedComment ref="P144" personId="{C4682147-4967-4C36-A8D0-ECCF24B0B90B}" id="{FCE78505-3822-49F7-B960-2587EDC8FDC9}">
    <text>The number in this cell is the energy ratio of crude inputs to fuel.
https://pubs.acs.org/doi/pdf/10.1021/es5010347</text>
  </threadedComment>
  <threadedComment ref="Q144" personId="{C4682147-4967-4C36-A8D0-ECCF24B0B90B}" id="{315093ED-69A6-429D-A6C6-AB7B25C2E224}">
    <text>The number in this cell is the energy ratio of crude inputs to fuel.
https://pubs.acs.org/doi/pdf/10.1021/es5010347</text>
  </threadedComment>
  <threadedComment ref="R144" personId="{C4682147-4967-4C36-A8D0-ECCF24B0B90B}" id="{CBEE5243-94F9-4D3E-836C-5D784E29F261}">
    <text>The number in this cell is the energy ratio of crude inputs to fuel.
https://pubs.acs.org/doi/pdf/10.1021/es5010347</text>
  </threadedComment>
  <threadedComment ref="S144" personId="{C4682147-4967-4C36-A8D0-ECCF24B0B90B}" id="{26E6D269-060F-4020-A014-E341D34EFE81}">
    <text>The number in this cell is the energy ratio of crude inputs to fuel.
https://pubs.acs.org/doi/pdf/10.1021/es5010347</text>
  </threadedComment>
  <threadedComment ref="U144" personId="{C4682147-4967-4C36-A8D0-ECCF24B0B90B}" id="{56AC9C31-97A2-4FEE-A260-89FB95631019}">
    <text>The number in this cell is the energy ratio of crude inputs to fuel.
https://pubs.acs.org/doi/pdf/10.1021/es5010347</text>
  </threadedComment>
  <threadedComment ref="AC144" personId="{C4682147-4967-4C36-A8D0-ECCF24B0B90B}" id="{DD44C917-D8E5-4D80-91E5-EB34A86C1F11}">
    <text>The number in this cell is the energy ratio of crude inputs to fuel.
https://pubs.acs.org/doi/pdf/10.1021/es5010347</text>
  </threadedComment>
  <threadedComment ref="AD144" personId="{C4682147-4967-4C36-A8D0-ECCF24B0B90B}" id="{DFBBE19E-2E9A-4A47-8F41-3A6043F52C27}">
    <text>The number in this cell is the energy ratio of crude inputs to fuel.
https://pubs.acs.org/doi/pdf/10.1021/es5010347</text>
  </threadedComment>
  <threadedComment ref="AE144" personId="{C4682147-4967-4C36-A8D0-ECCF24B0B90B}" id="{3C85A7D0-0429-420E-BF0F-147B3F813501}">
    <text>The number in this cell is the energy ratio of crude inputs to fuel.
https://pubs.acs.org/doi/pdf/10.1021/es5010347</text>
  </threadedComment>
  <threadedComment ref="R190" personId="{2671C60E-0E35-4CAE-A771-7E3B6F37B574}" id="{7B0BAFEE-BADC-45BF-9471-D777F98CFA44}">
    <text>For original and residual Starch EtOH</text>
  </threadedComment>
  <threadedComment ref="T190" personId="{2671C60E-0E35-4CAE-A771-7E3B6F37B574}" id="{C0147C5D-7CB5-40D7-B741-1930324DB4E7}">
    <text>For Fiber EtOH only</text>
  </threadedComment>
  <threadedComment ref="CD193" personId="{A48A1F17-73B9-4E15-B2F3-2834C7E4FCF2}" id="{752C2A8F-9753-4F7C-B956-172320FB2AB7}">
    <text>mmBtu</text>
  </threadedComment>
  <threadedComment ref="CD194" personId="{A48A1F17-73B9-4E15-B2F3-2834C7E4FCF2}" id="{F48D2936-7563-441E-AB3E-0360389133CE}">
    <text>mmBtu</text>
  </threadedComment>
  <threadedComment ref="CD195" personId="{A48A1F17-73B9-4E15-B2F3-2834C7E4FCF2}" id="{BEECE8B6-FADB-47F9-8052-8E04ABA803CE}">
    <text>mmBtu</text>
  </threadedComment>
  <threadedComment ref="CD196" personId="{A48A1F17-73B9-4E15-B2F3-2834C7E4FCF2}" id="{1D0BA893-2C81-4E40-A722-346437715C4C}">
    <text>mmBtu</text>
  </threadedComment>
  <threadedComment ref="CD197" personId="{A48A1F17-73B9-4E15-B2F3-2834C7E4FCF2}" id="{3682645A-5802-4EA4-8079-78777C4FD66B}">
    <text>mmBtu</text>
  </threadedComment>
  <threadedComment ref="CC214" dT="2021-09-17T16:01:57.00" personId="{F04F26B5-3615-4582-95A4-ED9F605C89E7}" id="{03BA14A3-FEAD-4243-8284-430147FCC4CA}">
    <text>Part of Co-optima project. 
Gaspar, D. J. 2021. Top 13 Blendstocks Derived from Biomass for Mixing-Controlled
Compression-Ignition (Diesel) Engines: Bioblendstocks with Potential for Lower Emissions and
Increased Operability. PNNL-31421. Pacific Northwest National Laboratory, Richland, WA.</text>
  </threadedComment>
  <threadedComment ref="W216" personId="{DC139F61-6356-4D73-98A0-359E63F143BC}" id="{523E63E5-A40D-4FDF-80A2-EFD40033F1B9}">
    <text>Tallow is treated as a waste product of beef production and therefore has no impacts assigned to its generation.</text>
  </threadedComment>
  <threadedComment ref="AD216" dT="2021-10-21T21:04:22.84" personId="{F94C3B71-714C-4EC8-AE01-64A7DD7F1671}" id="{F0990790-7D1D-4C88-935E-FF432F4BF1FC}">
    <text>Assuming PFAD is converted to BD in Singapore then shipped via tanker</text>
  </threadedComment>
  <threadedComment ref="AG216" dT="2021-07-31T21:19:01.43" personId="{F94C3B71-714C-4EC8-AE01-64A7DD7F1671}" id="{7AA8FAD2-0B31-4A20-B114-E4A3119985DC}">
    <text>UCO is treated as a waste feedstock; emissions associated with oilseeds and virgin production are not included here</text>
  </threadedComment>
  <threadedComment ref="BC216" dT="2021-07-31T21:19:01.43" personId="{F94C3B71-714C-4EC8-AE01-64A7DD7F1671}" id="{0D20563F-ADD1-4A56-9C9A-3AA015248B15}">
    <text>Tallow is treated as a waste product of beef production and therefore has no impacts assigned to its generation.</text>
  </threadedComment>
  <threadedComment ref="BE216" dT="2021-07-31T21:19:01.43" personId="{F94C3B71-714C-4EC8-AE01-64A7DD7F1671}" id="{4223C4C3-CBE3-492C-87A7-2396E6373C33}">
    <text>UCO is treated as a waste feedstock; emissions associated with oilseeds and virgin production are not included here</text>
  </threadedComment>
  <threadedComment ref="I219" personId="{DC139F61-6356-4D73-98A0-359E63F143BC}" id="{A2967ED5-6E88-4993-A569-75A01DB48059}">
    <text>This is the energy incuding the soy oil consumptions. So, energy in the soy oil is included.</text>
  </threadedComment>
  <threadedComment ref="J219" personId="{DC139F61-6356-4D73-98A0-359E63F143BC}" id="{68DF7734-0AC5-44DE-A58F-EBFBEE1B6E47}">
    <text>This is the energy incuding the soy meal consumptions. So, energy in the soy meal is included.</text>
  </threadedComment>
  <threadedComment ref="CC219" personId="{90D4EFA7-3353-4C75-9ADD-D3E45EB3D40D}" id="{E666B4FB-8580-4585-967E-91700FEFA79B}">
    <text>Note1: We assumed the upstream of tallow as a proxy for yellow grease, which includes both rendering and transportation for yellow grease. User can also choose used cooking oil (UCO)
Note 2: The Factor (0.03382), represents 0.03382 tons feedstock ton/mmbtu of co-optima fuel produced</text>
  </threadedComment>
  <threadedComment ref="CE219" dT="2021-08-23T16:50:45.42" personId="{F04F26B5-3615-4582-95A4-ED9F605C89E7}" id="{2E0F271B-8E61-4FF0-A641-7B9BCE1FBF5E}">
    <text>Note 1: The Factor (0.03382), represents 0.03382 tons feedstock ton/mmbtu of co-optima fuel produced</text>
  </threadedComment>
  <threadedComment ref="CG219" personId="{90D4EFA7-3353-4C75-9ADD-D3E45EB3D40D}" id="{84DB6472-5795-4094-8CE2-900ADFBB8BFE}">
    <text>Note1: We assumed the upstream of tallow as a proxy for yellow grease, which includes both rendering and transportation for yellow grease. User can also choose used cooking oil (UCO)
Note 2: The Factor (0.03382), represents 0.03382 tons feedstock ton/mmbtu of co-optima fuel produced</text>
  </threadedComment>
  <threadedComment ref="CE235" dT="2021-08-26T16:45:46.52" personId="{F04F26B5-3615-4582-95A4-ED9F605C89E7}" id="{2F7EF923-CA8F-4F81-84F4-74C98361949E}">
    <text>Including the ILUC for soybean oil</text>
  </threadedComment>
  <threadedComment ref="CG235" dT="2021-08-23T16:58:58.17" personId="{F04F26B5-3615-4582-95A4-ED9F605C89E7}" id="{A680FE45-1535-45B1-BE5C-3639FA68463C}">
    <text>Including iLUC for the Soybean portion</text>
  </threadedComment>
  <threadedComment ref="EQ259" dT="2023-04-28T19:21:25.42" personId="{2099F905-6D6D-459F-97FD-7848E2BD10EB}" id="{4996D47A-F504-4E47-B54C-DF521B6B09D9}">
    <text xml:space="preserve">Does not include fossil carbon emission from fuel combustion. </text>
  </threadedComment>
  <threadedComment ref="AH264" dT="2023-08-14T16:39:55.88" personId="{0C670B65-E7CC-4DDE-937B-6379278E185F}" id="{388E4E1B-D456-40B2-ACFC-37624D6317A1}">
    <text>Consider hydrogen produced on site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ustainablesystems.civmin.utoronto.c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data.ontario.ca/dataset/1c949987-310c-4bd8-adaa-a9268332e4c0/resource/0d6c5fc6-bb23-4b6b-8310-35965ef78548/download/2020.zip"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doi.org/10.35002/zjr8-8x75"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3" Type="http://schemas.openxmlformats.org/officeDocument/2006/relationships/hyperlink" Target="https://www.nhtsa.gov/file-downloads?p=nhtsa/downloads/CAFE/2022-FR-LD-2024-2026/" TargetMode="External"/><Relationship Id="rId18" Type="http://schemas.openxmlformats.org/officeDocument/2006/relationships/hyperlink" Target="https://vms.taps.anl.gov/research-highlights/u-s-doe-vto-hfto-r-d-benefits/" TargetMode="External"/><Relationship Id="rId26" Type="http://schemas.openxmlformats.org/officeDocument/2006/relationships/hyperlink" Target="https://tdih-cdit.tc.canada.ca/en/addendum-table/m17-cargo-handled-canada-port-authorities-cpas" TargetMode="External"/><Relationship Id="rId39" Type="http://schemas.openxmlformats.org/officeDocument/2006/relationships/hyperlink" Target="https://us-regen-docs.epri.com/v2021a/assumptions/transportation.html" TargetMode="External"/><Relationship Id="rId21" Type="http://schemas.openxmlformats.org/officeDocument/2006/relationships/hyperlink" Target="https://www.nrel.gov/docs/fy21osti/71796.pdf" TargetMode="External"/><Relationship Id="rId34" Type="http://schemas.openxmlformats.org/officeDocument/2006/relationships/hyperlink" Target="https://www144.statcan.gc.ca/nats-stna/tables-tableaux/tbl5-2/tbl5-2-CAN-eng.htm" TargetMode="External"/><Relationship Id="rId42" Type="http://schemas.openxmlformats.org/officeDocument/2006/relationships/hyperlink" Target="https://doi.org/10.35002/zjr8-8x75" TargetMode="External"/><Relationship Id="rId47" Type="http://schemas.openxmlformats.org/officeDocument/2006/relationships/drawing" Target="../drawings/drawing2.xml"/><Relationship Id="rId7" Type="http://schemas.openxmlformats.org/officeDocument/2006/relationships/hyperlink" Target="https://cfpub.epa.gov/si/si_public_record_report.cfm?Lab=NRMRL&amp;dirEntryId=346478" TargetMode="External"/><Relationship Id="rId2" Type="http://schemas.openxmlformats.org/officeDocument/2006/relationships/hyperlink" Target="https://doi.org/10.25318/3410025401-eng" TargetMode="External"/><Relationship Id="rId16" Type="http://schemas.openxmlformats.org/officeDocument/2006/relationships/hyperlink" Target="https://www.nrel.gov/docs/fy21osti/71796.pdf" TargetMode="External"/><Relationship Id="rId29" Type="http://schemas.openxmlformats.org/officeDocument/2006/relationships/hyperlink" Target="https://theicct.org/publication/ships-great-lakes-emissions-mar22/" TargetMode="External"/><Relationship Id="rId1" Type="http://schemas.openxmlformats.org/officeDocument/2006/relationships/hyperlink" Target="https://doi.org/10.25318/2310006701-eng" TargetMode="External"/><Relationship Id="rId6" Type="http://schemas.openxmlformats.org/officeDocument/2006/relationships/hyperlink" Target="https://www.nhtsa.gov/corporate-average-fuel-economy/cafe-compliance-and-effects-modeling-system" TargetMode="External"/><Relationship Id="rId11" Type="http://schemas.openxmlformats.org/officeDocument/2006/relationships/hyperlink" Target="https://www.nrel.gov/docs/fy21osti/71796.pdf." TargetMode="External"/><Relationship Id="rId24" Type="http://schemas.openxmlformats.org/officeDocument/2006/relationships/hyperlink" Target="mailto:nemsmodel@eia.gov" TargetMode="External"/><Relationship Id="rId32" Type="http://schemas.openxmlformats.org/officeDocument/2006/relationships/hyperlink" Target="https://doi.org/10.25318/2010002101-eng" TargetMode="External"/><Relationship Id="rId37" Type="http://schemas.openxmlformats.org/officeDocument/2006/relationships/hyperlink" Target="https://doi.org/10.7922/G2H993FJ" TargetMode="External"/><Relationship Id="rId40" Type="http://schemas.openxmlformats.org/officeDocument/2006/relationships/hyperlink" Target="https://us-regen-docs.epri.com/v2021a/assumptions/transportation.html" TargetMode="External"/><Relationship Id="rId45" Type="http://schemas.openxmlformats.org/officeDocument/2006/relationships/hyperlink" Target="https://doi.org/10.25318/2010002401-eng" TargetMode="External"/><Relationship Id="rId5" Type="http://schemas.openxmlformats.org/officeDocument/2006/relationships/hyperlink" Target="https://www.boeing.com/content/dam/boeing/boeingdotcom/commercial/about-our-market/assets/downloads/aircraft_economic_life_whitepaper.pdf" TargetMode="External"/><Relationship Id="rId15" Type="http://schemas.openxmlformats.org/officeDocument/2006/relationships/hyperlink" Target="https://www.nrel.gov/docs/fy21osti/71796.pdf" TargetMode="External"/><Relationship Id="rId23" Type="http://schemas.openxmlformats.org/officeDocument/2006/relationships/hyperlink" Target="https://www.nrel.gov/docs/fy21osti/71796.pdf" TargetMode="External"/><Relationship Id="rId28" Type="http://schemas.openxmlformats.org/officeDocument/2006/relationships/hyperlink" Target="https://theicct.org/publication/ships-great-lakes-emissions-mar22/" TargetMode="External"/><Relationship Id="rId36" Type="http://schemas.openxmlformats.org/officeDocument/2006/relationships/hyperlink" Target="https://doi.org/10.35002/zjr8-8x75" TargetMode="External"/><Relationship Id="rId10" Type="http://schemas.openxmlformats.org/officeDocument/2006/relationships/hyperlink" Target="https://doi.org/10.25318/2310030801-eng" TargetMode="External"/><Relationship Id="rId19" Type="http://schemas.openxmlformats.org/officeDocument/2006/relationships/hyperlink" Target="https://anl.box.com/s/o4qd76cx7atadx03tzw9ddgo1m6yanek" TargetMode="External"/><Relationship Id="rId31" Type="http://schemas.openxmlformats.org/officeDocument/2006/relationships/hyperlink" Target="https://greatlakes-seaway.com/wp-content/uploads/2019/10/Impacts-Full_En.pdf" TargetMode="External"/><Relationship Id="rId44" Type="http://schemas.openxmlformats.org/officeDocument/2006/relationships/hyperlink" Target="https://www.nhtsa.gov/corporate-average-fuel-economy/cafe-compliance-and-effects-modeling-system" TargetMode="External"/><Relationship Id="rId4" Type="http://schemas.openxmlformats.org/officeDocument/2006/relationships/hyperlink" Target="https://docs.energypolicy.solutions/models/canada" TargetMode="External"/><Relationship Id="rId9" Type="http://schemas.openxmlformats.org/officeDocument/2006/relationships/hyperlink" Target="https://tdih-cdit.tc.canada.ca/en/addendum-table/m10-canadian-registered-fleet-vessel-type-selected-years" TargetMode="External"/><Relationship Id="rId14" Type="http://schemas.openxmlformats.org/officeDocument/2006/relationships/hyperlink" Target="https://www.nhtsa.gov/file-downloads?p=nhtsa/downloads/CAFE/2022-FR-LD-2024-2026/" TargetMode="External"/><Relationship Id="rId22" Type="http://schemas.openxmlformats.org/officeDocument/2006/relationships/hyperlink" Target="https://www.nrel.gov/docs/fy21osti/71796.pdf" TargetMode="External"/><Relationship Id="rId27" Type="http://schemas.openxmlformats.org/officeDocument/2006/relationships/hyperlink" Target="https://theicct.org/publication/ships-great-lakes-emissions-mar22/" TargetMode="External"/><Relationship Id="rId30" Type="http://schemas.openxmlformats.org/officeDocument/2006/relationships/hyperlink" Target="https://theicct.org/publication/ships-great-lakes-emissions-mar22/" TargetMode="External"/><Relationship Id="rId35" Type="http://schemas.openxmlformats.org/officeDocument/2006/relationships/hyperlink" Target="https://doi.org/10.35002/zjr8-8x75" TargetMode="External"/><Relationship Id="rId43" Type="http://schemas.openxmlformats.org/officeDocument/2006/relationships/hyperlink" Target="https://data.ontario.ca/dataset/vehicle-population-data" TargetMode="External"/><Relationship Id="rId8" Type="http://schemas.openxmlformats.org/officeDocument/2006/relationships/hyperlink" Target="https://cfpub.epa.gov/si/si_public_record_report.cfm?Lab=NRMRL&amp;dirEntryId=346478" TargetMode="External"/><Relationship Id="rId3" Type="http://schemas.openxmlformats.org/officeDocument/2006/relationships/hyperlink" Target="https://docs.energypolicy.solutions/models/canada" TargetMode="External"/><Relationship Id="rId12" Type="http://schemas.openxmlformats.org/officeDocument/2006/relationships/hyperlink" Target="https://www.nhtsa.gov/file-downloads?p=nhtsa/downloads/CAFE/2022-FR-LD-2024-2026/" TargetMode="External"/><Relationship Id="rId17" Type="http://schemas.openxmlformats.org/officeDocument/2006/relationships/hyperlink" Target="https://greet.es.anl.gov/afleet" TargetMode="External"/><Relationship Id="rId25" Type="http://schemas.openxmlformats.org/officeDocument/2006/relationships/hyperlink" Target="https://tdih-cdit.tc.canada.ca/en/addendum-table/m11-vessel-trips-canadian-waters-vessel-type" TargetMode="External"/><Relationship Id="rId33" Type="http://schemas.openxmlformats.org/officeDocument/2006/relationships/hyperlink" Target="https://nhts.ornl.gov/" TargetMode="External"/><Relationship Id="rId38" Type="http://schemas.openxmlformats.org/officeDocument/2006/relationships/hyperlink" Target="https://nepis.epa.gov/Exe/ZyPDF.cgi?Dockey=P101867U.pdf" TargetMode="External"/><Relationship Id="rId46" Type="http://schemas.openxmlformats.org/officeDocument/2006/relationships/printerSettings" Target="../printerSettings/printerSettings10.bin"/><Relationship Id="rId20" Type="http://schemas.openxmlformats.org/officeDocument/2006/relationships/hyperlink" Target="https://anl.box.com/s/o4qd76cx7atadx03tzw9ddgo1m6yanek" TargetMode="External"/><Relationship Id="rId41" Type="http://schemas.openxmlformats.org/officeDocument/2006/relationships/hyperlink" Target="https://doi.org/10.25318/2310021901-eng"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1.bin"/><Relationship Id="rId1" Type="http://schemas.openxmlformats.org/officeDocument/2006/relationships/hyperlink" Target="https://open.canada.ca/data/en/dataset/98f1a129-f628-4ce4-b24d-6f16bf24dd64"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vms.taps.anl.gov/research-highlights/u-s-doe-vto-hfto-r-d-benefits/" TargetMode="Externa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https://greet.es.anl.gov/afleet" TargetMode="External"/><Relationship Id="rId1" Type="http://schemas.openxmlformats.org/officeDocument/2006/relationships/hyperlink" Target="https://greet.es.anl.gov/greet_1_series" TargetMode="External"/><Relationship Id="rId5" Type="http://schemas.microsoft.com/office/2017/10/relationships/threadedComment" Target="../threadedComments/threadedComment1.xml"/><Relationship Id="rId4" Type="http://schemas.openxmlformats.org/officeDocument/2006/relationships/comments" Target="../comments3.xml"/></Relationships>
</file>

<file path=xl/worksheets/_rels/sheet18.xml.rels><?xml version="1.0" encoding="UTF-8" standalone="yes"?>
<Relationships xmlns="http://schemas.openxmlformats.org/package/2006/relationships"><Relationship Id="rId3" Type="http://schemas.openxmlformats.org/officeDocument/2006/relationships/hyperlink" Target="https://www.iea.org/reports/global-hydrogen-review-2024" TargetMode="External"/><Relationship Id="rId2" Type="http://schemas.openxmlformats.org/officeDocument/2006/relationships/hyperlink" Target="https://github.com/TemoaProject/oeo/blob/master/database_documentation/TransportationSector.ipynb" TargetMode="External"/><Relationship Id="rId1" Type="http://schemas.openxmlformats.org/officeDocument/2006/relationships/hyperlink" Target="https://cfpub.epa.gov/si/si_public_record_report.cfm?Lab=NRMRL&amp;dirEntryId=346478"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eia.gov/outlooks/aeo/tables_ref.php"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www.gov.uk/government/publications/hydrogen-production-costs-2021" TargetMode="External"/><Relationship Id="rId1" Type="http://schemas.openxmlformats.org/officeDocument/2006/relationships/hyperlink" Target="https://doi.org/10.1016/j.dib.2023.109822"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doi.org/10.25318/3610013001-eng" TargetMode="External"/><Relationship Id="rId2" Type="http://schemas.openxmlformats.org/officeDocument/2006/relationships/hyperlink" Target="https://www150.statcan.gc.ca/t1/tbl1/en/tv.action?pid=1810000501" TargetMode="External"/><Relationship Id="rId1" Type="http://schemas.openxmlformats.org/officeDocument/2006/relationships/hyperlink" Target="https://www.bankofcanada.ca/rates/exchange/annual-average-exchange-rates/" TargetMode="External"/><Relationship Id="rId4"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6" Type="http://schemas.openxmlformats.org/officeDocument/2006/relationships/hyperlink" Target="https://www150.statcan.gc.ca/t1/tbl1/en/tv.action?pid=2310005901" TargetMode="External"/><Relationship Id="rId21" Type="http://schemas.openxmlformats.org/officeDocument/2006/relationships/hyperlink" Target="https://www150.statcan.gc.ca/t1/tbl1/en/tv.action?pid=2310006701" TargetMode="External"/><Relationship Id="rId42" Type="http://schemas.openxmlformats.org/officeDocument/2006/relationships/hyperlink" Target="https://doi.org/10.7922/G2H993FJ" TargetMode="External"/><Relationship Id="rId47" Type="http://schemas.openxmlformats.org/officeDocument/2006/relationships/hyperlink" Target="https://publications.gc.ca/collections/collection_2009/tc/T22-165-2008E.pdf" TargetMode="External"/><Relationship Id="rId63" Type="http://schemas.openxmlformats.org/officeDocument/2006/relationships/hyperlink" Target="https://www.naviusresearch.com/publications/2023-biofuels-in-canada/" TargetMode="External"/><Relationship Id="rId68" Type="http://schemas.openxmlformats.org/officeDocument/2006/relationships/hyperlink" Target="https://dmg.utoronto.ca/" TargetMode="External"/><Relationship Id="rId16" Type="http://schemas.openxmlformats.org/officeDocument/2006/relationships/hyperlink" Target="https://doi.org/10.2172/1821615" TargetMode="External"/><Relationship Id="rId11" Type="http://schemas.openxmlformats.org/officeDocument/2006/relationships/hyperlink" Target="https://doi.org/10.1257/aer.20150897" TargetMode="External"/><Relationship Id="rId32" Type="http://schemas.openxmlformats.org/officeDocument/2006/relationships/hyperlink" Target="https://vms.taps.anl.gov/research-highlights/u-s-doe-vto-hfto-r-d-benefits/" TargetMode="External"/><Relationship Id="rId37" Type="http://schemas.openxmlformats.org/officeDocument/2006/relationships/hyperlink" Target="https://doi.org/10.11578/GREET-Excel-2022/dc.20220908.1" TargetMode="External"/><Relationship Id="rId53" Type="http://schemas.openxmlformats.org/officeDocument/2006/relationships/hyperlink" Target="https://theicct.github.io/EVCHARGE-doc/versions/v1.1/" TargetMode="External"/><Relationship Id="rId58" Type="http://schemas.openxmlformats.org/officeDocument/2006/relationships/hyperlink" Target="https://doi.org/10.1016/j.joule.2020.05.013" TargetMode="External"/><Relationship Id="rId74" Type="http://schemas.openxmlformats.org/officeDocument/2006/relationships/hyperlink" Target="https://www.epa.gov/regulations-emissions-vehicles-and-engines/final-rule-phase-2-greenhouse-gas-emissions-standards-and" TargetMode="External"/><Relationship Id="rId79" Type="http://schemas.openxmlformats.org/officeDocument/2006/relationships/hyperlink" Target="https://doi.org/10.2172/1862910" TargetMode="External"/><Relationship Id="rId5" Type="http://schemas.openxmlformats.org/officeDocument/2006/relationships/hyperlink" Target="https://doi.org/10.1016/j.ijhydene.2013.11.021" TargetMode="External"/><Relationship Id="rId61" Type="http://schemas.openxmlformats.org/officeDocument/2006/relationships/hyperlink" Target="https://doi.org/10.3390/wevj1010134" TargetMode="External"/><Relationship Id="rId19" Type="http://schemas.openxmlformats.org/officeDocument/2006/relationships/hyperlink" Target="https://doi.org/10.1016/j.seta.2023.103070" TargetMode="External"/><Relationship Id="rId14" Type="http://schemas.openxmlformats.org/officeDocument/2006/relationships/hyperlink" Target="https://doi.org/10.3390/en14217279" TargetMode="External"/><Relationship Id="rId22" Type="http://schemas.openxmlformats.org/officeDocument/2006/relationships/hyperlink" Target="https://www150.statcan.gc.ca/t1/tbl1/en/tv.action?pid=3410025501" TargetMode="External"/><Relationship Id="rId27" Type="http://schemas.openxmlformats.org/officeDocument/2006/relationships/hyperlink" Target="https://wwwapps.tc.gc.ca/Saf-Sec-Sur/2/CCARCS-RIACC/SmRp.aspx" TargetMode="External"/><Relationship Id="rId30" Type="http://schemas.openxmlformats.org/officeDocument/2006/relationships/hyperlink" Target="https://doi.org/10.1016/j.apenergy.2017.03.104" TargetMode="External"/><Relationship Id="rId35" Type="http://schemas.openxmlformats.org/officeDocument/2006/relationships/hyperlink" Target="https://open.canada.ca/data/en/dataset/98f1a129-f628-4ce4-b24d-6f16bf24dd64" TargetMode="External"/><Relationship Id="rId43" Type="http://schemas.openxmlformats.org/officeDocument/2006/relationships/hyperlink" Target="https://itspubs.ucdavis.edu/download_pdf.php?id=2703" TargetMode="External"/><Relationship Id="rId48" Type="http://schemas.openxmlformats.org/officeDocument/2006/relationships/hyperlink" Target="https://doi.org/10.5194/gmd-12-677-2019" TargetMode="External"/><Relationship Id="rId56" Type="http://schemas.openxmlformats.org/officeDocument/2006/relationships/hyperlink" Target="https://hdsam.es.anl.gov/index.php" TargetMode="External"/><Relationship Id="rId64" Type="http://schemas.openxmlformats.org/officeDocument/2006/relationships/hyperlink" Target="https://www.pollutionprobe.org/2023-canadian-ev-owner-charging-experience-report/" TargetMode="External"/><Relationship Id="rId69" Type="http://schemas.openxmlformats.org/officeDocument/2006/relationships/hyperlink" Target="https://www.eia.gov/outlooks/aeo/data/browser/" TargetMode="External"/><Relationship Id="rId77" Type="http://schemas.openxmlformats.org/officeDocument/2006/relationships/hyperlink" Target="https://www.nhtsa.gov/corporate-average-fuel-economy/cafe-compliance-and-effects-modeling-system" TargetMode="External"/><Relationship Id="rId8" Type="http://schemas.openxmlformats.org/officeDocument/2006/relationships/hyperlink" Target="https://www.canada.ca/en/environment-climate-change/services/managing-pollution/marine-emissions-inventory-tool.html" TargetMode="External"/><Relationship Id="rId51" Type="http://schemas.openxmlformats.org/officeDocument/2006/relationships/hyperlink" Target="https://www.icao.int/environmental-protection/GFAAF/Pages/Conversion-processes.aspx" TargetMode="External"/><Relationship Id="rId72" Type="http://schemas.openxmlformats.org/officeDocument/2006/relationships/hyperlink" Target="https://vms.taps.anl.gov/research-highlights/vehicle-technologies/u-s-doe-vto-hfto-r-d-benefits/" TargetMode="External"/><Relationship Id="rId80" Type="http://schemas.openxmlformats.org/officeDocument/2006/relationships/hyperlink" Target="https://www.gov.uk/government/publications/hydrogen-production-costs-2021" TargetMode="External"/><Relationship Id="rId3" Type="http://schemas.openxmlformats.org/officeDocument/2006/relationships/hyperlink" Target="https://natural-resources.canada.ca/sites/www.nrcan.gc.ca/files/energy/energy-resources/CERI_Study_162_Full_Report.pdf" TargetMode="External"/><Relationship Id="rId12" Type="http://schemas.openxmlformats.org/officeDocument/2006/relationships/hyperlink" Target="https://doi.org/10.1016/j.apenergy.2019.113536" TargetMode="External"/><Relationship Id="rId17" Type="http://schemas.openxmlformats.org/officeDocument/2006/relationships/hyperlink" Target="https://doi.org/10.2172/1459351" TargetMode="External"/><Relationship Id="rId25" Type="http://schemas.openxmlformats.org/officeDocument/2006/relationships/hyperlink" Target="https://www150.statcan.gc.ca/t1/tbl1/en/tv.action?pid=2310030301" TargetMode="External"/><Relationship Id="rId33" Type="http://schemas.openxmlformats.org/officeDocument/2006/relationships/hyperlink" Target="https://www.epa.gov/system/files/documents/2023-08/420r23005.pdf" TargetMode="External"/><Relationship Id="rId38" Type="http://schemas.openxmlformats.org/officeDocument/2006/relationships/hyperlink" Target="https://doi.org/10.11578/GREET-Excel-2020/dc.20200912.1" TargetMode="External"/><Relationship Id="rId46" Type="http://schemas.openxmlformats.org/officeDocument/2006/relationships/hyperlink" Target="https://doi.org/10.1016/j.joule.2020.11.002" TargetMode="External"/><Relationship Id="rId59" Type="http://schemas.openxmlformats.org/officeDocument/2006/relationships/hyperlink" Target="https://www.iea.org/reports/the-future-of-hydrogen" TargetMode="External"/><Relationship Id="rId67" Type="http://schemas.openxmlformats.org/officeDocument/2006/relationships/hyperlink" Target="https://nhts.ornl.gov/" TargetMode="External"/><Relationship Id="rId20" Type="http://schemas.openxmlformats.org/officeDocument/2006/relationships/hyperlink" Target="https://www150.statcan.gc.ca/n1/pub/53-223-x/2009000/tablesectlist-listetableauxsect-eng.htm" TargetMode="External"/><Relationship Id="rId41" Type="http://schemas.openxmlformats.org/officeDocument/2006/relationships/hyperlink" Target="https://doi.org/10.1088/2516-1083/ac86b5" TargetMode="External"/><Relationship Id="rId54" Type="http://schemas.openxmlformats.org/officeDocument/2006/relationships/hyperlink" Target="https://natural-resources.canada.ca/energy-efficiency/transportation-alternative-fuels/resource-library/3489" TargetMode="External"/><Relationship Id="rId62" Type="http://schemas.openxmlformats.org/officeDocument/2006/relationships/hyperlink" Target="https://www.canada.ca/en/environment-climate-change/services/managing-pollution/fuel-life-cycle-assessment-model.html" TargetMode="External"/><Relationship Id="rId70" Type="http://schemas.openxmlformats.org/officeDocument/2006/relationships/hyperlink" Target="https://doi.org/10.35002/ZJR8-8X75" TargetMode="External"/><Relationship Id="rId75" Type="http://schemas.openxmlformats.org/officeDocument/2006/relationships/hyperlink" Target="https://www.ghgenius.ca/index.php/downloads" TargetMode="External"/><Relationship Id="rId1" Type="http://schemas.openxmlformats.org/officeDocument/2006/relationships/hyperlink" Target="https://doi.org/10.1016/j.enpol.2013.07.023" TargetMode="External"/><Relationship Id="rId6" Type="http://schemas.openxmlformats.org/officeDocument/2006/relationships/hyperlink" Target="https://www.eia.gov/outlooks/aeo/assumptions/pdf/TDM_Assumptions.pdf" TargetMode="External"/><Relationship Id="rId15" Type="http://schemas.openxmlformats.org/officeDocument/2006/relationships/hyperlink" Target="https://doi.org/10.2172/1804702" TargetMode="External"/><Relationship Id="rId23" Type="http://schemas.openxmlformats.org/officeDocument/2006/relationships/hyperlink" Target="https://www150.statcan.gc.ca/t1/tbl1/en/tv.action?pid=2010002101" TargetMode="External"/><Relationship Id="rId28" Type="http://schemas.openxmlformats.org/officeDocument/2006/relationships/hyperlink" Target="https://tc.canada.ca/en/corporate-services/transparency/corporate-management-reporting/transportation-canada-annual-reports/transportation-canada-2020-overview-report" TargetMode="External"/><Relationship Id="rId36" Type="http://schemas.openxmlformats.org/officeDocument/2006/relationships/hyperlink" Target="https://www.eia.gov/outlooks/aeo/data/browser/" TargetMode="External"/><Relationship Id="rId49" Type="http://schemas.openxmlformats.org/officeDocument/2006/relationships/hyperlink" Target="https://greet.anl.gov/afleet" TargetMode="External"/><Relationship Id="rId57" Type="http://schemas.openxmlformats.org/officeDocument/2006/relationships/hyperlink" Target="https://doi.org/10.1038/s41560-021-00855-0" TargetMode="External"/><Relationship Id="rId10" Type="http://schemas.openxmlformats.org/officeDocument/2006/relationships/hyperlink" Target="https://bakercenterdev.utk.edu/images/20220628%20Vehicle%20Scrappage%20and%20Survival.pdf" TargetMode="External"/><Relationship Id="rId31" Type="http://schemas.openxmlformats.org/officeDocument/2006/relationships/hyperlink" Target="https://doi.org/10.2172/1780970" TargetMode="External"/><Relationship Id="rId44" Type="http://schemas.openxmlformats.org/officeDocument/2006/relationships/hyperlink" Target="https://doi.org/10.1021/es5018575" TargetMode="External"/><Relationship Id="rId52" Type="http://schemas.openxmlformats.org/officeDocument/2006/relationships/hyperlink" Target="https://theicct.org/publication/lvs-ci-quebec-can-en-feb22/" TargetMode="External"/><Relationship Id="rId60" Type="http://schemas.openxmlformats.org/officeDocument/2006/relationships/hyperlink" Target="https://doi.org/10.11578/GREET-EXCEL-2023/DC.20230907.1" TargetMode="External"/><Relationship Id="rId65" Type="http://schemas.openxmlformats.org/officeDocument/2006/relationships/hyperlink" Target="https://atb.nrel.gov/transportation/2022/" TargetMode="External"/><Relationship Id="rId73" Type="http://schemas.openxmlformats.org/officeDocument/2006/relationships/hyperlink" Target="https://us-regen-docs.epri.com/v2021a/" TargetMode="External"/><Relationship Id="rId78" Type="http://schemas.openxmlformats.org/officeDocument/2006/relationships/hyperlink" Target="https://www.iea.org/reports/global-hydrogen-review-2024" TargetMode="External"/><Relationship Id="rId81" Type="http://schemas.openxmlformats.org/officeDocument/2006/relationships/hyperlink" Target="https://doi.org/10.17632/8ztnn4br66.1" TargetMode="External"/><Relationship Id="rId4" Type="http://schemas.openxmlformats.org/officeDocument/2006/relationships/hyperlink" Target="https://www.policyschool.ca/ceri-canadian-energy-research-institute/" TargetMode="External"/><Relationship Id="rId9" Type="http://schemas.openxmlformats.org/officeDocument/2006/relationships/hyperlink" Target="https://cfpub.epa.gov/si/si_public_record_report.cfm?Lab=NRMRL&amp;dirEntryId=346478" TargetMode="External"/><Relationship Id="rId13" Type="http://schemas.openxmlformats.org/officeDocument/2006/relationships/hyperlink" Target="https://oee.nrcan.gc.ca/corporate/statistics/neud/dpa/menus/trends/comprehensive/trends_tran_on.cfm" TargetMode="External"/><Relationship Id="rId18" Type="http://schemas.openxmlformats.org/officeDocument/2006/relationships/hyperlink" Target="https://tedb.ornl.gov/wp-content/uploads/2022/03/TEDB_Ed_40.pdf" TargetMode="External"/><Relationship Id="rId39" Type="http://schemas.openxmlformats.org/officeDocument/2006/relationships/hyperlink" Target="https://greatlakes-seaway.com/wp-content/uploads/2019/10/Impacts-Full_En.pdf" TargetMode="External"/><Relationship Id="rId34" Type="http://schemas.openxmlformats.org/officeDocument/2006/relationships/hyperlink" Target="https://www.nrel.gov/docs/fy18osti/70485.pdf" TargetMode="External"/><Relationship Id="rId50" Type="http://schemas.openxmlformats.org/officeDocument/2006/relationships/hyperlink" Target="https://doi.org/10.35002/zjr8-8x75" TargetMode="External"/><Relationship Id="rId55" Type="http://schemas.openxmlformats.org/officeDocument/2006/relationships/hyperlink" Target="https://www.canada.ca/en/environment-climate-change/services/managing-pollution/energy-production/fuel-regulations/clean-fuel-regulations/about.html" TargetMode="External"/><Relationship Id="rId76" Type="http://schemas.openxmlformats.org/officeDocument/2006/relationships/hyperlink" Target="https://www.boeing.com/content/dam/boeing/boeingdotcom/commercial/about-our-market/assets/downloads/aircraft_economic_life_whitepaper.pdf" TargetMode="External"/><Relationship Id="rId7" Type="http://schemas.openxmlformats.org/officeDocument/2006/relationships/hyperlink" Target="https://docs.energypolicy.solutions/models/canada" TargetMode="External"/><Relationship Id="rId71" Type="http://schemas.openxmlformats.org/officeDocument/2006/relationships/hyperlink" Target="https://data.ontario.ca/dataset/vehicle-population-data" TargetMode="External"/><Relationship Id="rId2" Type="http://schemas.openxmlformats.org/officeDocument/2006/relationships/hyperlink" Target="https://www.cer-rec.gc.ca/en/data-analysis/energy-markets/market-snapshots/2019/market-snapshot-levelized-costs-driving-evs-conventional-vehicles.html" TargetMode="External"/><Relationship Id="rId29" Type="http://schemas.openxmlformats.org/officeDocument/2006/relationships/hyperlink" Target="https://tdih-cdit.tc.canada.ca/en/addendum-tables" TargetMode="External"/><Relationship Id="rId24" Type="http://schemas.openxmlformats.org/officeDocument/2006/relationships/hyperlink" Target="https://www150.statcan.gc.ca/t1/tbl1/en/tv.action?pid=2310030801" TargetMode="External"/><Relationship Id="rId40" Type="http://schemas.openxmlformats.org/officeDocument/2006/relationships/hyperlink" Target="https://natural-resources.canada.ca/energy-efficiency/transportation-alternative-fuels/resource-library/updated-projections-canadas-public-charging-infrastructure-needs/24504" TargetMode="External"/><Relationship Id="rId45" Type="http://schemas.openxmlformats.org/officeDocument/2006/relationships/hyperlink" Target="https://doi.org/10.1016/j.enconman.2018.02.098" TargetMode="External"/><Relationship Id="rId66" Type="http://schemas.openxmlformats.org/officeDocument/2006/relationships/hyperlink" Target="https://www.eia.gov/outlooks/aeo/data/brows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8E6EC-E086-46B3-BD25-D409789DB6AC}">
  <sheetPr codeName="Sheet1">
    <tabColor theme="0"/>
  </sheetPr>
  <dimension ref="A1:C51"/>
  <sheetViews>
    <sheetView topLeftCell="A12" workbookViewId="0">
      <selection activeCell="C37" sqref="C37"/>
    </sheetView>
  </sheetViews>
  <sheetFormatPr defaultColWidth="8.7109375" defaultRowHeight="15" x14ac:dyDescent="0.25"/>
  <cols>
    <col min="1" max="1" width="8.7109375" style="478"/>
    <col min="2" max="2" width="1.7109375" style="478" customWidth="1"/>
    <col min="3" max="3" width="113.42578125" style="478" customWidth="1"/>
    <col min="4" max="16384" width="8.7109375" style="478"/>
  </cols>
  <sheetData>
    <row r="1" spans="3:3" x14ac:dyDescent="0.25">
      <c r="C1" s="478" t="s">
        <v>1714</v>
      </c>
    </row>
    <row r="2" spans="3:3" ht="23.25" x14ac:dyDescent="0.35">
      <c r="C2" s="479" t="s">
        <v>1243</v>
      </c>
    </row>
    <row r="3" spans="3:3" ht="21" x14ac:dyDescent="0.35">
      <c r="C3" s="480" t="s">
        <v>2688</v>
      </c>
    </row>
    <row r="4" spans="3:3" ht="18.75" x14ac:dyDescent="0.3">
      <c r="C4" s="481" t="s">
        <v>1242</v>
      </c>
    </row>
    <row r="5" spans="3:3" x14ac:dyDescent="0.25">
      <c r="C5" s="482"/>
    </row>
    <row r="6" spans="3:3" ht="15.75" x14ac:dyDescent="0.25">
      <c r="C6" s="483" t="s">
        <v>1245</v>
      </c>
    </row>
    <row r="7" spans="3:3" ht="15.75" x14ac:dyDescent="0.25">
      <c r="C7" s="484" t="s">
        <v>1246</v>
      </c>
    </row>
    <row r="8" spans="3:3" ht="15.75" x14ac:dyDescent="0.25">
      <c r="C8" s="484" t="s">
        <v>1247</v>
      </c>
    </row>
    <row r="9" spans="3:3" x14ac:dyDescent="0.25">
      <c r="C9" s="482"/>
    </row>
    <row r="10" spans="3:3" ht="15.75" x14ac:dyDescent="0.25">
      <c r="C10" s="484" t="s">
        <v>1248</v>
      </c>
    </row>
    <row r="11" spans="3:3" ht="15.75" x14ac:dyDescent="0.25">
      <c r="C11" s="484" t="s">
        <v>1249</v>
      </c>
    </row>
    <row r="12" spans="3:3" ht="15.75" x14ac:dyDescent="0.25">
      <c r="C12" s="484" t="s">
        <v>2709</v>
      </c>
    </row>
    <row r="13" spans="3:3" ht="15.75" x14ac:dyDescent="0.25">
      <c r="C13" s="484"/>
    </row>
    <row r="14" spans="3:3" ht="15.75" x14ac:dyDescent="0.25">
      <c r="C14" s="484" t="s">
        <v>1250</v>
      </c>
    </row>
    <row r="15" spans="3:3" ht="15.75" x14ac:dyDescent="0.25">
      <c r="C15" s="484" t="s">
        <v>2710</v>
      </c>
    </row>
    <row r="16" spans="3:3" x14ac:dyDescent="0.25">
      <c r="C16" s="478" t="s">
        <v>1714</v>
      </c>
    </row>
    <row r="17" spans="1:3" ht="18.75" x14ac:dyDescent="0.3">
      <c r="C17" s="485" t="s">
        <v>1244</v>
      </c>
    </row>
    <row r="18" spans="1:3" x14ac:dyDescent="0.25">
      <c r="C18" s="478" t="s">
        <v>2707</v>
      </c>
    </row>
    <row r="19" spans="1:3" x14ac:dyDescent="0.25">
      <c r="C19" s="478" t="s">
        <v>2708</v>
      </c>
    </row>
    <row r="20" spans="1:3" x14ac:dyDescent="0.25">
      <c r="C20" s="478" t="s">
        <v>1656</v>
      </c>
    </row>
    <row r="21" spans="1:3" x14ac:dyDescent="0.25">
      <c r="C21" s="478" t="s">
        <v>1713</v>
      </c>
    </row>
    <row r="22" spans="1:3" x14ac:dyDescent="0.25">
      <c r="C22" s="478" t="s">
        <v>2721</v>
      </c>
    </row>
    <row r="23" spans="1:3" x14ac:dyDescent="0.25">
      <c r="C23" s="486" t="s">
        <v>2706</v>
      </c>
    </row>
    <row r="24" spans="1:3" x14ac:dyDescent="0.25">
      <c r="C24" s="478" t="s">
        <v>1714</v>
      </c>
    </row>
    <row r="25" spans="1:3" ht="18.75" x14ac:dyDescent="0.3">
      <c r="C25" s="485" t="s">
        <v>1251</v>
      </c>
    </row>
    <row r="26" spans="1:3" ht="90" x14ac:dyDescent="0.25">
      <c r="C26" s="487" t="s">
        <v>1663</v>
      </c>
    </row>
    <row r="27" spans="1:3" x14ac:dyDescent="0.25">
      <c r="C27" s="487"/>
    </row>
    <row r="28" spans="1:3" ht="18.75" x14ac:dyDescent="0.3">
      <c r="C28" s="485" t="s">
        <v>1664</v>
      </c>
    </row>
    <row r="29" spans="1:3" x14ac:dyDescent="0.25">
      <c r="A29" s="486" t="s">
        <v>1665</v>
      </c>
      <c r="C29" s="635" t="s">
        <v>0</v>
      </c>
    </row>
    <row r="30" spans="1:3" x14ac:dyDescent="0.25">
      <c r="A30" s="251"/>
      <c r="C30" s="478" t="s">
        <v>1666</v>
      </c>
    </row>
    <row r="31" spans="1:3" x14ac:dyDescent="0.25">
      <c r="A31" s="70"/>
      <c r="C31" s="478" t="s">
        <v>1667</v>
      </c>
    </row>
    <row r="32" spans="1:3" x14ac:dyDescent="0.25">
      <c r="A32" s="636"/>
      <c r="C32" s="478" t="s">
        <v>1668</v>
      </c>
    </row>
    <row r="34" spans="1:3" ht="18.75" x14ac:dyDescent="0.3">
      <c r="C34" s="485" t="s">
        <v>1662</v>
      </c>
    </row>
    <row r="35" spans="1:3" x14ac:dyDescent="0.25">
      <c r="A35" s="486" t="s">
        <v>1252</v>
      </c>
      <c r="C35" s="486" t="s">
        <v>0</v>
      </c>
    </row>
    <row r="36" spans="1:3" x14ac:dyDescent="0.25">
      <c r="A36" s="489"/>
      <c r="C36" s="478" t="s">
        <v>1253</v>
      </c>
    </row>
    <row r="37" spans="1:3" x14ac:dyDescent="0.25">
      <c r="A37" s="474"/>
      <c r="C37" s="478" t="s">
        <v>1255</v>
      </c>
    </row>
    <row r="38" spans="1:3" x14ac:dyDescent="0.25">
      <c r="A38" s="477"/>
      <c r="C38" s="478" t="s">
        <v>1256</v>
      </c>
    </row>
    <row r="39" spans="1:3" x14ac:dyDescent="0.25">
      <c r="A39" s="476"/>
      <c r="C39" s="478" t="s">
        <v>1254</v>
      </c>
    </row>
    <row r="40" spans="1:3" x14ac:dyDescent="0.25">
      <c r="A40" s="488"/>
      <c r="C40" s="478" t="s">
        <v>1257</v>
      </c>
    </row>
    <row r="41" spans="1:3" x14ac:dyDescent="0.25">
      <c r="A41" s="490"/>
      <c r="C41" s="478" t="s">
        <v>1655</v>
      </c>
    </row>
    <row r="42" spans="1:3" x14ac:dyDescent="0.25">
      <c r="A42" s="491"/>
      <c r="C42" s="478" t="s">
        <v>1258</v>
      </c>
    </row>
    <row r="44" spans="1:3" ht="18.75" x14ac:dyDescent="0.3">
      <c r="C44" s="485" t="s">
        <v>2713</v>
      </c>
    </row>
    <row r="45" spans="1:3" x14ac:dyDescent="0.25">
      <c r="C45" s="478" t="s">
        <v>2719</v>
      </c>
    </row>
    <row r="47" spans="1:3" x14ac:dyDescent="0.25">
      <c r="C47" s="478" t="s">
        <v>2714</v>
      </c>
    </row>
    <row r="48" spans="1:3" x14ac:dyDescent="0.25">
      <c r="C48" s="478" t="s">
        <v>2715</v>
      </c>
    </row>
    <row r="49" spans="3:3" x14ac:dyDescent="0.25">
      <c r="C49" s="478" t="s">
        <v>2716</v>
      </c>
    </row>
    <row r="50" spans="3:3" x14ac:dyDescent="0.25">
      <c r="C50" s="478" t="s">
        <v>2717</v>
      </c>
    </row>
    <row r="51" spans="3:3" x14ac:dyDescent="0.25">
      <c r="C51" s="478" t="s">
        <v>2718</v>
      </c>
    </row>
  </sheetData>
  <hyperlinks>
    <hyperlink ref="C6" r:id="rId1" xr:uid="{15705559-ED68-4EB0-9B3B-1A7B5C5DE72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B1297-FD74-4255-BA14-CCC1854EC7D9}">
  <sheetPr>
    <tabColor theme="0" tint="-0.14999847407452621"/>
  </sheetPr>
  <dimension ref="A1:I20"/>
  <sheetViews>
    <sheetView zoomScale="80" zoomScaleNormal="80" workbookViewId="0">
      <pane xSplit="1" ySplit="1" topLeftCell="B3" activePane="bottomRight" state="frozen"/>
      <selection pane="topRight" activeCell="B1" sqref="B1"/>
      <selection pane="bottomLeft" activeCell="A2" sqref="A2"/>
      <selection pane="bottomRight" activeCell="H19" sqref="H12:H19"/>
    </sheetView>
  </sheetViews>
  <sheetFormatPr defaultRowHeight="15" x14ac:dyDescent="0.25"/>
  <cols>
    <col min="1" max="1" width="35.85546875" bestFit="1" customWidth="1"/>
    <col min="2" max="2" width="7.85546875" bestFit="1" customWidth="1"/>
    <col min="3" max="3" width="11" bestFit="1" customWidth="1"/>
    <col min="4" max="4" width="75.140625" style="192" customWidth="1"/>
    <col min="5" max="5" width="75.42578125" style="192" customWidth="1"/>
    <col min="6" max="6" width="14.140625" bestFit="1" customWidth="1"/>
    <col min="7" max="7" width="15.42578125" bestFit="1" customWidth="1"/>
    <col min="8" max="8" width="10.7109375" bestFit="1" customWidth="1"/>
    <col min="9" max="9" width="12.5703125" bestFit="1" customWidth="1"/>
  </cols>
  <sheetData>
    <row r="1" spans="1:9" ht="16.5" thickBot="1" x14ac:dyDescent="0.3">
      <c r="A1" s="2" t="s">
        <v>2974</v>
      </c>
      <c r="B1" s="2" t="s">
        <v>3033</v>
      </c>
      <c r="C1" s="2" t="s">
        <v>3129</v>
      </c>
      <c r="D1" s="786" t="s">
        <v>3034</v>
      </c>
      <c r="E1" s="786" t="s">
        <v>3035</v>
      </c>
      <c r="F1" s="2" t="s">
        <v>3043</v>
      </c>
      <c r="G1" s="2" t="s">
        <v>3031</v>
      </c>
      <c r="H1" s="2" t="s">
        <v>3030</v>
      </c>
      <c r="I1" s="2" t="s">
        <v>3029</v>
      </c>
    </row>
    <row r="2" spans="1:9" ht="30.75" thickTop="1" x14ac:dyDescent="0.25">
      <c r="A2" t="s">
        <v>2997</v>
      </c>
      <c r="B2" t="s">
        <v>391</v>
      </c>
      <c r="C2" t="s">
        <v>3130</v>
      </c>
      <c r="D2" s="192" t="s">
        <v>3004</v>
      </c>
      <c r="F2" t="s">
        <v>1224</v>
      </c>
      <c r="G2">
        <v>0</v>
      </c>
      <c r="H2">
        <v>0</v>
      </c>
    </row>
    <row r="3" spans="1:9" ht="30" x14ac:dyDescent="0.25">
      <c r="A3" t="s">
        <v>2998</v>
      </c>
      <c r="B3" t="s">
        <v>391</v>
      </c>
      <c r="C3" t="s">
        <v>3130</v>
      </c>
      <c r="D3" s="192" t="s">
        <v>3005</v>
      </c>
      <c r="F3" t="s">
        <v>1224</v>
      </c>
      <c r="G3">
        <v>0</v>
      </c>
      <c r="H3">
        <v>0</v>
      </c>
    </row>
    <row r="4" spans="1:9" ht="30" x14ac:dyDescent="0.25">
      <c r="A4" t="s">
        <v>2999</v>
      </c>
      <c r="B4" t="s">
        <v>391</v>
      </c>
      <c r="C4" t="s">
        <v>3130</v>
      </c>
      <c r="D4" s="192" t="s">
        <v>3006</v>
      </c>
      <c r="F4" t="s">
        <v>1224</v>
      </c>
      <c r="G4">
        <v>0</v>
      </c>
      <c r="H4">
        <v>0</v>
      </c>
    </row>
    <row r="5" spans="1:9" ht="30" x14ac:dyDescent="0.25">
      <c r="A5" t="s">
        <v>3000</v>
      </c>
      <c r="B5" t="s">
        <v>391</v>
      </c>
      <c r="C5" t="s">
        <v>3130</v>
      </c>
      <c r="D5" s="192" t="s">
        <v>3007</v>
      </c>
      <c r="F5" t="s">
        <v>1224</v>
      </c>
      <c r="G5">
        <v>0</v>
      </c>
      <c r="H5">
        <v>0</v>
      </c>
    </row>
    <row r="6" spans="1:9" ht="30" x14ac:dyDescent="0.25">
      <c r="A6" t="s">
        <v>3001</v>
      </c>
      <c r="B6" t="s">
        <v>391</v>
      </c>
      <c r="C6" t="s">
        <v>3130</v>
      </c>
      <c r="D6" s="192" t="s">
        <v>3008</v>
      </c>
      <c r="F6" t="s">
        <v>1224</v>
      </c>
      <c r="G6">
        <v>0</v>
      </c>
      <c r="H6">
        <v>0</v>
      </c>
    </row>
    <row r="7" spans="1:9" ht="30" x14ac:dyDescent="0.25">
      <c r="A7" t="s">
        <v>3002</v>
      </c>
      <c r="B7" t="s">
        <v>391</v>
      </c>
      <c r="C7" t="s">
        <v>3130</v>
      </c>
      <c r="D7" s="192" t="s">
        <v>3009</v>
      </c>
      <c r="F7" t="s">
        <v>1224</v>
      </c>
      <c r="G7">
        <v>0</v>
      </c>
      <c r="H7">
        <v>0</v>
      </c>
    </row>
    <row r="8" spans="1:9" ht="30" x14ac:dyDescent="0.25">
      <c r="A8" t="s">
        <v>3003</v>
      </c>
      <c r="B8" t="s">
        <v>391</v>
      </c>
      <c r="C8" t="s">
        <v>3130</v>
      </c>
      <c r="D8" s="192" t="s">
        <v>3010</v>
      </c>
      <c r="F8" t="s">
        <v>1224</v>
      </c>
      <c r="G8">
        <v>0</v>
      </c>
      <c r="H8">
        <v>0</v>
      </c>
    </row>
    <row r="9" spans="1:9" ht="30" x14ac:dyDescent="0.25">
      <c r="A9" t="s">
        <v>2996</v>
      </c>
      <c r="B9" t="s">
        <v>391</v>
      </c>
      <c r="C9" t="s">
        <v>3130</v>
      </c>
      <c r="D9" s="192" t="s">
        <v>2995</v>
      </c>
      <c r="F9" t="s">
        <v>1225</v>
      </c>
      <c r="G9">
        <v>0</v>
      </c>
      <c r="H9">
        <v>0</v>
      </c>
    </row>
    <row r="10" spans="1:9" ht="30" x14ac:dyDescent="0.25">
      <c r="A10" t="s">
        <v>2975</v>
      </c>
      <c r="B10" t="s">
        <v>391</v>
      </c>
      <c r="C10" t="s">
        <v>3130</v>
      </c>
      <c r="D10" s="192" t="s">
        <v>2978</v>
      </c>
      <c r="E10" s="192" t="s">
        <v>2758</v>
      </c>
      <c r="F10" t="s">
        <v>32</v>
      </c>
      <c r="G10">
        <v>0</v>
      </c>
      <c r="H10">
        <v>1</v>
      </c>
    </row>
    <row r="11" spans="1:9" ht="30" x14ac:dyDescent="0.25">
      <c r="A11" t="s">
        <v>2976</v>
      </c>
      <c r="B11" t="s">
        <v>391</v>
      </c>
      <c r="C11" t="s">
        <v>3130</v>
      </c>
      <c r="D11" s="192" t="s">
        <v>2979</v>
      </c>
      <c r="E11" s="192" t="s">
        <v>2758</v>
      </c>
      <c r="F11" t="s">
        <v>32</v>
      </c>
      <c r="G11">
        <v>0</v>
      </c>
      <c r="H11">
        <v>1</v>
      </c>
    </row>
    <row r="12" spans="1:9" ht="30" x14ac:dyDescent="0.25">
      <c r="A12" t="s">
        <v>2977</v>
      </c>
      <c r="B12" t="s">
        <v>391</v>
      </c>
      <c r="C12" t="s">
        <v>3130</v>
      </c>
      <c r="D12" s="192" t="s">
        <v>2980</v>
      </c>
      <c r="E12" s="192" t="s">
        <v>2758</v>
      </c>
      <c r="F12" t="s">
        <v>32</v>
      </c>
      <c r="G12">
        <v>0</v>
      </c>
      <c r="H12">
        <v>0</v>
      </c>
    </row>
    <row r="13" spans="1:9" ht="30" x14ac:dyDescent="0.25">
      <c r="A13" t="s">
        <v>2981</v>
      </c>
      <c r="B13" t="s">
        <v>391</v>
      </c>
      <c r="C13" t="s">
        <v>3130</v>
      </c>
      <c r="D13" s="192" t="s">
        <v>2988</v>
      </c>
      <c r="E13" s="192" t="s">
        <v>2758</v>
      </c>
      <c r="F13" t="s">
        <v>32</v>
      </c>
      <c r="G13">
        <v>0</v>
      </c>
      <c r="H13">
        <v>0</v>
      </c>
    </row>
    <row r="14" spans="1:9" ht="30" x14ac:dyDescent="0.25">
      <c r="A14" t="s">
        <v>2982</v>
      </c>
      <c r="B14" t="s">
        <v>391</v>
      </c>
      <c r="C14" t="s">
        <v>3130</v>
      </c>
      <c r="D14" s="192" t="s">
        <v>2989</v>
      </c>
      <c r="E14" s="192" t="s">
        <v>2758</v>
      </c>
      <c r="F14" t="s">
        <v>32</v>
      </c>
      <c r="G14">
        <v>0</v>
      </c>
      <c r="H14">
        <v>0</v>
      </c>
    </row>
    <row r="15" spans="1:9" ht="30" x14ac:dyDescent="0.25">
      <c r="A15" t="s">
        <v>2983</v>
      </c>
      <c r="B15" t="s">
        <v>391</v>
      </c>
      <c r="C15" t="s">
        <v>3130</v>
      </c>
      <c r="D15" s="192" t="s">
        <v>2990</v>
      </c>
      <c r="E15" s="192" t="s">
        <v>2758</v>
      </c>
      <c r="F15" t="s">
        <v>32</v>
      </c>
      <c r="G15">
        <v>0</v>
      </c>
      <c r="H15">
        <v>0</v>
      </c>
    </row>
    <row r="16" spans="1:9" ht="30" x14ac:dyDescent="0.25">
      <c r="A16" t="s">
        <v>2984</v>
      </c>
      <c r="B16" t="s">
        <v>391</v>
      </c>
      <c r="C16" t="s">
        <v>3130</v>
      </c>
      <c r="D16" s="192" t="s">
        <v>2991</v>
      </c>
      <c r="E16" s="192" t="s">
        <v>2758</v>
      </c>
      <c r="F16" t="s">
        <v>32</v>
      </c>
      <c r="G16">
        <v>0</v>
      </c>
      <c r="H16">
        <v>0</v>
      </c>
    </row>
    <row r="17" spans="1:8" ht="30" x14ac:dyDescent="0.25">
      <c r="A17" t="s">
        <v>2985</v>
      </c>
      <c r="B17" t="s">
        <v>391</v>
      </c>
      <c r="C17" t="s">
        <v>3130</v>
      </c>
      <c r="D17" s="192" t="s">
        <v>2992</v>
      </c>
      <c r="E17" s="192" t="s">
        <v>2758</v>
      </c>
      <c r="F17" t="s">
        <v>32</v>
      </c>
      <c r="G17">
        <v>0</v>
      </c>
      <c r="H17">
        <v>0</v>
      </c>
    </row>
    <row r="18" spans="1:8" ht="30" x14ac:dyDescent="0.25">
      <c r="A18" t="s">
        <v>2986</v>
      </c>
      <c r="B18" t="s">
        <v>391</v>
      </c>
      <c r="C18" t="s">
        <v>3130</v>
      </c>
      <c r="D18" s="192" t="s">
        <v>2993</v>
      </c>
      <c r="E18" s="192" t="s">
        <v>2758</v>
      </c>
      <c r="F18" t="s">
        <v>32</v>
      </c>
      <c r="G18">
        <v>0</v>
      </c>
      <c r="H18">
        <v>0</v>
      </c>
    </row>
    <row r="19" spans="1:8" ht="30" x14ac:dyDescent="0.25">
      <c r="A19" t="s">
        <v>2987</v>
      </c>
      <c r="B19" t="s">
        <v>391</v>
      </c>
      <c r="C19" t="s">
        <v>3130</v>
      </c>
      <c r="D19" s="192" t="s">
        <v>2994</v>
      </c>
      <c r="E19" s="192" t="s">
        <v>2758</v>
      </c>
      <c r="F19" t="s">
        <v>32</v>
      </c>
      <c r="G19">
        <v>0</v>
      </c>
      <c r="H19">
        <v>0</v>
      </c>
    </row>
    <row r="20" spans="1:8" ht="30" x14ac:dyDescent="0.25">
      <c r="A20" t="s">
        <v>3132</v>
      </c>
      <c r="B20" t="s">
        <v>391</v>
      </c>
      <c r="C20" t="s">
        <v>3130</v>
      </c>
      <c r="D20" s="192" t="s">
        <v>3131</v>
      </c>
      <c r="F20" t="s">
        <v>32</v>
      </c>
      <c r="G20">
        <v>1</v>
      </c>
      <c r="H20">
        <v>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31106-C30D-4A1D-9F5B-AA029BE7AFEE}">
  <sheetPr>
    <tabColor theme="0" tint="-0.14999847407452621"/>
  </sheetPr>
  <dimension ref="A1:D11"/>
  <sheetViews>
    <sheetView workbookViewId="0">
      <selection activeCell="B20" sqref="B20"/>
    </sheetView>
  </sheetViews>
  <sheetFormatPr defaultRowHeight="15" x14ac:dyDescent="0.25"/>
  <cols>
    <col min="1" max="1" width="28.28515625" bestFit="1" customWidth="1"/>
    <col min="2" max="2" width="9.85546875" customWidth="1"/>
    <col min="3" max="3" width="73.7109375" bestFit="1" customWidth="1"/>
    <col min="4" max="4" width="61.140625" bestFit="1" customWidth="1"/>
  </cols>
  <sheetData>
    <row r="1" spans="1:4" ht="16.5" thickBot="1" x14ac:dyDescent="0.3">
      <c r="A1" s="2" t="s">
        <v>3032</v>
      </c>
      <c r="B1" s="2" t="s">
        <v>3033</v>
      </c>
      <c r="C1" s="2" t="s">
        <v>3034</v>
      </c>
      <c r="D1" s="2" t="s">
        <v>3035</v>
      </c>
    </row>
    <row r="2" spans="1:4" ht="15.75" thickTop="1" x14ac:dyDescent="0.25">
      <c r="A2" t="s">
        <v>3011</v>
      </c>
      <c r="B2" t="s">
        <v>392</v>
      </c>
      <c r="C2" t="s">
        <v>3012</v>
      </c>
      <c r="D2" t="s">
        <v>394</v>
      </c>
    </row>
    <row r="3" spans="1:4" x14ac:dyDescent="0.25">
      <c r="A3" t="s">
        <v>3015</v>
      </c>
      <c r="B3" t="s">
        <v>391</v>
      </c>
      <c r="C3" t="s">
        <v>3022</v>
      </c>
      <c r="D3" t="s">
        <v>393</v>
      </c>
    </row>
    <row r="4" spans="1:4" x14ac:dyDescent="0.25">
      <c r="A4" t="s">
        <v>3016</v>
      </c>
      <c r="B4" t="s">
        <v>391</v>
      </c>
      <c r="C4" t="s">
        <v>3023</v>
      </c>
      <c r="D4" t="s">
        <v>393</v>
      </c>
    </row>
    <row r="5" spans="1:4" x14ac:dyDescent="0.25">
      <c r="A5" t="s">
        <v>3017</v>
      </c>
      <c r="B5" t="s">
        <v>391</v>
      </c>
      <c r="C5" t="s">
        <v>3024</v>
      </c>
      <c r="D5" t="s">
        <v>393</v>
      </c>
    </row>
    <row r="6" spans="1:4" x14ac:dyDescent="0.25">
      <c r="A6" t="s">
        <v>3018</v>
      </c>
      <c r="B6" t="s">
        <v>391</v>
      </c>
      <c r="C6" t="s">
        <v>3025</v>
      </c>
      <c r="D6" t="s">
        <v>393</v>
      </c>
    </row>
    <row r="7" spans="1:4" x14ac:dyDescent="0.25">
      <c r="A7" t="s">
        <v>3019</v>
      </c>
      <c r="B7" t="s">
        <v>391</v>
      </c>
      <c r="C7" t="s">
        <v>3026</v>
      </c>
      <c r="D7" t="s">
        <v>393</v>
      </c>
    </row>
    <row r="8" spans="1:4" x14ac:dyDescent="0.25">
      <c r="A8" t="s">
        <v>3020</v>
      </c>
      <c r="B8" t="s">
        <v>391</v>
      </c>
      <c r="C8" t="s">
        <v>3027</v>
      </c>
      <c r="D8" t="s">
        <v>393</v>
      </c>
    </row>
    <row r="9" spans="1:4" x14ac:dyDescent="0.25">
      <c r="A9" t="s">
        <v>3021</v>
      </c>
      <c r="B9" t="s">
        <v>391</v>
      </c>
      <c r="C9" t="s">
        <v>3028</v>
      </c>
      <c r="D9" t="s">
        <v>393</v>
      </c>
    </row>
    <row r="10" spans="1:4" x14ac:dyDescent="0.25">
      <c r="A10" t="s">
        <v>3013</v>
      </c>
      <c r="B10" t="s">
        <v>391</v>
      </c>
      <c r="C10" t="s">
        <v>3014</v>
      </c>
      <c r="D10" t="s">
        <v>393</v>
      </c>
    </row>
    <row r="11" spans="1:4" x14ac:dyDescent="0.25">
      <c r="A11" t="s">
        <v>3133</v>
      </c>
      <c r="B11" t="s">
        <v>3136</v>
      </c>
      <c r="C11" t="s">
        <v>3134</v>
      </c>
      <c r="D11" t="s">
        <v>394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A4C81-E94E-4C73-B1CA-F3472BA06F9D}">
  <sheetPr codeName="Sheet6">
    <tabColor theme="9" tint="0.59999389629810485"/>
    <pageSetUpPr autoPageBreaks="0"/>
  </sheetPr>
  <dimension ref="A1:CJ154"/>
  <sheetViews>
    <sheetView topLeftCell="O1" zoomScaleNormal="100" workbookViewId="0">
      <selection activeCell="C12" sqref="C12"/>
    </sheetView>
  </sheetViews>
  <sheetFormatPr defaultRowHeight="15" x14ac:dyDescent="0.25"/>
  <cols>
    <col min="1" max="1" width="26" bestFit="1" customWidth="1"/>
    <col min="2" max="2" width="4.85546875" bestFit="1" customWidth="1"/>
    <col min="3" max="3" width="43.140625" customWidth="1"/>
    <col min="4" max="4" width="6.28515625" bestFit="1" customWidth="1"/>
    <col min="5" max="5" width="6.85546875" style="49" customWidth="1"/>
    <col min="6" max="9" width="6.85546875" customWidth="1"/>
    <col min="10" max="11" width="8.42578125" customWidth="1"/>
    <col min="12" max="25" width="9" customWidth="1"/>
    <col min="26" max="26" width="9" style="49" customWidth="1"/>
    <col min="27" max="27" width="80.140625" style="49" customWidth="1"/>
    <col min="28" max="32" width="4.5703125" style="315" customWidth="1"/>
    <col min="34" max="34" width="1.7109375" style="48" customWidth="1"/>
    <col min="36" max="36" width="34" bestFit="1" customWidth="1"/>
    <col min="37" max="37" width="17.42578125" customWidth="1"/>
    <col min="38" max="39" width="9.140625" customWidth="1"/>
    <col min="40" max="40" width="22.42578125" customWidth="1"/>
    <col min="41" max="41" width="11.85546875" customWidth="1"/>
    <col min="42" max="42" width="10.42578125" bestFit="1" customWidth="1"/>
    <col min="43" max="43" width="9.5703125" customWidth="1"/>
    <col min="44" max="44" width="21.140625" customWidth="1"/>
    <col min="45" max="45" width="19.7109375" customWidth="1"/>
    <col min="46" max="46" width="12.5703125" customWidth="1"/>
    <col min="47" max="47" width="11.28515625" bestFit="1" customWidth="1"/>
    <col min="48" max="50" width="9.5703125" customWidth="1"/>
    <col min="51" max="51" width="20.42578125" customWidth="1"/>
    <col min="52" max="52" width="20.5703125" customWidth="1"/>
    <col min="53" max="53" width="11.85546875" customWidth="1"/>
    <col min="54" max="54" width="9.5703125" customWidth="1"/>
    <col min="55" max="55" width="20" customWidth="1"/>
    <col min="56" max="56" width="9.5703125" customWidth="1"/>
    <col min="57" max="58" width="9.28515625" customWidth="1"/>
    <col min="59" max="59" width="23.42578125" customWidth="1"/>
    <col min="60" max="60" width="20.140625" customWidth="1"/>
    <col min="61" max="61" width="10.42578125" bestFit="1" customWidth="1"/>
    <col min="62" max="62" width="18.42578125" customWidth="1"/>
    <col min="63" max="63" width="14" customWidth="1"/>
    <col min="64" max="64" width="11.7109375" bestFit="1" customWidth="1"/>
    <col min="65" max="68" width="11.85546875" bestFit="1" customWidth="1"/>
    <col min="69" max="69" width="22.42578125" customWidth="1"/>
    <col min="70" max="77" width="11.85546875" bestFit="1" customWidth="1"/>
    <col min="78" max="78" width="11.5703125" bestFit="1" customWidth="1"/>
    <col min="80" max="80" width="8.7109375" customWidth="1"/>
    <col min="83" max="84" width="16.85546875" customWidth="1"/>
    <col min="85" max="85" width="11.7109375" customWidth="1"/>
    <col min="86" max="86" width="14.85546875" customWidth="1"/>
    <col min="87" max="87" width="22.140625" customWidth="1"/>
    <col min="88" max="88" width="16.28515625" customWidth="1"/>
  </cols>
  <sheetData>
    <row r="1" spans="1:88" ht="16.5" thickBot="1" x14ac:dyDescent="0.3">
      <c r="A1" s="1"/>
      <c r="B1" s="1"/>
      <c r="C1" s="1"/>
      <c r="D1" s="1"/>
      <c r="E1" s="104"/>
      <c r="F1" s="847" t="s">
        <v>3045</v>
      </c>
      <c r="G1" s="848"/>
      <c r="H1" s="848"/>
      <c r="I1" s="848"/>
      <c r="J1" s="848"/>
      <c r="K1" s="848"/>
      <c r="L1" s="848"/>
      <c r="M1" s="848"/>
      <c r="N1" s="848"/>
      <c r="O1" s="848"/>
      <c r="P1" s="848"/>
      <c r="Q1" s="848"/>
      <c r="R1" s="848"/>
      <c r="S1" s="848"/>
      <c r="T1" s="848"/>
      <c r="U1" s="848"/>
      <c r="V1" s="848"/>
      <c r="W1" s="848"/>
      <c r="X1" s="848"/>
      <c r="Y1" s="848"/>
      <c r="Z1" s="849"/>
      <c r="AA1" s="104"/>
      <c r="AB1" s="848" t="s">
        <v>134</v>
      </c>
      <c r="AC1" s="848"/>
      <c r="AD1" s="848"/>
      <c r="AE1" s="848"/>
      <c r="AF1" s="848"/>
      <c r="AG1" s="850" t="s">
        <v>1657</v>
      </c>
      <c r="AI1" s="850" t="s">
        <v>1658</v>
      </c>
      <c r="AJ1" s="846" t="s">
        <v>373</v>
      </c>
      <c r="AK1" s="846"/>
      <c r="AL1" s="846"/>
      <c r="AM1" s="846"/>
      <c r="AN1" s="846"/>
      <c r="AO1" s="846"/>
      <c r="AP1" s="846"/>
      <c r="AQ1" s="846"/>
      <c r="AR1" s="846"/>
      <c r="AS1" s="846"/>
      <c r="AT1" s="846"/>
      <c r="AU1" s="846"/>
      <c r="AV1" s="846"/>
      <c r="AW1" s="846"/>
      <c r="AX1" s="846"/>
      <c r="AY1" s="846"/>
      <c r="AZ1" s="846"/>
      <c r="BA1" s="846"/>
      <c r="BB1" s="846"/>
      <c r="BC1" s="846"/>
      <c r="BD1" s="846"/>
      <c r="BG1" s="851" t="s">
        <v>2749</v>
      </c>
      <c r="BH1" s="851"/>
      <c r="BI1" s="851"/>
      <c r="BJ1" s="851"/>
      <c r="BK1" s="851"/>
      <c r="BL1" s="851"/>
      <c r="BM1" s="851"/>
      <c r="BN1" s="851"/>
      <c r="BO1" s="851"/>
      <c r="BP1" s="851"/>
      <c r="BQ1" s="851"/>
      <c r="BR1" s="851"/>
      <c r="BS1" s="851"/>
      <c r="BT1" s="851"/>
      <c r="BU1" s="851"/>
      <c r="BV1" s="851"/>
      <c r="BW1" s="851"/>
      <c r="BX1" s="851"/>
      <c r="BY1" s="851"/>
    </row>
    <row r="2" spans="1:88" s="101" customFormat="1" ht="99.75" thickBot="1" x14ac:dyDescent="0.3">
      <c r="A2" s="621" t="s">
        <v>2974</v>
      </c>
      <c r="B2" s="621" t="s">
        <v>3037</v>
      </c>
      <c r="C2" s="621" t="s">
        <v>3040</v>
      </c>
      <c r="D2" s="621" t="s">
        <v>3041</v>
      </c>
      <c r="E2" s="622" t="s">
        <v>3044</v>
      </c>
      <c r="F2" s="621">
        <v>2000</v>
      </c>
      <c r="G2" s="621">
        <v>2001</v>
      </c>
      <c r="H2" s="621">
        <v>2002</v>
      </c>
      <c r="I2" s="621">
        <v>2003</v>
      </c>
      <c r="J2" s="621">
        <v>2004</v>
      </c>
      <c r="K2" s="621">
        <v>2005</v>
      </c>
      <c r="L2" s="621">
        <v>2006</v>
      </c>
      <c r="M2" s="621">
        <v>2007</v>
      </c>
      <c r="N2" s="621">
        <v>2008</v>
      </c>
      <c r="O2" s="621">
        <v>2009</v>
      </c>
      <c r="P2" s="621">
        <v>2010</v>
      </c>
      <c r="Q2" s="621">
        <v>2011</v>
      </c>
      <c r="R2" s="621">
        <v>2012</v>
      </c>
      <c r="S2" s="621">
        <v>2013</v>
      </c>
      <c r="T2" s="621">
        <v>2014</v>
      </c>
      <c r="U2" s="621">
        <v>2015</v>
      </c>
      <c r="V2" s="621">
        <v>2016</v>
      </c>
      <c r="W2" s="621">
        <v>2017</v>
      </c>
      <c r="X2" s="621">
        <v>2018</v>
      </c>
      <c r="Y2" s="621">
        <v>2019</v>
      </c>
      <c r="Z2" s="622">
        <v>2020</v>
      </c>
      <c r="AA2" s="622" t="s">
        <v>3039</v>
      </c>
      <c r="AB2" s="624" t="s">
        <v>135</v>
      </c>
      <c r="AC2" s="620" t="s">
        <v>139</v>
      </c>
      <c r="AD2" s="620" t="s">
        <v>136</v>
      </c>
      <c r="AE2" s="620" t="s">
        <v>137</v>
      </c>
      <c r="AF2" s="620" t="s">
        <v>138</v>
      </c>
      <c r="AG2" s="850"/>
      <c r="AH2" s="627"/>
      <c r="AI2" s="850"/>
      <c r="AJ2" s="629" t="s">
        <v>119</v>
      </c>
      <c r="AK2" s="629" t="s">
        <v>260</v>
      </c>
      <c r="AL2" s="629">
        <v>2005</v>
      </c>
      <c r="AM2" s="629">
        <v>2006</v>
      </c>
      <c r="AN2" s="629">
        <v>2007</v>
      </c>
      <c r="AO2" s="629">
        <v>2008</v>
      </c>
      <c r="AP2" s="629">
        <v>2009</v>
      </c>
      <c r="AQ2" s="630">
        <v>2010</v>
      </c>
      <c r="AR2" s="631">
        <v>2011</v>
      </c>
      <c r="AS2" s="629">
        <v>2012</v>
      </c>
      <c r="AT2" s="629">
        <v>2013</v>
      </c>
      <c r="AU2" s="629">
        <v>2014</v>
      </c>
      <c r="AV2" s="629">
        <v>2015</v>
      </c>
      <c r="AW2" s="629">
        <v>2016</v>
      </c>
      <c r="AX2" s="629">
        <v>2017</v>
      </c>
      <c r="AY2" s="629">
        <v>2018</v>
      </c>
      <c r="AZ2" s="629">
        <v>2019</v>
      </c>
      <c r="BA2" s="629">
        <v>2020</v>
      </c>
      <c r="BB2" s="629">
        <v>2021</v>
      </c>
      <c r="BC2" s="629">
        <v>2022</v>
      </c>
      <c r="BD2" s="629">
        <v>2023</v>
      </c>
      <c r="BE2" s="694" t="s">
        <v>2711</v>
      </c>
      <c r="BG2" s="629" t="s">
        <v>2725</v>
      </c>
      <c r="BH2" s="629">
        <v>2003</v>
      </c>
      <c r="BI2" s="629">
        <v>2004</v>
      </c>
      <c r="BJ2" s="629">
        <v>2005</v>
      </c>
      <c r="BK2" s="629">
        <v>2006</v>
      </c>
      <c r="BL2" s="629">
        <v>2007</v>
      </c>
      <c r="BM2" s="629">
        <v>2008</v>
      </c>
      <c r="BN2" s="629">
        <v>2009</v>
      </c>
      <c r="BO2" s="629">
        <v>2010</v>
      </c>
      <c r="BP2" s="629">
        <v>2011</v>
      </c>
      <c r="BQ2" s="629">
        <v>2012</v>
      </c>
      <c r="BR2" s="629">
        <v>2013</v>
      </c>
      <c r="BS2" s="629">
        <v>2014</v>
      </c>
      <c r="BT2" s="629">
        <v>2015</v>
      </c>
      <c r="BU2" s="629">
        <v>2016</v>
      </c>
      <c r="BV2" s="629">
        <v>2017</v>
      </c>
      <c r="BW2" s="629">
        <v>2018</v>
      </c>
      <c r="BX2" s="629">
        <v>2019</v>
      </c>
      <c r="BY2" s="629">
        <v>2020</v>
      </c>
      <c r="BZ2" s="629">
        <v>2021</v>
      </c>
      <c r="CH2" s="838"/>
      <c r="CI2" s="838"/>
      <c r="CJ2" s="838"/>
    </row>
    <row r="3" spans="1:88" s="101" customFormat="1" ht="16.5" thickTop="1" thickBot="1" x14ac:dyDescent="0.3">
      <c r="A3" t="s">
        <v>3053</v>
      </c>
      <c r="B3" t="s">
        <v>84</v>
      </c>
      <c r="C3" t="s">
        <v>148</v>
      </c>
      <c r="D3">
        <v>2023</v>
      </c>
      <c r="E3" s="49" t="s">
        <v>841</v>
      </c>
      <c r="F3" s="68"/>
      <c r="G3"/>
      <c r="H3"/>
      <c r="I3"/>
      <c r="J3"/>
      <c r="K3" s="76">
        <f>(1-CFAF!$E$3)*SUMIF($BH$3:$BY$3,K$2,$BH$16:$BY$16)</f>
        <v>6.2663436786066518</v>
      </c>
      <c r="L3"/>
      <c r="M3"/>
      <c r="N3"/>
      <c r="O3"/>
      <c r="P3" s="76">
        <f>(1-CFAF!$E$3)*SUMIF($BH$3:$BY$3,P$2,$BH$16:$BY$16)</f>
        <v>17.233368939445345</v>
      </c>
      <c r="Q3"/>
      <c r="R3"/>
      <c r="S3"/>
      <c r="T3"/>
      <c r="U3" s="76">
        <f>(1-CFAF!$E$3)*SUMIF($BH$3:$BY$3,U$2,$BH$16:$BY$16)</f>
        <v>22.96577635748945</v>
      </c>
      <c r="V3"/>
      <c r="W3"/>
      <c r="X3"/>
      <c r="Y3"/>
      <c r="Z3" s="76">
        <f>(1-CFAF!$E$3)*SUMIF($BH$3:$BY$3,Z$2,$BH$16:$BY$16)</f>
        <v>40.184767247386489</v>
      </c>
      <c r="AA3" s="49" t="s">
        <v>3065</v>
      </c>
      <c r="AB3" s="315">
        <v>1</v>
      </c>
      <c r="AC3" s="315">
        <v>1</v>
      </c>
      <c r="AD3" s="315">
        <v>1</v>
      </c>
      <c r="AE3" s="315">
        <v>1</v>
      </c>
      <c r="AF3" s="315">
        <v>1</v>
      </c>
      <c r="AG3" s="850"/>
      <c r="AH3" s="627"/>
      <c r="AI3" s="850"/>
      <c r="AR3" s="842"/>
      <c r="BE3" s="843"/>
      <c r="BG3" s="101" t="s">
        <v>3128</v>
      </c>
      <c r="BH3" s="101">
        <v>2005</v>
      </c>
      <c r="BI3" s="101">
        <v>2005</v>
      </c>
      <c r="BJ3" s="101">
        <f>BJ2</f>
        <v>2005</v>
      </c>
      <c r="BK3" s="101">
        <v>2010</v>
      </c>
      <c r="BL3" s="101">
        <v>2010</v>
      </c>
      <c r="BM3" s="101">
        <v>2010</v>
      </c>
      <c r="BN3" s="101">
        <v>2010</v>
      </c>
      <c r="BO3" s="101">
        <v>2010</v>
      </c>
      <c r="BP3" s="101">
        <v>2015</v>
      </c>
      <c r="BQ3" s="101">
        <v>2015</v>
      </c>
      <c r="BR3" s="101">
        <v>2015</v>
      </c>
      <c r="BS3" s="101">
        <v>2015</v>
      </c>
      <c r="BT3" s="101">
        <v>2015</v>
      </c>
      <c r="BU3" s="101">
        <v>2020</v>
      </c>
      <c r="BV3" s="101">
        <v>2020</v>
      </c>
      <c r="BW3" s="101">
        <v>2020</v>
      </c>
      <c r="BX3" s="101">
        <v>2020</v>
      </c>
      <c r="BY3" s="101">
        <v>2020</v>
      </c>
      <c r="CH3" s="838"/>
      <c r="CI3" s="838"/>
      <c r="CJ3" s="838"/>
    </row>
    <row r="4" spans="1:88" ht="15.75" thickTop="1" x14ac:dyDescent="0.25">
      <c r="A4" t="s">
        <v>2975</v>
      </c>
      <c r="B4" t="s">
        <v>84</v>
      </c>
      <c r="C4" t="s">
        <v>148</v>
      </c>
      <c r="D4">
        <v>2023</v>
      </c>
      <c r="E4" s="49" t="s">
        <v>841</v>
      </c>
      <c r="F4" s="68"/>
      <c r="I4" s="56"/>
      <c r="J4" s="56"/>
      <c r="K4" s="76">
        <f>(CFAF!$E$3)*SUMIF($BH$3:$BY$3,K$2,$BH$16:$BY$16)</f>
        <v>3.4640036484223105</v>
      </c>
      <c r="L4" s="56"/>
      <c r="M4" s="56"/>
      <c r="N4" s="56"/>
      <c r="O4" s="56"/>
      <c r="P4" s="76">
        <f>(CFAF!$E$3)*SUMIF($BH$3:$BY$3,P$2,$BH$16:$BY$16)</f>
        <v>9.5265207180784817</v>
      </c>
      <c r="Q4" s="56"/>
      <c r="R4" s="56"/>
      <c r="S4" s="56"/>
      <c r="T4" s="56"/>
      <c r="U4" s="76">
        <f>(CFAF!$E$3)*SUMIF($BH$3:$BY$3,U$2,$BH$16:$BY$16)</f>
        <v>12.695367054761247</v>
      </c>
      <c r="V4" s="56"/>
      <c r="W4" s="56"/>
      <c r="X4" s="56"/>
      <c r="Y4" s="56"/>
      <c r="Z4" s="76">
        <f>(CFAF!$E$3)*SUMIF($BH$3:$BY$3,Z$2,$BH$16:$BY$16)</f>
        <v>22.21393965849315</v>
      </c>
      <c r="AA4" s="49" t="s">
        <v>3065</v>
      </c>
      <c r="AB4" s="315">
        <v>1</v>
      </c>
      <c r="AC4" s="315">
        <v>1</v>
      </c>
      <c r="AD4" s="315">
        <v>1</v>
      </c>
      <c r="AE4" s="315">
        <v>1</v>
      </c>
      <c r="AF4" s="315">
        <v>1</v>
      </c>
      <c r="AG4" s="850"/>
      <c r="AI4" s="850"/>
      <c r="AJ4" s="26" t="s">
        <v>8</v>
      </c>
      <c r="AK4" s="852" t="s">
        <v>132</v>
      </c>
      <c r="AL4" s="46"/>
      <c r="AM4" s="46"/>
      <c r="AN4" s="27"/>
      <c r="AO4" s="27"/>
      <c r="AP4" s="27"/>
      <c r="AQ4" s="37"/>
      <c r="AR4" s="40">
        <f>'Background Data'!AD66-'Background Data'!AD72</f>
        <v>247563</v>
      </c>
      <c r="AS4" s="39">
        <f>'Background Data'!AE66-'Background Data'!AE72</f>
        <v>265280</v>
      </c>
      <c r="AT4" s="39">
        <f>'Background Data'!AF66-'Background Data'!AF72</f>
        <v>277662</v>
      </c>
      <c r="AU4" s="39">
        <f>'Background Data'!AG66-'Background Data'!AG72</f>
        <v>277922</v>
      </c>
      <c r="AV4" s="39">
        <f>'Background Data'!AH66-'Background Data'!AH72</f>
        <v>267263</v>
      </c>
      <c r="AW4" s="39">
        <f>'Background Data'!AI66-'Background Data'!AI72</f>
        <v>249770</v>
      </c>
      <c r="AX4" s="39">
        <f>'Background Data'!AJ66-'Background Data'!AJ72</f>
        <v>253252</v>
      </c>
      <c r="AY4" s="39">
        <f>'Background Data'!AK66-'Background Data'!AK72</f>
        <v>240525</v>
      </c>
      <c r="AZ4" s="39">
        <f>'Background Data'!AL66-'Background Data'!AL72</f>
        <v>205764</v>
      </c>
      <c r="BA4" s="39">
        <f>'Background Data'!AM66-'Background Data'!AM72</f>
        <v>124651</v>
      </c>
      <c r="BB4" s="39">
        <f>'Background Data'!AN66-'Background Data'!AN72</f>
        <v>128833</v>
      </c>
      <c r="BC4" s="39">
        <f>'Background Data'!AO66-'Background Data'!AO72</f>
        <v>109953</v>
      </c>
      <c r="BD4" s="39">
        <f>'Background Data'!AP66-'Background Data'!AP72</f>
        <v>110562</v>
      </c>
      <c r="BE4" s="283"/>
      <c r="BG4" s="702" t="s">
        <v>2735</v>
      </c>
      <c r="BH4" s="701">
        <f>2021-BH2</f>
        <v>18</v>
      </c>
      <c r="BI4" s="701">
        <f t="shared" ref="BI4:BY4" si="0">2021-BI2</f>
        <v>17</v>
      </c>
      <c r="BJ4" s="701">
        <f t="shared" si="0"/>
        <v>16</v>
      </c>
      <c r="BK4" s="701">
        <f t="shared" si="0"/>
        <v>15</v>
      </c>
      <c r="BL4" s="701">
        <f t="shared" si="0"/>
        <v>14</v>
      </c>
      <c r="BM4" s="701">
        <f t="shared" si="0"/>
        <v>13</v>
      </c>
      <c r="BN4" s="701">
        <f t="shared" si="0"/>
        <v>12</v>
      </c>
      <c r="BO4" s="701">
        <f t="shared" si="0"/>
        <v>11</v>
      </c>
      <c r="BP4" s="701">
        <f t="shared" si="0"/>
        <v>10</v>
      </c>
      <c r="BQ4" s="701">
        <f t="shared" si="0"/>
        <v>9</v>
      </c>
      <c r="BR4" s="701">
        <f t="shared" si="0"/>
        <v>8</v>
      </c>
      <c r="BS4" s="701">
        <f t="shared" si="0"/>
        <v>7</v>
      </c>
      <c r="BT4" s="701">
        <f t="shared" si="0"/>
        <v>6</v>
      </c>
      <c r="BU4" s="701">
        <f t="shared" si="0"/>
        <v>5</v>
      </c>
      <c r="BV4" s="701">
        <f t="shared" si="0"/>
        <v>4</v>
      </c>
      <c r="BW4" s="701">
        <f t="shared" si="0"/>
        <v>3</v>
      </c>
      <c r="BX4" s="701">
        <f t="shared" si="0"/>
        <v>2</v>
      </c>
      <c r="BY4" s="701">
        <f t="shared" si="0"/>
        <v>1</v>
      </c>
      <c r="BZ4" s="701">
        <v>0</v>
      </c>
      <c r="CF4" s="26"/>
    </row>
    <row r="5" spans="1:88" ht="16.5" x14ac:dyDescent="0.25">
      <c r="P5" s="76"/>
      <c r="U5" s="76"/>
      <c r="Z5" s="76"/>
      <c r="AG5" s="850"/>
      <c r="AI5" s="850"/>
      <c r="AJ5" s="45" t="s">
        <v>97</v>
      </c>
      <c r="AK5" s="853"/>
      <c r="AL5" s="46"/>
      <c r="AM5" s="46"/>
      <c r="AN5" s="55">
        <v>0.97</v>
      </c>
      <c r="AO5" s="55">
        <v>0.97</v>
      </c>
      <c r="AP5" s="55">
        <v>0.97</v>
      </c>
      <c r="AQ5" s="55">
        <v>0.97</v>
      </c>
      <c r="AR5" s="30">
        <f>'Background Data'!AD67/AR$4</f>
        <v>0.95873777583887743</v>
      </c>
      <c r="AS5" s="31">
        <f>'Background Data'!AE67/AS$4</f>
        <v>0.94412319059107364</v>
      </c>
      <c r="AT5" s="31">
        <f>'Background Data'!AF67/AT$4</f>
        <v>0.9416592835894001</v>
      </c>
      <c r="AU5" s="31">
        <f>'Background Data'!AG67/AU$4</f>
        <v>0.93791783306107468</v>
      </c>
      <c r="AV5" s="31">
        <f>'Background Data'!AH67/AV$4</f>
        <v>0.95077882086184773</v>
      </c>
      <c r="AW5" s="31">
        <f>'Background Data'!AI67/AW$4</f>
        <v>0.96515994715137932</v>
      </c>
      <c r="AX5" s="31">
        <f>'Background Data'!AJ67/AX$4</f>
        <v>0.95309809991628891</v>
      </c>
      <c r="AY5" s="31">
        <f>'Background Data'!AK67/AY$4</f>
        <v>0.92406194782247164</v>
      </c>
      <c r="AZ5" s="684">
        <f>'Background Data'!AL67/AZ$4</f>
        <v>0.92714469003324196</v>
      </c>
      <c r="BA5" s="685">
        <f>'Background Data'!AM67/BA$4</f>
        <v>0.91274839351469306</v>
      </c>
      <c r="BB5" s="685">
        <f>'Background Data'!AN67/BB$4</f>
        <v>0.88228947552257575</v>
      </c>
      <c r="BC5" s="685">
        <f>'Background Data'!AO67/BC$4</f>
        <v>0.81975935172300896</v>
      </c>
      <c r="BD5" s="690">
        <f>'Background Data'!AP67/BD$4</f>
        <v>0.80563846529549032</v>
      </c>
      <c r="BE5" s="770">
        <f>1 - BD5/AZ5</f>
        <v>0.13105422060217498</v>
      </c>
      <c r="BG5" s="26" t="s">
        <v>2726</v>
      </c>
      <c r="BK5" s="11">
        <v>171090</v>
      </c>
      <c r="BL5" s="11">
        <v>222416</v>
      </c>
      <c r="BM5" s="699">
        <v>255644</v>
      </c>
      <c r="BN5" s="699">
        <v>262822</v>
      </c>
      <c r="BO5" s="699">
        <v>347718</v>
      </c>
      <c r="BP5" s="699">
        <v>325214</v>
      </c>
      <c r="BQ5" s="699">
        <v>369730</v>
      </c>
      <c r="BR5" s="699">
        <v>420215</v>
      </c>
      <c r="BS5" s="699">
        <v>425526</v>
      </c>
      <c r="BT5" s="699">
        <v>489953</v>
      </c>
      <c r="BU5" s="699">
        <v>486871</v>
      </c>
      <c r="BV5" s="699">
        <v>543758</v>
      </c>
      <c r="BW5" s="699">
        <v>534711</v>
      </c>
      <c r="BX5" s="699">
        <v>517396</v>
      </c>
      <c r="BY5" s="699">
        <v>422696</v>
      </c>
      <c r="BZ5" s="11">
        <v>430762</v>
      </c>
      <c r="CG5" s="132"/>
      <c r="CH5" s="839"/>
      <c r="CI5" s="839"/>
      <c r="CJ5" s="839"/>
    </row>
    <row r="6" spans="1:88" ht="16.5" x14ac:dyDescent="0.25">
      <c r="K6" s="76"/>
      <c r="P6" s="76"/>
      <c r="U6" s="76"/>
      <c r="Z6" s="76"/>
      <c r="AG6" s="850"/>
      <c r="AI6" s="850"/>
      <c r="AJ6" s="45" t="s">
        <v>96</v>
      </c>
      <c r="AK6" s="853"/>
      <c r="AL6" s="46"/>
      <c r="AM6" s="46"/>
      <c r="AN6" s="55">
        <v>0.03</v>
      </c>
      <c r="AO6" s="55">
        <v>0.03</v>
      </c>
      <c r="AP6" s="55">
        <v>0.03</v>
      </c>
      <c r="AQ6" s="55">
        <v>0.03</v>
      </c>
      <c r="AR6" s="30">
        <f>'Background Data'!AD68/AR$4</f>
        <v>2.6461951099316133E-2</v>
      </c>
      <c r="AS6" s="31">
        <f>'Background Data'!AE68/AS$4</f>
        <v>2.8848763570566947E-2</v>
      </c>
      <c r="AT6" s="31">
        <f>'Background Data'!AF68/AT$4</f>
        <v>2.9146948448113174E-2</v>
      </c>
      <c r="AU6" s="31">
        <f>'Background Data'!AG68/AU$4</f>
        <v>3.2861738185534069E-2</v>
      </c>
      <c r="AV6" s="31">
        <f>'Background Data'!AH68/AV$4</f>
        <v>2.3141998705395059E-2</v>
      </c>
      <c r="AW6" s="31">
        <f>'Background Data'!AI68/AW$4</f>
        <v>3.6073187332345759E-3</v>
      </c>
      <c r="AX6" s="31">
        <f>'Background Data'!AJ68/AX$4</f>
        <v>3.0207066479238072E-3</v>
      </c>
      <c r="AY6" s="31">
        <f>'Background Data'!AK68/AY$4</f>
        <v>2.9352458164431973E-3</v>
      </c>
      <c r="AZ6" s="31">
        <f>'Background Data'!AL68/AZ$4</f>
        <v>7.5815011372251705E-4</v>
      </c>
      <c r="BA6" s="31">
        <f>'Background Data'!AM68/BA$4</f>
        <v>9.6268782440574077E-5</v>
      </c>
      <c r="BB6" s="34">
        <f>'Background Data'!AN68/BB$4</f>
        <v>7.7619864475716617E-6</v>
      </c>
      <c r="BC6" s="34">
        <f>'Background Data'!AO68/BC$4</f>
        <v>0</v>
      </c>
      <c r="BD6" s="34">
        <f>'Background Data'!AP68/BD$4</f>
        <v>0</v>
      </c>
      <c r="BE6" s="652"/>
      <c r="BG6" s="71" t="s">
        <v>2727</v>
      </c>
      <c r="BM6" s="698">
        <f>BM5/SUM($BM$5:$BZ$5)</f>
        <v>4.3827069906888651E-2</v>
      </c>
      <c r="BN6" s="698">
        <f t="shared" ref="BN6:BZ6" si="1">BN5/SUM($BM$5:$BZ$5)</f>
        <v>4.5057651136221809E-2</v>
      </c>
      <c r="BO6" s="698">
        <f t="shared" si="1"/>
        <v>5.9612042895133492E-2</v>
      </c>
      <c r="BP6" s="698">
        <f t="shared" si="1"/>
        <v>5.5754004446413312E-2</v>
      </c>
      <c r="BQ6" s="698">
        <f t="shared" si="1"/>
        <v>6.338573389820977E-2</v>
      </c>
      <c r="BR6" s="698">
        <f t="shared" si="1"/>
        <v>7.2040776161080303E-2</v>
      </c>
      <c r="BS6" s="698">
        <f t="shared" si="1"/>
        <v>7.2951282835500536E-2</v>
      </c>
      <c r="BT6" s="698">
        <f t="shared" si="1"/>
        <v>8.39965122674102E-2</v>
      </c>
      <c r="BU6" s="698">
        <f t="shared" si="1"/>
        <v>8.3468140666852278E-2</v>
      </c>
      <c r="BV6" s="698">
        <f t="shared" si="1"/>
        <v>9.3220728350479412E-2</v>
      </c>
      <c r="BW6" s="698">
        <f t="shared" si="1"/>
        <v>9.1669729690438018E-2</v>
      </c>
      <c r="BX6" s="698">
        <f t="shared" si="1"/>
        <v>8.8701282492624739E-2</v>
      </c>
      <c r="BY6" s="698">
        <f t="shared" si="1"/>
        <v>7.2466113585150455E-2</v>
      </c>
      <c r="BZ6" s="698">
        <f t="shared" si="1"/>
        <v>7.3848931667596998E-2</v>
      </c>
      <c r="CG6" s="840"/>
      <c r="CH6" s="841"/>
      <c r="CI6" s="841"/>
      <c r="CJ6" s="840"/>
    </row>
    <row r="7" spans="1:88" ht="16.5" x14ac:dyDescent="0.25">
      <c r="F7" s="68"/>
      <c r="J7" s="56"/>
      <c r="L7" s="56"/>
      <c r="N7" s="56"/>
      <c r="O7" s="56"/>
      <c r="Q7" s="56"/>
      <c r="R7" s="56"/>
      <c r="S7" s="56"/>
      <c r="T7" s="56"/>
      <c r="V7" s="56"/>
      <c r="W7" s="56"/>
      <c r="X7" s="56"/>
      <c r="Y7" s="56"/>
      <c r="Z7"/>
      <c r="AG7" s="850"/>
      <c r="AI7" s="850"/>
      <c r="AJ7" s="45" t="s">
        <v>120</v>
      </c>
      <c r="AK7" s="853"/>
      <c r="AL7" s="46"/>
      <c r="AM7" s="46"/>
      <c r="AN7" s="55">
        <v>0</v>
      </c>
      <c r="AO7" s="55">
        <v>0</v>
      </c>
      <c r="AP7" s="55">
        <v>0</v>
      </c>
      <c r="AQ7" s="55">
        <v>0</v>
      </c>
      <c r="AR7" s="30">
        <f>'Background Data'!AD69/AR$4</f>
        <v>2.6255942931698197E-4</v>
      </c>
      <c r="AS7" s="31">
        <f>'Background Data'!AE69/AS$4</f>
        <v>7.0491556091676721E-4</v>
      </c>
      <c r="AT7" s="31">
        <f>'Background Data'!AF69/AT$4</f>
        <v>2.2113216788757556E-3</v>
      </c>
      <c r="AU7" s="31">
        <f>'Background Data'!AG69/AU$4</f>
        <v>3.8715898705392162E-3</v>
      </c>
      <c r="AV7" s="31">
        <f>'Background Data'!AH69/AV$4</f>
        <v>4.5423421872836873E-3</v>
      </c>
      <c r="AW7" s="31">
        <f>'Background Data'!AI69/AW$4</f>
        <v>3.7234255515073869E-3</v>
      </c>
      <c r="AX7" s="31">
        <f>'Background Data'!AJ69/AX$4</f>
        <v>9.9979467092066402E-3</v>
      </c>
      <c r="AY7" s="31">
        <f>'Background Data'!AK69/AY$4</f>
        <v>3.0396008730901154E-2</v>
      </c>
      <c r="AZ7" s="31">
        <f>'Background Data'!AL69/AZ$4</f>
        <v>2.5563266655002817E-2</v>
      </c>
      <c r="BA7" s="31">
        <f>'Background Data'!AM69/BA$4</f>
        <v>3.7649116332801179E-2</v>
      </c>
      <c r="BB7" s="34">
        <f>'Background Data'!AN69/BB$4</f>
        <v>5.4380477051687068E-2</v>
      </c>
      <c r="BC7" s="34">
        <f>'Background Data'!AO69/BC$4</f>
        <v>0.11247533036843015</v>
      </c>
      <c r="BD7" s="34">
        <f>'Background Data'!AP69/BD$4</f>
        <v>9.2011721929776955E-2</v>
      </c>
      <c r="BE7" s="652"/>
      <c r="BG7" s="71" t="s">
        <v>2736</v>
      </c>
      <c r="BH7" s="76"/>
      <c r="BI7" s="76"/>
      <c r="BJ7" s="76"/>
      <c r="BK7" s="76"/>
      <c r="BL7" s="76"/>
      <c r="BM7" s="338">
        <f>'Background Data'!$X$11*BM6</f>
        <v>180.55727248202302</v>
      </c>
      <c r="BN7" s="338">
        <f>'Background Data'!$X$11*BN6</f>
        <v>185.62697919086796</v>
      </c>
      <c r="BO7" s="338">
        <f>'Background Data'!$X$11*BO6</f>
        <v>245.58766750991251</v>
      </c>
      <c r="BP7" s="338">
        <f>'Background Data'!$X$11*BP6</f>
        <v>229.69345188218236</v>
      </c>
      <c r="BQ7" s="338">
        <f>'Background Data'!$X$11*BQ6</f>
        <v>261.13439139889203</v>
      </c>
      <c r="BR7" s="338">
        <f>'Background Data'!$X$11*BR6</f>
        <v>296.79114024202914</v>
      </c>
      <c r="BS7" s="338">
        <f>'Background Data'!$X$11*BS6</f>
        <v>300.54221468207868</v>
      </c>
      <c r="BT7" s="338">
        <f>'Background Data'!$X$11*BT6</f>
        <v>346.04597535785945</v>
      </c>
      <c r="BU7" s="338">
        <f>'Background Data'!$X$11*BU6</f>
        <v>343.86920800251534</v>
      </c>
      <c r="BV7" s="338">
        <f>'Background Data'!$X$11*BV6</f>
        <v>384.04758715354114</v>
      </c>
      <c r="BW7" s="338">
        <f>'Background Data'!$X$11*BW6</f>
        <v>377.65783560785701</v>
      </c>
      <c r="BX7" s="338">
        <f>'Background Data'!$X$11*BX6</f>
        <v>365.42852776951059</v>
      </c>
      <c r="BY7" s="338">
        <f>'Background Data'!$X$11*BY6</f>
        <v>298.54343090024093</v>
      </c>
      <c r="CG7" s="840"/>
      <c r="CH7" s="841"/>
      <c r="CI7" s="841"/>
      <c r="CJ7" s="840"/>
    </row>
    <row r="8" spans="1:88" x14ac:dyDescent="0.25">
      <c r="F8" s="68"/>
      <c r="J8" s="56"/>
      <c r="K8" s="56"/>
      <c r="L8" s="56"/>
      <c r="M8" s="56"/>
      <c r="N8" s="56"/>
      <c r="O8" s="56"/>
      <c r="P8" s="56"/>
      <c r="Q8" s="56"/>
      <c r="R8" s="56"/>
      <c r="S8" s="56"/>
      <c r="T8" s="56"/>
      <c r="U8" s="56"/>
      <c r="V8" s="56"/>
      <c r="W8" s="56"/>
      <c r="X8" s="56"/>
      <c r="Y8" s="56"/>
      <c r="Z8" s="56"/>
      <c r="AG8" s="850"/>
      <c r="AI8" s="850"/>
      <c r="AJ8" s="45" t="s">
        <v>121</v>
      </c>
      <c r="AK8" s="853"/>
      <c r="AL8" s="46"/>
      <c r="AM8" s="46"/>
      <c r="AN8" s="55">
        <v>0</v>
      </c>
      <c r="AO8" s="55">
        <v>0</v>
      </c>
      <c r="AP8" s="55">
        <v>0</v>
      </c>
      <c r="AQ8" s="55">
        <v>0</v>
      </c>
      <c r="AR8" s="30">
        <f>'Background Data'!AD70/AR$4</f>
        <v>1.3879295371279229E-2</v>
      </c>
      <c r="AS8" s="31">
        <f>'Background Data'!AE70/AS$4</f>
        <v>2.4690892641737034E-2</v>
      </c>
      <c r="AT8" s="31">
        <f>'Background Data'!AF70/AT$4</f>
        <v>2.5282537761739093E-2</v>
      </c>
      <c r="AU8" s="31">
        <f>'Background Data'!AG70/AU$4</f>
        <v>2.3046034498888177E-2</v>
      </c>
      <c r="AV8" s="31">
        <f>'Background Data'!AH70/AV$4</f>
        <v>1.8917695303876707E-2</v>
      </c>
      <c r="AW8" s="31">
        <f>'Background Data'!AI70/AW$4</f>
        <v>1.9333787084117388E-2</v>
      </c>
      <c r="AX8" s="31">
        <f>'Background Data'!AJ70/AX$4</f>
        <v>1.9435187086380364E-2</v>
      </c>
      <c r="AY8" s="31">
        <f>'Background Data'!AK70/AY$4</f>
        <v>1.9669473027751794E-2</v>
      </c>
      <c r="AZ8" s="31">
        <f>'Background Data'!AL70/AZ$4</f>
        <v>3.7474971326373903E-2</v>
      </c>
      <c r="BA8" s="31">
        <f>'Background Data'!AM70/BA$4</f>
        <v>4.1435688442130428E-2</v>
      </c>
      <c r="BB8" s="34">
        <f>'Background Data'!AN70/BB$4</f>
        <v>5.5335201384738381E-2</v>
      </c>
      <c r="BC8" s="34">
        <f>'Background Data'!AO70/BC$4</f>
        <v>6.0553145434867624E-2</v>
      </c>
      <c r="BD8" s="34">
        <f>'Background Data'!AP70/BD$4</f>
        <v>9.4878891481702574E-2</v>
      </c>
      <c r="BE8" s="770">
        <f>BD8/AZ8 - 1</f>
        <v>1.5317935711115354</v>
      </c>
      <c r="BG8" s="71" t="s">
        <v>2729</v>
      </c>
      <c r="BI8" s="76"/>
      <c r="BJ8" s="76"/>
      <c r="BK8" s="698">
        <f>BK5/SUM($BK$5:$BZ$5)</f>
        <v>2.7477619126697054E-2</v>
      </c>
      <c r="BL8" s="698">
        <f t="shared" ref="BL8:BZ8" si="2">BL5/SUM($BK$5:$BZ$5)</f>
        <v>3.5720744261403078E-2</v>
      </c>
      <c r="BM8" s="698">
        <f t="shared" si="2"/>
        <v>4.1057270816677434E-2</v>
      </c>
      <c r="BN8" s="698">
        <f t="shared" si="2"/>
        <v>4.2210081326300622E-2</v>
      </c>
      <c r="BO8" s="698">
        <f t="shared" si="2"/>
        <v>5.5844659345939837E-2</v>
      </c>
      <c r="BP8" s="698">
        <f t="shared" si="2"/>
        <v>5.2230442613067134E-2</v>
      </c>
      <c r="BQ8" s="698">
        <f t="shared" si="2"/>
        <v>5.9379859253689299E-2</v>
      </c>
      <c r="BR8" s="698">
        <f t="shared" si="2"/>
        <v>6.7487917010491574E-2</v>
      </c>
      <c r="BS8" s="698">
        <f t="shared" si="2"/>
        <v>6.8340881153234501E-2</v>
      </c>
      <c r="BT8" s="698">
        <f t="shared" si="2"/>
        <v>7.8688070161801404E-2</v>
      </c>
      <c r="BU8" s="698">
        <f t="shared" si="2"/>
        <v>7.8193090781659494E-2</v>
      </c>
      <c r="BV8" s="698">
        <f t="shared" si="2"/>
        <v>8.7329330884882442E-2</v>
      </c>
      <c r="BW8" s="698">
        <f t="shared" si="2"/>
        <v>8.5876352801772804E-2</v>
      </c>
      <c r="BX8" s="698">
        <f t="shared" si="2"/>
        <v>8.3095506608665326E-2</v>
      </c>
      <c r="BY8" s="698">
        <f t="shared" si="2"/>
        <v>6.7886373805472786E-2</v>
      </c>
      <c r="BZ8" s="698">
        <f t="shared" si="2"/>
        <v>6.9181800048245229E-2</v>
      </c>
    </row>
    <row r="9" spans="1:88" x14ac:dyDescent="0.25">
      <c r="F9" s="68"/>
      <c r="J9" s="56"/>
      <c r="K9" s="56"/>
      <c r="L9" s="56"/>
      <c r="M9" s="56"/>
      <c r="N9" s="56"/>
      <c r="O9" s="56"/>
      <c r="P9" s="56"/>
      <c r="Q9" s="56"/>
      <c r="R9" s="56"/>
      <c r="S9" s="56"/>
      <c r="T9" s="56"/>
      <c r="U9" s="56"/>
      <c r="V9" s="56"/>
      <c r="W9" s="56"/>
      <c r="X9" s="56"/>
      <c r="Y9" s="56"/>
      <c r="Z9" s="56"/>
      <c r="AG9" s="850"/>
      <c r="AI9" s="850"/>
      <c r="AJ9" s="45" t="s">
        <v>122</v>
      </c>
      <c r="AK9" s="853"/>
      <c r="AL9" s="46"/>
      <c r="AM9" s="46"/>
      <c r="AN9" s="55">
        <v>0</v>
      </c>
      <c r="AO9" s="55">
        <v>0</v>
      </c>
      <c r="AP9" s="55">
        <v>0</v>
      </c>
      <c r="AQ9" s="55">
        <v>0</v>
      </c>
      <c r="AR9" s="30">
        <f>'Background Data'!AD71/AR$4</f>
        <v>6.5841826121027782E-4</v>
      </c>
      <c r="AS9" s="31">
        <f>'Background Data'!AE71/AS$4</f>
        <v>1.6322376357056695E-3</v>
      </c>
      <c r="AT9" s="31">
        <f>'Background Data'!AF71/AT$4</f>
        <v>1.6999085218719163E-3</v>
      </c>
      <c r="AU9" s="31">
        <f>'Background Data'!AG71/AU$4</f>
        <v>2.3028043839638458E-3</v>
      </c>
      <c r="AV9" s="31">
        <f>'Background Data'!AH71/AV$4</f>
        <v>2.619142941596854E-3</v>
      </c>
      <c r="AW9" s="31">
        <f>'Background Data'!AI71/AW$4</f>
        <v>8.1755214797613798E-3</v>
      </c>
      <c r="AX9" s="31">
        <f>'Background Data'!AJ71/AX$4</f>
        <v>1.4448059640200276E-2</v>
      </c>
      <c r="AY9" s="31">
        <f>'Background Data'!AK71/AY$4</f>
        <v>2.2937324602432179E-2</v>
      </c>
      <c r="AZ9" s="31">
        <f>'Background Data'!AL71/AZ$4</f>
        <v>9.058921871658793E-3</v>
      </c>
      <c r="BA9" s="31">
        <f>'Background Data'!AM71/BA$4</f>
        <v>8.0705329279347933E-3</v>
      </c>
      <c r="BB9" s="34">
        <f>'Background Data'!AN71/BB$4</f>
        <v>7.9870840545512405E-3</v>
      </c>
      <c r="BC9" s="34">
        <f>'Background Data'!AO71/BC$4</f>
        <v>7.2121724736933053E-3</v>
      </c>
      <c r="BD9" s="34">
        <f>'Background Data'!AP71/BD$4</f>
        <v>7.470921293030155E-3</v>
      </c>
      <c r="BE9" s="652"/>
      <c r="BG9" s="71" t="s">
        <v>2737</v>
      </c>
      <c r="BK9" s="338">
        <f>'Background Data'!$X$12*BK8</f>
        <v>113.00069198663394</v>
      </c>
      <c r="BL9" s="338">
        <f>'Background Data'!$X$12*BL8</f>
        <v>146.90023910748249</v>
      </c>
      <c r="BM9" s="338">
        <f>'Background Data'!$X$12*BM8</f>
        <v>168.84650711456572</v>
      </c>
      <c r="BN9" s="338">
        <f>'Background Data'!$X$12*BN8</f>
        <v>173.58739768140222</v>
      </c>
      <c r="BO9" s="338">
        <f>'Background Data'!$X$12*BO8</f>
        <v>229.65909530778177</v>
      </c>
      <c r="BP9" s="338">
        <f>'Background Data'!$X$12*BP8</f>
        <v>214.7957627198619</v>
      </c>
      <c r="BQ9" s="338">
        <f>'Background Data'!$X$12*BQ8</f>
        <v>244.19747412600483</v>
      </c>
      <c r="BR9" s="338">
        <f>'Background Data'!$X$12*BR8</f>
        <v>277.54156165271718</v>
      </c>
      <c r="BS9" s="338">
        <f>'Background Data'!$X$12*BS8</f>
        <v>281.04934513007419</v>
      </c>
      <c r="BT9" s="338">
        <f>'Background Data'!$X$12*BT8</f>
        <v>323.60177708181226</v>
      </c>
      <c r="BU9" s="338">
        <f>'Background Data'!$X$12*BU8</f>
        <v>321.5661926952157</v>
      </c>
      <c r="BV9" s="338">
        <f>'Background Data'!$X$12*BV8</f>
        <v>359.13864207883626</v>
      </c>
      <c r="BW9" s="338">
        <f>'Background Data'!$X$12*BW8</f>
        <v>353.16332347223698</v>
      </c>
      <c r="BX9" s="338">
        <f>'Background Data'!$X$12*BX8</f>
        <v>341.72719639439163</v>
      </c>
      <c r="BY9" s="338">
        <f>'Background Data'!$X$12*BY8</f>
        <v>279.18020047917599</v>
      </c>
    </row>
    <row r="10" spans="1:88" x14ac:dyDescent="0.25">
      <c r="F10" s="68"/>
      <c r="J10" s="56"/>
      <c r="K10" s="56"/>
      <c r="L10" s="56"/>
      <c r="M10" s="56"/>
      <c r="N10" s="56"/>
      <c r="O10" s="56"/>
      <c r="P10" s="56"/>
      <c r="Q10" s="56"/>
      <c r="R10" s="56"/>
      <c r="S10" s="56"/>
      <c r="T10" s="56"/>
      <c r="U10" s="56"/>
      <c r="V10" s="56"/>
      <c r="W10" s="56"/>
      <c r="X10" s="56"/>
      <c r="Y10" s="56"/>
      <c r="Z10" s="56"/>
      <c r="AG10" s="850"/>
      <c r="AI10" s="850"/>
      <c r="AJ10" s="26" t="s">
        <v>131</v>
      </c>
      <c r="AK10" s="853"/>
      <c r="AL10" s="46"/>
      <c r="AM10" s="46"/>
      <c r="AR10" s="41">
        <f>'Background Data'!AD73-'Background Data'!AD76-'Background Data'!AD78-'Background Data'!AD79</f>
        <v>78026</v>
      </c>
      <c r="AS10" s="39">
        <f>'Background Data'!AE73-'Background Data'!AE76-'Background Data'!AE78-'Background Data'!AE79</f>
        <v>66686</v>
      </c>
      <c r="AT10" s="39">
        <f>'Background Data'!AF73-'Background Data'!AF76-'Background Data'!AF78-'Background Data'!AF79</f>
        <v>80401</v>
      </c>
      <c r="AU10" s="39">
        <f>'Background Data'!AG73-'Background Data'!AG76-'Background Data'!AG78-'Background Data'!AG79</f>
        <v>86768</v>
      </c>
      <c r="AV10" s="39">
        <f>'Background Data'!AH73-'Background Data'!AH76-'Background Data'!AH78-'Background Data'!AH79</f>
        <v>104178</v>
      </c>
      <c r="AW10" s="39">
        <f>'Background Data'!AI73-'Background Data'!AI76-'Background Data'!AI78-'Background Data'!AI79</f>
        <v>126823</v>
      </c>
      <c r="AX10" s="39">
        <f>'Background Data'!AJ73-'Background Data'!AJ76-'Background Data'!AJ78-'Background Data'!AJ79</f>
        <v>144063</v>
      </c>
      <c r="AY10" s="39">
        <f>'Background Data'!AK73-'Background Data'!AK76-'Background Data'!AK78-'Background Data'!AK79</f>
        <v>135361</v>
      </c>
      <c r="AZ10" s="39">
        <f>'Background Data'!AL73-'Background Data'!AL76-'Background Data'!AL78-'Background Data'!AL79</f>
        <v>144661</v>
      </c>
      <c r="BA10" s="39">
        <f>'Background Data'!AM73-'Background Data'!AM76-'Background Data'!AM78-'Background Data'!AM79</f>
        <v>127770</v>
      </c>
      <c r="BB10" s="39">
        <f>'Background Data'!AN73 -'Background Data'!AN79</f>
        <v>117894</v>
      </c>
      <c r="BC10" s="39">
        <f>'Background Data'!AO73 -'Background Data'!AO79</f>
        <v>122767</v>
      </c>
      <c r="BD10" s="39">
        <f>'Background Data'!AP73 -'Background Data'!AP79</f>
        <v>127652</v>
      </c>
      <c r="BE10" s="283"/>
      <c r="BG10" s="26" t="s">
        <v>2728</v>
      </c>
      <c r="BH10" s="699">
        <v>26945</v>
      </c>
      <c r="BI10" s="699">
        <v>30185</v>
      </c>
      <c r="BJ10" s="699">
        <v>36137</v>
      </c>
      <c r="BK10" s="699">
        <v>42697</v>
      </c>
      <c r="BL10" s="699">
        <v>52407</v>
      </c>
      <c r="BM10" s="699">
        <v>53633</v>
      </c>
      <c r="BN10" s="699">
        <v>44846</v>
      </c>
      <c r="BO10" s="699">
        <v>62915</v>
      </c>
      <c r="BP10" s="699">
        <v>68877</v>
      </c>
      <c r="BQ10" s="699">
        <v>59224</v>
      </c>
      <c r="BR10" s="699">
        <v>60904</v>
      </c>
      <c r="BS10" s="699">
        <v>71922</v>
      </c>
      <c r="BT10" s="699">
        <v>80891</v>
      </c>
      <c r="BU10" s="699">
        <v>100677</v>
      </c>
      <c r="BV10" s="699">
        <v>117816</v>
      </c>
      <c r="BW10" s="699">
        <v>123742</v>
      </c>
      <c r="BX10" s="699">
        <v>143314</v>
      </c>
      <c r="BY10" s="699">
        <v>112553</v>
      </c>
      <c r="BZ10" s="11">
        <v>129859</v>
      </c>
    </row>
    <row r="11" spans="1:88" x14ac:dyDescent="0.25">
      <c r="F11" s="68"/>
      <c r="J11" s="56"/>
      <c r="K11" s="56"/>
      <c r="L11" s="56"/>
      <c r="M11" s="56"/>
      <c r="N11" s="56"/>
      <c r="O11" s="56"/>
      <c r="P11" s="56"/>
      <c r="Q11" s="56"/>
      <c r="R11" s="56"/>
      <c r="S11" s="56"/>
      <c r="T11" s="56"/>
      <c r="U11" s="56"/>
      <c r="V11" s="56"/>
      <c r="W11" s="56"/>
      <c r="X11" s="56"/>
      <c r="Y11" s="56"/>
      <c r="Z11" s="56"/>
      <c r="AG11" s="850"/>
      <c r="AI11" s="850"/>
      <c r="AJ11" s="15" t="s">
        <v>97</v>
      </c>
      <c r="AK11" s="853"/>
      <c r="AL11" s="854" t="s">
        <v>640</v>
      </c>
      <c r="AM11" s="854"/>
      <c r="AN11" s="854"/>
      <c r="AO11" s="854"/>
      <c r="AP11" s="854"/>
      <c r="AQ11" s="855"/>
      <c r="AR11" s="42">
        <f>'Background Data'!AD74/AR$10</f>
        <v>0.93075385128034249</v>
      </c>
      <c r="AS11" s="43">
        <f>'Background Data'!AE74/AS$10</f>
        <v>0.92463185676153914</v>
      </c>
      <c r="AT11" s="43">
        <f>'Background Data'!AF74/AT$10</f>
        <v>0.93408042188529994</v>
      </c>
      <c r="AU11" s="43">
        <f>'Background Data'!AG74/AU$10</f>
        <v>0.90168034298358846</v>
      </c>
      <c r="AV11" s="43">
        <f>'Background Data'!AH74/AV$10</f>
        <v>0.8933939987329379</v>
      </c>
      <c r="AW11" s="43">
        <f>'Background Data'!AI74/AW$10</f>
        <v>0.88861641815758974</v>
      </c>
      <c r="AX11" s="43">
        <f>'Background Data'!AJ74/AX$10</f>
        <v>0.91154564322553322</v>
      </c>
      <c r="AY11" s="43">
        <f>'Background Data'!AK74/AY$10</f>
        <v>0.88623015491906831</v>
      </c>
      <c r="AZ11" s="43">
        <f>'Background Data'!AL74/AZ$10</f>
        <v>0.90696179343430505</v>
      </c>
      <c r="BA11" s="43">
        <f>'Background Data'!AM74/BA$10</f>
        <v>0.8817406276903812</v>
      </c>
      <c r="BB11" s="43">
        <f>'Background Data'!AN74/BB$10</f>
        <v>0.85244372063039675</v>
      </c>
      <c r="BC11" s="43">
        <f>'Background Data'!AO74/BC$10</f>
        <v>0.79570242817695314</v>
      </c>
      <c r="BD11" s="43">
        <f>'Background Data'!AP74/BD$10</f>
        <v>0.80905900416758059</v>
      </c>
      <c r="BE11" s="652"/>
      <c r="BG11" s="71" t="s">
        <v>2729</v>
      </c>
      <c r="BK11" s="698">
        <f>BK10/SUM($BK$10:$BZ$10)</f>
        <v>3.2193124060810825E-2</v>
      </c>
      <c r="BL11" s="698">
        <f t="shared" ref="BL11:BZ11" si="3">BL10/SUM($BK$10:$BZ$10)</f>
        <v>3.9514369924231511E-2</v>
      </c>
      <c r="BM11" s="698">
        <f t="shared" si="3"/>
        <v>4.0438762038397712E-2</v>
      </c>
      <c r="BN11" s="698">
        <f t="shared" si="3"/>
        <v>3.3813449226669845E-2</v>
      </c>
      <c r="BO11" s="698">
        <f t="shared" si="3"/>
        <v>4.7437300051195945E-2</v>
      </c>
      <c r="BP11" s="698">
        <f t="shared" si="3"/>
        <v>5.1932590250754557E-2</v>
      </c>
      <c r="BQ11" s="698">
        <f t="shared" si="3"/>
        <v>4.4654321834729852E-2</v>
      </c>
      <c r="BR11" s="698">
        <f t="shared" si="3"/>
        <v>4.592102554745351E-2</v>
      </c>
      <c r="BS11" s="698">
        <f t="shared" si="3"/>
        <v>5.4228490730066192E-2</v>
      </c>
      <c r="BT11" s="698">
        <f t="shared" si="3"/>
        <v>6.0991029777339126E-2</v>
      </c>
      <c r="BU11" s="698">
        <f t="shared" si="3"/>
        <v>7.5909481955881014E-2</v>
      </c>
      <c r="BV11" s="698">
        <f t="shared" si="3"/>
        <v>8.8832121796577942E-2</v>
      </c>
      <c r="BW11" s="698">
        <f t="shared" si="3"/>
        <v>9.3300268345149623E-2</v>
      </c>
      <c r="BX11" s="698">
        <f t="shared" si="3"/>
        <v>0.10805736659838028</v>
      </c>
      <c r="BY11" s="698">
        <f t="shared" si="3"/>
        <v>8.4863870820348991E-2</v>
      </c>
      <c r="BZ11" s="698">
        <f t="shared" si="3"/>
        <v>9.7912427042013098E-2</v>
      </c>
    </row>
    <row r="12" spans="1:88" x14ac:dyDescent="0.25">
      <c r="F12" s="68"/>
      <c r="J12" s="56"/>
      <c r="K12" s="56"/>
      <c r="L12" s="56"/>
      <c r="M12" s="56"/>
      <c r="N12" s="56"/>
      <c r="O12" s="56"/>
      <c r="P12" s="56"/>
      <c r="Q12" s="56"/>
      <c r="R12" s="56"/>
      <c r="S12" s="56"/>
      <c r="T12" s="56"/>
      <c r="U12" s="56"/>
      <c r="V12" s="56"/>
      <c r="W12" s="56"/>
      <c r="X12" s="56"/>
      <c r="Y12" s="56"/>
      <c r="Z12" s="56"/>
      <c r="AG12" s="850"/>
      <c r="AI12" s="850"/>
      <c r="AJ12" s="15" t="s">
        <v>96</v>
      </c>
      <c r="AK12" s="853"/>
      <c r="AL12" s="854"/>
      <c r="AM12" s="854"/>
      <c r="AN12" s="854"/>
      <c r="AO12" s="854"/>
      <c r="AP12" s="854"/>
      <c r="AQ12" s="855"/>
      <c r="AR12" s="42">
        <f>'Background Data'!AD75/AR$10</f>
        <v>6.838746059005972E-2</v>
      </c>
      <c r="AS12" s="43">
        <f>'Background Data'!AE75/AS$10</f>
        <v>7.4483399814053927E-2</v>
      </c>
      <c r="AT12" s="43">
        <f>'Background Data'!AF75/AT$10</f>
        <v>6.580763920846755E-2</v>
      </c>
      <c r="AU12" s="43">
        <f>'Background Data'!AG75/AU$10</f>
        <v>9.8308132030241566E-2</v>
      </c>
      <c r="AV12" s="43">
        <f>'Background Data'!AH75/AV$10</f>
        <v>0.10660600126706214</v>
      </c>
      <c r="AW12" s="43">
        <f>'Background Data'!AI75/AW$10</f>
        <v>0.11138358184241029</v>
      </c>
      <c r="AX12" s="43">
        <f>'Background Data'!AJ75/AX$10</f>
        <v>8.8454356774466725E-2</v>
      </c>
      <c r="AY12" s="43">
        <f>'Background Data'!AK75/AY$10</f>
        <v>0.11376984508093173</v>
      </c>
      <c r="AZ12" s="43">
        <f>'Background Data'!AL75/AZ$10</f>
        <v>9.3038206565694975E-2</v>
      </c>
      <c r="BA12" s="43">
        <f>'Background Data'!AM75/BA$10</f>
        <v>0.11818110667605854</v>
      </c>
      <c r="BB12" s="43">
        <f>'Background Data'!AN75/BB$10</f>
        <v>0.12780972738222471</v>
      </c>
      <c r="BC12" s="43">
        <f>'Background Data'!AO75/BC$10</f>
        <v>0.15838946948284149</v>
      </c>
      <c r="BD12" s="43">
        <f>'Background Data'!AP75/BD$10</f>
        <v>0.14190141948422272</v>
      </c>
      <c r="BE12" s="652"/>
      <c r="BG12" s="71" t="s">
        <v>2737</v>
      </c>
      <c r="BK12" s="338">
        <f>'Background Data'!$X$13*BK11</f>
        <v>36.996177205063496</v>
      </c>
      <c r="BL12" s="338">
        <f>'Background Data'!$X$13*BL11</f>
        <v>45.409716345077229</v>
      </c>
      <c r="BM12" s="338">
        <f>'Background Data'!$X$13*BM11</f>
        <v>46.472023140716459</v>
      </c>
      <c r="BN12" s="338">
        <f>'Background Data'!$X$13*BN11</f>
        <v>38.858246784042848</v>
      </c>
      <c r="BO12" s="338">
        <f>'Background Data'!$X$13*BO11</f>
        <v>54.51470803233412</v>
      </c>
      <c r="BP12" s="338">
        <f>'Background Data'!$X$13*BP11</f>
        <v>59.680673053215877</v>
      </c>
      <c r="BQ12" s="338">
        <f>'Background Data'!$X$13*BQ11</f>
        <v>51.316523380862371</v>
      </c>
      <c r="BR12" s="338">
        <f>'Background Data'!$X$13*BR11</f>
        <v>52.77221295400583</v>
      </c>
      <c r="BS12" s="338">
        <f>'Background Data'!$X$13*BS11</f>
        <v>62.319110404538414</v>
      </c>
      <c r="BT12" s="338">
        <f>'Background Data'!$X$13*BT11</f>
        <v>70.090586464969235</v>
      </c>
      <c r="BU12" s="338">
        <f>'Background Data'!$X$13*BU11</f>
        <v>87.234797116288675</v>
      </c>
      <c r="BV12" s="338">
        <f>'Background Data'!$X$13*BV11</f>
        <v>102.08543020801838</v>
      </c>
      <c r="BW12" s="338">
        <f>'Background Data'!$X$13*BW11</f>
        <v>107.22020188090421</v>
      </c>
      <c r="BX12" s="338">
        <f>'Background Data'!$X$13*BX11</f>
        <v>124.17898540802561</v>
      </c>
      <c r="BY12" s="338">
        <f>'Background Data'!$X$13*BY11</f>
        <v>97.525136027390957</v>
      </c>
    </row>
    <row r="13" spans="1:88" x14ac:dyDescent="0.25">
      <c r="F13" s="68"/>
      <c r="J13" s="56"/>
      <c r="K13" s="56"/>
      <c r="L13" s="56"/>
      <c r="M13" s="56"/>
      <c r="N13" s="56"/>
      <c r="O13" s="56"/>
      <c r="P13" s="56"/>
      <c r="Q13" s="56"/>
      <c r="R13" s="56"/>
      <c r="S13" s="56"/>
      <c r="T13" s="56"/>
      <c r="U13" s="56"/>
      <c r="V13" s="56"/>
      <c r="W13" s="56"/>
      <c r="X13" s="56"/>
      <c r="Y13" s="56"/>
      <c r="Z13" s="56"/>
      <c r="AG13" s="850"/>
      <c r="AI13" s="850"/>
      <c r="AJ13" s="15" t="s">
        <v>120</v>
      </c>
      <c r="AK13" s="853"/>
      <c r="AL13" s="854"/>
      <c r="AM13" s="854"/>
      <c r="AN13" s="854"/>
      <c r="AO13" s="854"/>
      <c r="AP13" s="854"/>
      <c r="AQ13" s="855"/>
      <c r="AR13" s="42">
        <f>'Background Data'!AD76/AR$10</f>
        <v>0</v>
      </c>
      <c r="AS13" s="43">
        <f>'Background Data'!AE76/AS$10</f>
        <v>0</v>
      </c>
      <c r="AT13" s="43">
        <f>'Background Data'!AF76/AT$10</f>
        <v>0</v>
      </c>
      <c r="AU13" s="43">
        <f>'Background Data'!AG76/AU$10</f>
        <v>0</v>
      </c>
      <c r="AV13" s="43">
        <f>'Background Data'!AH76/AV$10</f>
        <v>0</v>
      </c>
      <c r="AW13" s="43">
        <f>'Background Data'!AI76/AW$10</f>
        <v>0</v>
      </c>
      <c r="AX13" s="43">
        <f>'Background Data'!AJ76/AX$10</f>
        <v>0</v>
      </c>
      <c r="AY13" s="43">
        <f>'Background Data'!AK76/AY$10</f>
        <v>0</v>
      </c>
      <c r="AZ13" s="43">
        <f>'Background Data'!AL76/AZ$10</f>
        <v>0</v>
      </c>
      <c r="BA13" s="43">
        <f>'Background Data'!AM76/BA$10</f>
        <v>0</v>
      </c>
      <c r="BB13" s="43">
        <f>'Background Data'!AN76/BB$10</f>
        <v>0</v>
      </c>
      <c r="BC13" s="43">
        <f>'Background Data'!AO76/BC$10</f>
        <v>7.1110314661106001E-3</v>
      </c>
      <c r="BD13" s="43">
        <f>'Background Data'!AP76/BD$10</f>
        <v>1.4171340832889418E-2</v>
      </c>
      <c r="BE13" s="652"/>
      <c r="BG13" s="71" t="s">
        <v>2747</v>
      </c>
      <c r="BI13" s="27">
        <v>2.1675299206734999E-2</v>
      </c>
      <c r="BJ13" s="27">
        <v>2.59493220948744E-2</v>
      </c>
      <c r="BK13" s="27">
        <v>3.06599387188989E-2</v>
      </c>
      <c r="BL13" s="27">
        <v>3.7632513020618201E-2</v>
      </c>
      <c r="BM13" s="27">
        <v>3.8512881310413097E-2</v>
      </c>
      <c r="BN13" s="27">
        <v>3.22030965123484E-2</v>
      </c>
      <c r="BO13" s="27">
        <v>4.51781166006869E-2</v>
      </c>
      <c r="BP13" s="27">
        <v>4.9459320306850699E-2</v>
      </c>
      <c r="BQ13" s="27">
        <v>4.2527676667870599E-2</v>
      </c>
      <c r="BR13" s="27">
        <v>4.3734054095974501E-2</v>
      </c>
      <c r="BS13" s="27">
        <v>5.1645879395288898E-2</v>
      </c>
      <c r="BT13" s="27">
        <v>5.8086355081398103E-2</v>
      </c>
      <c r="BU13" s="27">
        <v>7.2294321624530797E-2</v>
      </c>
      <c r="BV13" s="27">
        <v>8.4601525636597397E-2</v>
      </c>
      <c r="BW13" s="27">
        <v>8.8856878397873304E-2</v>
      </c>
      <c r="BX13" s="27">
        <v>0.102911175435283</v>
      </c>
      <c r="BY13" s="27">
        <v>8.0822261110341104E-2</v>
      </c>
      <c r="BZ13" s="27">
        <v>8.0822261110341104E-2</v>
      </c>
    </row>
    <row r="14" spans="1:88" x14ac:dyDescent="0.25">
      <c r="F14" s="68"/>
      <c r="J14" s="56"/>
      <c r="K14" s="56"/>
      <c r="L14" s="56"/>
      <c r="M14" s="56"/>
      <c r="N14" s="56"/>
      <c r="O14" s="56"/>
      <c r="P14" s="56"/>
      <c r="Q14" s="56"/>
      <c r="R14" s="56"/>
      <c r="S14" s="56"/>
      <c r="T14" s="56"/>
      <c r="U14" s="56"/>
      <c r="V14" s="56"/>
      <c r="W14" s="56"/>
      <c r="X14" s="56"/>
      <c r="Y14" s="56"/>
      <c r="Z14" s="56"/>
      <c r="AG14" s="850"/>
      <c r="AI14" s="850"/>
      <c r="AJ14" s="15" t="s">
        <v>121</v>
      </c>
      <c r="AK14" s="853"/>
      <c r="AL14" s="854"/>
      <c r="AM14" s="854"/>
      <c r="AN14" s="854"/>
      <c r="AO14" s="854"/>
      <c r="AP14" s="854"/>
      <c r="AQ14" s="855"/>
      <c r="AR14" s="42">
        <f>'Background Data'!AD77/AR$10</f>
        <v>8.5868812959782632E-4</v>
      </c>
      <c r="AS14" s="43">
        <f>'Background Data'!AE77/AS$10</f>
        <v>8.8474342440692194E-4</v>
      </c>
      <c r="AT14" s="43">
        <f>'Background Data'!AF77/AT$10</f>
        <v>1.1193890623250955E-4</v>
      </c>
      <c r="AU14" s="43">
        <f>'Background Data'!AG77/AU$10</f>
        <v>1.1524986170016596E-5</v>
      </c>
      <c r="AV14" s="43">
        <f>'Background Data'!AH77/AV$10</f>
        <v>0</v>
      </c>
      <c r="AW14" s="43">
        <f>'Background Data'!AI77/AW$10</f>
        <v>0</v>
      </c>
      <c r="AX14" s="43">
        <f>'Background Data'!AJ77/AX$10</f>
        <v>0</v>
      </c>
      <c r="AY14" s="43">
        <f>'Background Data'!AK77/AY$10</f>
        <v>0</v>
      </c>
      <c r="AZ14" s="43">
        <f>'Background Data'!AL77/AZ$10</f>
        <v>0</v>
      </c>
      <c r="BA14" s="43">
        <f>'Background Data'!AM77/BA$10</f>
        <v>7.8265633560303677E-5</v>
      </c>
      <c r="BB14" s="43">
        <f>'Background Data'!AN77/BB$10</f>
        <v>1.9746551987378493E-2</v>
      </c>
      <c r="BC14" s="43">
        <f>'Background Data'!AO77/BC$10</f>
        <v>3.8797070874094827E-2</v>
      </c>
      <c r="BD14" s="43">
        <f>'Background Data'!AP77/BD$10</f>
        <v>3.4868235515307239E-2</v>
      </c>
      <c r="BE14" s="283"/>
      <c r="BG14" s="71" t="s">
        <v>2743</v>
      </c>
      <c r="BI14" s="338">
        <f>'Background Data'!$X$14*BI13</f>
        <v>9.1603716001519313</v>
      </c>
      <c r="BJ14" s="338">
        <f>'Background Data'!$X$14*BJ13</f>
        <v>10.96665060509163</v>
      </c>
      <c r="BK14" s="338">
        <f>'Background Data'!$X$14*BK13</f>
        <v>12.957441981503615</v>
      </c>
      <c r="BL14" s="338">
        <f>'Background Data'!$X$14*BL13</f>
        <v>15.904177387747623</v>
      </c>
      <c r="BM14" s="338">
        <f>'Background Data'!$X$14*BM13</f>
        <v>16.276236873644162</v>
      </c>
      <c r="BN14" s="338">
        <f>'Background Data'!$X$14*BN13</f>
        <v>13.609608241855655</v>
      </c>
      <c r="BO14" s="338">
        <f>'Background Data'!$X$14*BO13</f>
        <v>19.093085281549097</v>
      </c>
      <c r="BP14" s="338">
        <f>'Background Data'!$X$14*BP13</f>
        <v>20.902399029440627</v>
      </c>
      <c r="BQ14" s="338">
        <f>'Background Data'!$X$14*BQ13</f>
        <v>17.972961658022136</v>
      </c>
      <c r="BR14" s="338">
        <f>'Background Data'!$X$14*BR13</f>
        <v>18.482798473932551</v>
      </c>
      <c r="BS14" s="338">
        <f>'Background Data'!$X$14*BS13</f>
        <v>21.826478258278204</v>
      </c>
      <c r="BT14" s="338">
        <f>'Background Data'!$X$14*BT13</f>
        <v>24.548339211790303</v>
      </c>
      <c r="BU14" s="338">
        <f>'Background Data'!$X$14*BU13</f>
        <v>30.552881616315958</v>
      </c>
      <c r="BV14" s="338">
        <f>'Background Data'!$X$14*BV13</f>
        <v>35.754127561487515</v>
      </c>
      <c r="BW14" s="338">
        <f>'Background Data'!$X$14*BW13</f>
        <v>37.552516234752417</v>
      </c>
      <c r="BX14" s="338">
        <f>'Background Data'!$X$14*BX13</f>
        <v>43.492115140108432</v>
      </c>
      <c r="BY14" s="338">
        <f>'Background Data'!$X$14*BY13</f>
        <v>34.156942345930133</v>
      </c>
    </row>
    <row r="15" spans="1:88" x14ac:dyDescent="0.25">
      <c r="F15" s="68"/>
      <c r="J15" s="56"/>
      <c r="K15" s="56"/>
      <c r="L15" s="56"/>
      <c r="M15" s="56"/>
      <c r="N15" s="56"/>
      <c r="O15" s="56"/>
      <c r="P15" s="56"/>
      <c r="Q15" s="56"/>
      <c r="R15" s="56"/>
      <c r="S15" s="56"/>
      <c r="T15" s="56"/>
      <c r="U15" s="56"/>
      <c r="V15" s="56"/>
      <c r="W15" s="56"/>
      <c r="X15" s="56"/>
      <c r="Y15" s="56"/>
      <c r="Z15" s="56"/>
      <c r="AG15" s="850"/>
      <c r="AI15" s="850"/>
      <c r="AJ15" s="15" t="s">
        <v>122</v>
      </c>
      <c r="AK15" s="853"/>
      <c r="AL15" s="854"/>
      <c r="AM15" s="854"/>
      <c r="AN15" s="854"/>
      <c r="AO15" s="854"/>
      <c r="AP15" s="854"/>
      <c r="AQ15" s="855"/>
      <c r="AR15" s="42">
        <f>'Background Data'!AD78/AR$10</f>
        <v>0</v>
      </c>
      <c r="AS15" s="43">
        <f>'Background Data'!AE78/AS$10</f>
        <v>0</v>
      </c>
      <c r="AT15" s="43">
        <f>'Background Data'!AF78/AT$10</f>
        <v>0</v>
      </c>
      <c r="AU15" s="43">
        <f>'Background Data'!AG78/AU$10</f>
        <v>0</v>
      </c>
      <c r="AV15" s="43">
        <f>'Background Data'!AH78/AV$10</f>
        <v>0</v>
      </c>
      <c r="AW15" s="43">
        <f>'Background Data'!AI78/AW$10</f>
        <v>0</v>
      </c>
      <c r="AX15" s="43">
        <f>'Background Data'!AJ78/AX$10</f>
        <v>0</v>
      </c>
      <c r="AY15" s="43">
        <f>'Background Data'!AK78/AY$10</f>
        <v>0</v>
      </c>
      <c r="AZ15" s="43">
        <f>'Background Data'!AL78/AZ$10</f>
        <v>0</v>
      </c>
      <c r="BA15" s="43">
        <f>'Background Data'!AM78/BA$10</f>
        <v>0</v>
      </c>
      <c r="BB15" s="43">
        <f>'Background Data'!AN78/BB$10</f>
        <v>0</v>
      </c>
      <c r="BC15" s="43">
        <f>'Background Data'!AO78/BC$10</f>
        <v>0</v>
      </c>
      <c r="BD15" s="43">
        <f>'Background Data'!AP78/BD$10</f>
        <v>0</v>
      </c>
      <c r="BE15" s="652"/>
      <c r="BG15" s="71" t="s">
        <v>2730</v>
      </c>
      <c r="BH15" s="698">
        <f t="shared" ref="BH15:BZ15" si="4">BH10/SUM($BH$10:$BZ$10)</f>
        <v>1.8981447563442909E-2</v>
      </c>
      <c r="BI15" s="698">
        <f t="shared" si="4"/>
        <v>2.1263870651420456E-2</v>
      </c>
      <c r="BJ15" s="698">
        <f t="shared" si="4"/>
        <v>2.5456766398223654E-2</v>
      </c>
      <c r="BK15" s="698">
        <f t="shared" si="4"/>
        <v>3.0077968699807826E-2</v>
      </c>
      <c r="BL15" s="698">
        <f t="shared" si="4"/>
        <v>3.6918193448036832E-2</v>
      </c>
      <c r="BM15" s="698">
        <f t="shared" si="4"/>
        <v>3.7781851073302411E-2</v>
      </c>
      <c r="BN15" s="698">
        <f t="shared" si="4"/>
        <v>3.1591835124518859E-2</v>
      </c>
      <c r="BO15" s="698">
        <f t="shared" si="4"/>
        <v>4.4320570549415871E-2</v>
      </c>
      <c r="BP15" s="698">
        <f t="shared" si="4"/>
        <v>4.8520510811922699E-2</v>
      </c>
      <c r="BQ15" s="698">
        <f t="shared" si="4"/>
        <v>4.1720439803204411E-2</v>
      </c>
      <c r="BR15" s="698">
        <f t="shared" si="4"/>
        <v>4.2903918441414987E-2</v>
      </c>
      <c r="BS15" s="698">
        <f t="shared" si="4"/>
        <v>5.0665565843679379E-2</v>
      </c>
      <c r="BT15" s="698">
        <f t="shared" si="4"/>
        <v>5.6983791978269076E-2</v>
      </c>
      <c r="BU15" s="698">
        <f t="shared" si="4"/>
        <v>7.0922070749480121E-2</v>
      </c>
      <c r="BV15" s="698">
        <f t="shared" si="4"/>
        <v>8.2995666213939126E-2</v>
      </c>
      <c r="BW15" s="698">
        <f t="shared" si="4"/>
        <v>8.7170246219912872E-2</v>
      </c>
      <c r="BX15" s="698">
        <f t="shared" si="4"/>
        <v>0.10095777235506613</v>
      </c>
      <c r="BY15" s="698">
        <f t="shared" si="4"/>
        <v>7.9288137599116335E-2</v>
      </c>
      <c r="BZ15" s="698">
        <f t="shared" si="4"/>
        <v>9.1479376475826046E-2</v>
      </c>
      <c r="CF15" t="s">
        <v>3127</v>
      </c>
    </row>
    <row r="16" spans="1:88" x14ac:dyDescent="0.25">
      <c r="F16" s="68"/>
      <c r="J16" s="56"/>
      <c r="K16" s="56"/>
      <c r="L16" s="56"/>
      <c r="M16" s="56"/>
      <c r="N16" s="56"/>
      <c r="O16" s="56"/>
      <c r="P16" s="56"/>
      <c r="Q16" s="56"/>
      <c r="R16" s="56"/>
      <c r="S16" s="56"/>
      <c r="T16" s="56"/>
      <c r="U16" s="56"/>
      <c r="V16" s="56"/>
      <c r="W16" s="56"/>
      <c r="X16" s="56"/>
      <c r="Y16" s="56"/>
      <c r="Z16" s="56"/>
      <c r="AG16" s="850"/>
      <c r="AI16" s="850"/>
      <c r="AJ16" s="26" t="s">
        <v>129</v>
      </c>
      <c r="AK16" s="853"/>
      <c r="AL16" s="854"/>
      <c r="AM16" s="854"/>
      <c r="AN16" s="854"/>
      <c r="AO16" s="854"/>
      <c r="AP16" s="854"/>
      <c r="AQ16" s="855"/>
      <c r="AR16" s="41">
        <f>'Background Data'!AD80-'Background Data'!AD86</f>
        <v>197405</v>
      </c>
      <c r="AS16" s="39">
        <f>'Background Data'!AE80-'Background Data'!AE86</f>
        <v>199443</v>
      </c>
      <c r="AT16" s="39">
        <f>'Background Data'!AF80-'Background Data'!AF86</f>
        <v>215645</v>
      </c>
      <c r="AU16" s="39">
        <f>'Background Data'!AG80-'Background Data'!AG86</f>
        <v>243844</v>
      </c>
      <c r="AV16" s="39">
        <f>'Background Data'!AH80-'Background Data'!AH86</f>
        <v>284143</v>
      </c>
      <c r="AW16" s="39">
        <f>'Background Data'!AI80-'Background Data'!AI86</f>
        <v>318787</v>
      </c>
      <c r="AX16" s="39">
        <f>'Background Data'!AJ80-'Background Data'!AJ86</f>
        <v>345265</v>
      </c>
      <c r="AY16" s="39">
        <f>'Background Data'!AK80-'Background Data'!AK86</f>
        <v>368223</v>
      </c>
      <c r="AZ16" s="39">
        <f>'Background Data'!AL80-'Background Data'!AL86</f>
        <v>395961</v>
      </c>
      <c r="BA16" s="39">
        <f>'Background Data'!AM80-'Background Data'!AM86</f>
        <v>312969</v>
      </c>
      <c r="BB16" s="39">
        <f>'Background Data'!AN80-'Background Data'!AN86</f>
        <v>352418</v>
      </c>
      <c r="BC16" s="39">
        <f>'Background Data'!AO80-'Background Data'!AO86</f>
        <v>341486</v>
      </c>
      <c r="BD16" s="39">
        <f>'Background Data'!AP80-'Background Data'!AP86</f>
        <v>412101</v>
      </c>
      <c r="BE16" s="652"/>
      <c r="BG16" s="71" t="s">
        <v>2738</v>
      </c>
      <c r="BH16" s="338">
        <f>'Background Data'!$X$15*BH15</f>
        <v>2.8111144212507684</v>
      </c>
      <c r="BI16" s="338">
        <f>'Background Data'!$X$15*BI15</f>
        <v>3.1491367157340671</v>
      </c>
      <c r="BJ16" s="338">
        <f>'Background Data'!$X$15*BJ15</f>
        <v>3.7700961900441272</v>
      </c>
      <c r="BK16" s="338">
        <f>'Background Data'!$X$15*BK15</f>
        <v>4.4544870085041399</v>
      </c>
      <c r="BL16" s="338">
        <f>'Background Data'!$X$15*BL15</f>
        <v>5.4675106132673594</v>
      </c>
      <c r="BM16" s="338">
        <f>'Background Data'!$X$15*BM15</f>
        <v>5.5954165802539411</v>
      </c>
      <c r="BN16" s="338">
        <f>'Background Data'!$X$15*BN15</f>
        <v>4.6786875982709946</v>
      </c>
      <c r="BO16" s="338">
        <f>'Background Data'!$X$15*BO15</f>
        <v>6.5637878572273918</v>
      </c>
      <c r="BP16" s="338">
        <f>'Background Data'!$X$15*BP15</f>
        <v>7.185790610224128</v>
      </c>
      <c r="BQ16" s="338">
        <f>'Background Data'!$X$15*BQ15</f>
        <v>6.1787136939749674</v>
      </c>
      <c r="BR16" s="338">
        <f>'Background Data'!$X$15*BR15</f>
        <v>6.3539845133366777</v>
      </c>
      <c r="BS16" s="338">
        <f>'Background Data'!$X$15*BS15</f>
        <v>7.503468970317229</v>
      </c>
      <c r="BT16" s="338">
        <f>'Background Data'!$X$15*BT15</f>
        <v>8.4391856243976946</v>
      </c>
      <c r="BU16" s="338">
        <f>'Background Data'!$X$15*BU15</f>
        <v>10.503416833856507</v>
      </c>
      <c r="BV16" s="338">
        <f>'Background Data'!$X$15*BV15</f>
        <v>12.291492174951959</v>
      </c>
      <c r="BW16" s="338">
        <f>'Background Data'!$X$15*BW15</f>
        <v>12.909739124676658</v>
      </c>
      <c r="BX16" s="338">
        <f>'Background Data'!$X$15*BX15</f>
        <v>14.951644170240586</v>
      </c>
      <c r="BY16" s="338">
        <f>'Background Data'!$X$15*BY15</f>
        <v>11.742414602153932</v>
      </c>
    </row>
    <row r="17" spans="1:84" x14ac:dyDescent="0.25">
      <c r="F17" s="68"/>
      <c r="J17" s="56"/>
      <c r="K17" s="56"/>
      <c r="L17" s="56"/>
      <c r="M17" s="56"/>
      <c r="N17" s="56"/>
      <c r="O17" s="56"/>
      <c r="P17" s="56"/>
      <c r="Q17" s="56"/>
      <c r="R17" s="56"/>
      <c r="S17" s="56"/>
      <c r="T17" s="56"/>
      <c r="U17" s="56"/>
      <c r="V17" s="56"/>
      <c r="W17" s="56"/>
      <c r="X17" s="56"/>
      <c r="Y17" s="56"/>
      <c r="Z17" s="56"/>
      <c r="AG17" s="850"/>
      <c r="AI17" s="850"/>
      <c r="AJ17" s="15" t="s">
        <v>97</v>
      </c>
      <c r="AK17" s="853"/>
      <c r="AL17" s="854"/>
      <c r="AM17" s="854"/>
      <c r="AN17" s="854"/>
      <c r="AO17" s="854"/>
      <c r="AP17" s="854"/>
      <c r="AQ17" s="855"/>
      <c r="AR17" s="33">
        <f>'Background Data'!AD81/AR$16</f>
        <v>0.97816164737468658</v>
      </c>
      <c r="AS17" s="34">
        <f>'Background Data'!AE81/AS$16</f>
        <v>0.97100926079130379</v>
      </c>
      <c r="AT17" s="34">
        <f>'Background Data'!AF81/AT$16</f>
        <v>0.96371351063089805</v>
      </c>
      <c r="AU17" s="34">
        <f>'Background Data'!AG81/AU$16</f>
        <v>0.96030248847623889</v>
      </c>
      <c r="AV17" s="34">
        <f>'Background Data'!AH81/AV$16</f>
        <v>0.96466567890111665</v>
      </c>
      <c r="AW17" s="34">
        <f>'Background Data'!AI81/AW$16</f>
        <v>0.97383205714160237</v>
      </c>
      <c r="AX17" s="34">
        <f>'Background Data'!AJ81/AX$16</f>
        <v>0.97924492780907424</v>
      </c>
      <c r="AY17" s="34">
        <f>'Background Data'!AK81/AY$16</f>
        <v>0.97193548474701474</v>
      </c>
      <c r="AZ17" s="34">
        <f>'Background Data'!AL81/AZ$16</f>
        <v>0.97351001740070364</v>
      </c>
      <c r="BA17" s="34">
        <f>'Background Data'!AM81/BA$16</f>
        <v>0.94582211017704632</v>
      </c>
      <c r="BB17" s="34">
        <f>'Background Data'!AN81/BB$16</f>
        <v>0.9111935258698477</v>
      </c>
      <c r="BC17" s="34">
        <f>'Background Data'!AO81/BC$16</f>
        <v>0.86331796911147163</v>
      </c>
      <c r="BD17" s="34">
        <f>'Background Data'!AP81/BD$16</f>
        <v>0.79800582866821479</v>
      </c>
      <c r="BE17" s="652"/>
      <c r="BG17" s="26" t="s">
        <v>2731</v>
      </c>
      <c r="BJ17" s="699">
        <v>9068</v>
      </c>
      <c r="BK17" s="699">
        <v>10820</v>
      </c>
      <c r="BL17" s="699">
        <v>11655</v>
      </c>
      <c r="BM17" s="699">
        <v>12072</v>
      </c>
      <c r="BN17" s="699">
        <v>11711</v>
      </c>
      <c r="BO17" s="699">
        <v>6270</v>
      </c>
      <c r="BP17" s="699">
        <v>6679</v>
      </c>
      <c r="BQ17" s="699">
        <v>7536</v>
      </c>
      <c r="BR17" s="699">
        <v>8190</v>
      </c>
      <c r="BS17" s="699">
        <v>8307</v>
      </c>
      <c r="BT17" s="699">
        <v>8226</v>
      </c>
      <c r="BU17" s="699">
        <v>8041</v>
      </c>
      <c r="BV17" s="699">
        <v>8278</v>
      </c>
      <c r="BW17" s="699">
        <v>8807</v>
      </c>
      <c r="BX17" s="699">
        <v>8442</v>
      </c>
      <c r="BY17" s="699">
        <v>6964</v>
      </c>
      <c r="BZ17" s="11">
        <v>6758</v>
      </c>
      <c r="CF17" t="s">
        <v>3045</v>
      </c>
    </row>
    <row r="18" spans="1:84" x14ac:dyDescent="0.25">
      <c r="F18" s="68"/>
      <c r="J18" s="56"/>
      <c r="K18" s="56"/>
      <c r="L18" s="56"/>
      <c r="M18" s="56"/>
      <c r="N18" s="56"/>
      <c r="O18" s="56"/>
      <c r="P18" s="56"/>
      <c r="Q18" s="56"/>
      <c r="R18" s="56"/>
      <c r="S18" s="56"/>
      <c r="T18" s="56"/>
      <c r="U18" s="56"/>
      <c r="V18" s="56"/>
      <c r="W18" s="56"/>
      <c r="X18" s="56"/>
      <c r="Y18" s="56"/>
      <c r="Z18" s="56"/>
      <c r="AG18" s="850"/>
      <c r="AI18" s="850"/>
      <c r="AJ18" s="15" t="s">
        <v>96</v>
      </c>
      <c r="AK18" s="853"/>
      <c r="AL18" s="854"/>
      <c r="AM18" s="854"/>
      <c r="AN18" s="854"/>
      <c r="AO18" s="854"/>
      <c r="AP18" s="854"/>
      <c r="AQ18" s="855"/>
      <c r="AR18" s="33">
        <f>'Background Data'!AD82/AR$16</f>
        <v>1.7314657683442668E-2</v>
      </c>
      <c r="AS18" s="34">
        <f>'Background Data'!AE82/AS$16</f>
        <v>2.4473157744317926E-2</v>
      </c>
      <c r="AT18" s="34">
        <f>'Background Data'!AF82/AT$16</f>
        <v>3.279927658883814E-2</v>
      </c>
      <c r="AU18" s="34">
        <f>'Background Data'!AG82/AU$16</f>
        <v>3.5797477075507289E-2</v>
      </c>
      <c r="AV18" s="34">
        <f>'Background Data'!AH82/AV$16</f>
        <v>3.1610843835674293E-2</v>
      </c>
      <c r="AW18" s="34">
        <f>'Background Data'!AI82/AW$16</f>
        <v>1.3755266055391218E-2</v>
      </c>
      <c r="AX18" s="34">
        <f>'Background Data'!AJ82/AX$16</f>
        <v>5.9027124093087918E-3</v>
      </c>
      <c r="AY18" s="34">
        <f>'Background Data'!AK82/AY$16</f>
        <v>7.4357115117741155E-3</v>
      </c>
      <c r="AZ18" s="34">
        <f>'Background Data'!AL82/AZ$16</f>
        <v>3.0053464861438373E-3</v>
      </c>
      <c r="BA18" s="34">
        <f>'Background Data'!AM82/BA$16</f>
        <v>2.054516581514463E-3</v>
      </c>
      <c r="BB18" s="34">
        <f>'Background Data'!AN82/BB$16</f>
        <v>2.9226656981198463E-3</v>
      </c>
      <c r="BC18" s="34">
        <f>'Background Data'!AO82/BC$16</f>
        <v>3.7424667482707928E-3</v>
      </c>
      <c r="BD18" s="34">
        <f>'Background Data'!AP82/BD$16</f>
        <v>4.4042601206985667E-3</v>
      </c>
      <c r="BE18" s="652"/>
      <c r="BG18" s="71" t="s">
        <v>2734</v>
      </c>
      <c r="BJ18" s="698">
        <f t="shared" ref="BJ18:BZ18" si="5">BJ17/SUM($BJ$17:$BZ$17)</f>
        <v>6.1343218963091244E-2</v>
      </c>
      <c r="BK18" s="698">
        <f t="shared" si="5"/>
        <v>7.3195150990366928E-2</v>
      </c>
      <c r="BL18" s="698">
        <f t="shared" si="5"/>
        <v>7.8843760147202083E-2</v>
      </c>
      <c r="BM18" s="698">
        <f t="shared" si="5"/>
        <v>8.1664682324926935E-2</v>
      </c>
      <c r="BN18" s="698">
        <f t="shared" si="5"/>
        <v>7.9222589024786239E-2</v>
      </c>
      <c r="BO18" s="698">
        <f t="shared" si="5"/>
        <v>4.2415304686654401E-2</v>
      </c>
      <c r="BP18" s="698">
        <f t="shared" si="5"/>
        <v>4.5182108453295809E-2</v>
      </c>
      <c r="BQ18" s="698">
        <f t="shared" si="5"/>
        <v>5.0979543240610457E-2</v>
      </c>
      <c r="BR18" s="698">
        <f t="shared" si="5"/>
        <v>5.5403723346682539E-2</v>
      </c>
      <c r="BS18" s="698">
        <f t="shared" si="5"/>
        <v>5.6195205108778006E-2</v>
      </c>
      <c r="BT18" s="698">
        <f t="shared" si="5"/>
        <v>5.5647256196558068E-2</v>
      </c>
      <c r="BU18" s="698">
        <f t="shared" si="5"/>
        <v>5.4395767940253276E-2</v>
      </c>
      <c r="BV18" s="698">
        <f t="shared" si="5"/>
        <v>5.5999025868600498E-2</v>
      </c>
      <c r="BW18" s="698">
        <f t="shared" si="5"/>
        <v>5.9577605801493669E-2</v>
      </c>
      <c r="BX18" s="698">
        <f t="shared" si="5"/>
        <v>5.7108453295811233E-2</v>
      </c>
      <c r="BY18" s="698">
        <f t="shared" si="5"/>
        <v>4.7110076848143737E-2</v>
      </c>
      <c r="BZ18" s="698">
        <f t="shared" si="5"/>
        <v>4.5716527762744888E-2</v>
      </c>
      <c r="CF18">
        <v>2003</v>
      </c>
    </row>
    <row r="19" spans="1:84" x14ac:dyDescent="0.25">
      <c r="F19" s="68"/>
      <c r="J19" s="56"/>
      <c r="K19" s="56"/>
      <c r="L19" s="56"/>
      <c r="M19" s="56"/>
      <c r="N19" s="56"/>
      <c r="O19" s="56"/>
      <c r="P19" s="56"/>
      <c r="Q19" s="56"/>
      <c r="R19" s="56"/>
      <c r="S19" s="56"/>
      <c r="T19" s="56"/>
      <c r="U19" s="56"/>
      <c r="V19" s="56"/>
      <c r="W19" s="56"/>
      <c r="X19" s="56"/>
      <c r="Y19" s="56"/>
      <c r="Z19" s="56"/>
      <c r="AG19" s="850"/>
      <c r="AI19" s="850"/>
      <c r="AJ19" s="15" t="s">
        <v>120</v>
      </c>
      <c r="AK19" s="853"/>
      <c r="AL19" s="854"/>
      <c r="AM19" s="854"/>
      <c r="AN19" s="854"/>
      <c r="AO19" s="854"/>
      <c r="AP19" s="854"/>
      <c r="AQ19" s="855"/>
      <c r="AR19" s="33">
        <f>'Background Data'!AD83/AR$16</f>
        <v>0</v>
      </c>
      <c r="AS19" s="34">
        <f>'Background Data'!AE83/AS$16</f>
        <v>0</v>
      </c>
      <c r="AT19" s="34">
        <f>'Background Data'!AF83/AT$16</f>
        <v>0</v>
      </c>
      <c r="AU19" s="34">
        <f>'Background Data'!AG83/AU$16</f>
        <v>6.1514738931447979E-5</v>
      </c>
      <c r="AV19" s="34">
        <f>'Background Data'!AH83/AV$16</f>
        <v>2.0764192677630631E-4</v>
      </c>
      <c r="AW19" s="34">
        <f>'Background Data'!AI83/AW$16</f>
        <v>1.6970579101406268E-3</v>
      </c>
      <c r="AX19" s="34">
        <f>'Background Data'!AJ83/AX$16</f>
        <v>2.9861121167798648E-3</v>
      </c>
      <c r="AY19" s="34">
        <f>'Background Data'!AK83/AY$16</f>
        <v>2.452318296249827E-3</v>
      </c>
      <c r="AZ19" s="34">
        <f>'Background Data'!AL83/AZ$16</f>
        <v>3.2856771247673383E-3</v>
      </c>
      <c r="BA19" s="34">
        <f>'Background Data'!AM83/BA$16</f>
        <v>1.1071384066792558E-2</v>
      </c>
      <c r="BB19" s="34">
        <f>'Background Data'!AN83/BB$16</f>
        <v>2.1968230907615387E-2</v>
      </c>
      <c r="BC19" s="34">
        <f>'Background Data'!AO83/BC$16</f>
        <v>5.6713891638310206E-2</v>
      </c>
      <c r="BD19" s="34">
        <f>'Background Data'!AP83/BD$16</f>
        <v>6.266667637302506E-2</v>
      </c>
      <c r="BE19" s="652"/>
      <c r="BG19" s="71" t="s">
        <v>2739</v>
      </c>
      <c r="BJ19" s="338">
        <f>'Background Data'!$X$16*BJ18</f>
        <v>14.967500054118412</v>
      </c>
      <c r="BK19" s="338">
        <f>'Background Data'!$X$16*BK18</f>
        <v>17.859324061045569</v>
      </c>
      <c r="BL19" s="338">
        <f>'Background Data'!$X$16*BL18</f>
        <v>19.237562100876719</v>
      </c>
      <c r="BM19" s="338">
        <f>'Background Data'!$X$16*BM18</f>
        <v>19.925855828552873</v>
      </c>
      <c r="BN19" s="338">
        <f>'Background Data'!$X$16*BN18</f>
        <v>19.329994831691742</v>
      </c>
      <c r="BO19" s="338">
        <f>'Background Data'!$X$16*BO18</f>
        <v>10.349164682324927</v>
      </c>
      <c r="BP19" s="338">
        <f>'Background Data'!$X$16*BP18</f>
        <v>11.024253734170365</v>
      </c>
      <c r="BQ19" s="338">
        <f>'Background Data'!$X$16*BQ18</f>
        <v>12.438804632535989</v>
      </c>
      <c r="BR19" s="338">
        <f>'Background Data'!$X$16*BR18</f>
        <v>13.518286881697152</v>
      </c>
      <c r="BS19" s="338">
        <f>'Background Data'!$X$16*BS18</f>
        <v>13.7114052657214</v>
      </c>
      <c r="BT19" s="338">
        <f>'Background Data'!$X$16*BT18</f>
        <v>13.577707922935383</v>
      </c>
      <c r="BU19" s="338">
        <f>'Background Data'!$X$16*BU18</f>
        <v>13.272349794350038</v>
      </c>
      <c r="BV19" s="338">
        <f>'Background Data'!$X$16*BV18</f>
        <v>13.663538315835048</v>
      </c>
      <c r="BW19" s="338">
        <f>'Background Data'!$X$16*BW18</f>
        <v>14.53669750514125</v>
      </c>
      <c r="BX19" s="338">
        <f>'Background Data'!$X$16*BX18</f>
        <v>13.934234170364759</v>
      </c>
      <c r="BY19" s="338">
        <f>'Background Data'!$X$16*BY18</f>
        <v>11.49467031063968</v>
      </c>
      <c r="BZ19" s="11"/>
      <c r="CF19">
        <v>2004</v>
      </c>
    </row>
    <row r="20" spans="1:84" x14ac:dyDescent="0.25">
      <c r="AG20" s="850"/>
      <c r="AI20" s="850"/>
      <c r="AJ20" s="15" t="s">
        <v>121</v>
      </c>
      <c r="AK20" s="853"/>
      <c r="AL20" s="854"/>
      <c r="AM20" s="854"/>
      <c r="AN20" s="854"/>
      <c r="AO20" s="854"/>
      <c r="AP20" s="854"/>
      <c r="AQ20" s="855"/>
      <c r="AR20" s="33">
        <f>'Background Data'!AD84/AR$16</f>
        <v>4.5236949418707732E-3</v>
      </c>
      <c r="AS20" s="34">
        <f>'Background Data'!AE84/AS$16</f>
        <v>4.5175814643782933E-3</v>
      </c>
      <c r="AT20" s="34">
        <f>'Background Data'!AF84/AT$16</f>
        <v>3.4872127802638596E-3</v>
      </c>
      <c r="AU20" s="34">
        <f>'Background Data'!AG84/AU$16</f>
        <v>3.7852069355817654E-3</v>
      </c>
      <c r="AV20" s="34">
        <f>'Background Data'!AH84/AV$16</f>
        <v>3.1638998673203279E-3</v>
      </c>
      <c r="AW20" s="34">
        <f>'Background Data'!AI84/AW$16</f>
        <v>9.1534472861189448E-3</v>
      </c>
      <c r="AX20" s="34">
        <f>'Background Data'!AJ84/AX$16</f>
        <v>1.0603449524278453E-2</v>
      </c>
      <c r="AY20" s="34">
        <f>'Background Data'!AK84/AY$16</f>
        <v>1.2332200867409151E-2</v>
      </c>
      <c r="AZ20" s="34">
        <f>'Background Data'!AL84/AZ$16</f>
        <v>1.7054709933554062E-2</v>
      </c>
      <c r="BA20" s="34">
        <f>'Background Data'!AM84/BA$16</f>
        <v>3.7166620336199434E-2</v>
      </c>
      <c r="BB20" s="34">
        <f>'Background Data'!AN84/BB$16</f>
        <v>5.3507482591695091E-2</v>
      </c>
      <c r="BC20" s="34">
        <f>'Background Data'!AO84/BC$16</f>
        <v>6.2872270019854404E-2</v>
      </c>
      <c r="BD20" s="34">
        <f>'Background Data'!AP84/BD$16</f>
        <v>0.11053600937634221</v>
      </c>
      <c r="BE20" s="283"/>
      <c r="BG20" s="26" t="s">
        <v>2732</v>
      </c>
      <c r="BL20" s="76"/>
      <c r="BM20" s="76"/>
      <c r="BN20" s="44">
        <v>1234</v>
      </c>
      <c r="BO20" s="44">
        <v>1794</v>
      </c>
      <c r="BP20" s="44">
        <v>1693</v>
      </c>
      <c r="BQ20" s="44">
        <v>2090</v>
      </c>
      <c r="BR20" s="44">
        <v>2352</v>
      </c>
      <c r="BS20" s="44">
        <v>1971</v>
      </c>
      <c r="BT20" s="44">
        <v>1816</v>
      </c>
      <c r="BU20" s="44">
        <v>2327</v>
      </c>
      <c r="BV20" s="44">
        <v>2802</v>
      </c>
      <c r="BW20" s="44">
        <v>2500</v>
      </c>
      <c r="BX20" s="44">
        <v>2995</v>
      </c>
      <c r="BY20" s="44">
        <v>1830</v>
      </c>
      <c r="BZ20" s="11">
        <v>1304</v>
      </c>
      <c r="CF20">
        <v>2005</v>
      </c>
    </row>
    <row r="21" spans="1:84" x14ac:dyDescent="0.25">
      <c r="J21" s="56"/>
      <c r="K21" s="56"/>
      <c r="L21" s="56"/>
      <c r="M21" s="56"/>
      <c r="N21" s="56"/>
      <c r="O21" s="56"/>
      <c r="P21" s="56"/>
      <c r="Q21" s="56"/>
      <c r="R21" s="56"/>
      <c r="S21" s="56"/>
      <c r="T21" s="56"/>
      <c r="U21" s="56"/>
      <c r="V21" s="56"/>
      <c r="W21" s="56"/>
      <c r="X21" s="56"/>
      <c r="Y21" s="56"/>
      <c r="Z21" s="56"/>
      <c r="AG21" s="850"/>
      <c r="AI21" s="850"/>
      <c r="AJ21" s="15" t="s">
        <v>122</v>
      </c>
      <c r="AK21" s="853"/>
      <c r="AL21" s="854"/>
      <c r="AM21" s="854"/>
      <c r="AN21" s="854"/>
      <c r="AO21" s="854"/>
      <c r="AP21" s="854"/>
      <c r="AQ21" s="855"/>
      <c r="AR21" s="33">
        <f>'Background Data'!AD85/AR$16</f>
        <v>0</v>
      </c>
      <c r="AS21" s="34">
        <f>'Background Data'!AE85/AS$16</f>
        <v>0</v>
      </c>
      <c r="AT21" s="34">
        <f>'Background Data'!AF85/AT$16</f>
        <v>0</v>
      </c>
      <c r="AU21" s="34">
        <f>'Background Data'!AG85/AU$16</f>
        <v>5.3312773740588243E-5</v>
      </c>
      <c r="AV21" s="34">
        <f>'Background Data'!AH85/AV$16</f>
        <v>3.5193546911238354E-4</v>
      </c>
      <c r="AW21" s="34">
        <f>'Background Data'!AI85/AW$16</f>
        <v>1.5621716067468247E-3</v>
      </c>
      <c r="AX21" s="34">
        <f>'Background Data'!AJ85/AX$16</f>
        <v>1.2627981405587013E-3</v>
      </c>
      <c r="AY21" s="34">
        <f>'Background Data'!AK85/AY$16</f>
        <v>5.84428457755219E-3</v>
      </c>
      <c r="AZ21" s="34">
        <f>'Background Data'!AL85/AZ$16</f>
        <v>3.1442490548311574E-3</v>
      </c>
      <c r="BA21" s="34">
        <f>'Background Data'!AM85/BA$16</f>
        <v>3.8853688384472584E-3</v>
      </c>
      <c r="BB21" s="34">
        <f>'Background Data'!AN85/BB$16</f>
        <v>1.0408094932721938E-2</v>
      </c>
      <c r="BC21" s="34">
        <f>'Background Data'!AO85/BC$16</f>
        <v>1.335340248209297E-2</v>
      </c>
      <c r="BD21" s="34">
        <f>'Background Data'!AP85/BD$16</f>
        <v>2.4387225461719335E-2</v>
      </c>
      <c r="BE21" s="652"/>
      <c r="BG21" s="71" t="s">
        <v>2733</v>
      </c>
      <c r="BL21" s="76"/>
      <c r="BM21" s="76"/>
      <c r="BN21" s="698">
        <f t="shared" ref="BN21:BZ21" si="6">BN20/SUM($BN$20:$BZ$20)</f>
        <v>4.6203384753631872E-2</v>
      </c>
      <c r="BO21" s="698">
        <f t="shared" si="6"/>
        <v>6.7170885128051513E-2</v>
      </c>
      <c r="BP21" s="698">
        <f t="shared" si="6"/>
        <v>6.3389246667665114E-2</v>
      </c>
      <c r="BQ21" s="698">
        <f t="shared" si="6"/>
        <v>7.8253706754530472E-2</v>
      </c>
      <c r="BR21" s="698">
        <f t="shared" si="6"/>
        <v>8.8063501572562528E-2</v>
      </c>
      <c r="BS21" s="698">
        <f t="shared" si="6"/>
        <v>7.3798112924966297E-2</v>
      </c>
      <c r="BT21" s="698">
        <f t="shared" si="6"/>
        <v>6.7994608357046571E-2</v>
      </c>
      <c r="BU21" s="698">
        <f t="shared" si="6"/>
        <v>8.7127452448704512E-2</v>
      </c>
      <c r="BV21" s="698">
        <f t="shared" si="6"/>
        <v>0.10491238580200689</v>
      </c>
      <c r="BW21" s="698">
        <f t="shared" si="6"/>
        <v>9.3604912385802014E-2</v>
      </c>
      <c r="BX21" s="698">
        <f t="shared" si="6"/>
        <v>0.1121386850381908</v>
      </c>
      <c r="BY21" s="698">
        <f t="shared" si="6"/>
        <v>6.8518795866407065E-2</v>
      </c>
      <c r="BZ21" s="698">
        <f t="shared" si="6"/>
        <v>4.8824322300434327E-2</v>
      </c>
      <c r="CF21">
        <v>2006</v>
      </c>
    </row>
    <row r="22" spans="1:84" x14ac:dyDescent="0.25">
      <c r="J22" s="56"/>
      <c r="K22" s="56"/>
      <c r="L22" s="56"/>
      <c r="M22" s="56"/>
      <c r="N22" s="56"/>
      <c r="O22" s="56"/>
      <c r="P22" s="56"/>
      <c r="Q22" s="56"/>
      <c r="R22" s="56"/>
      <c r="S22" s="56"/>
      <c r="T22" s="56"/>
      <c r="U22" s="56"/>
      <c r="V22" s="56"/>
      <c r="W22" s="56"/>
      <c r="X22" s="56"/>
      <c r="Y22" s="56"/>
      <c r="Z22" s="56"/>
      <c r="AG22" s="850"/>
      <c r="AI22" s="850"/>
      <c r="AJ22" s="26" t="s">
        <v>130</v>
      </c>
      <c r="AK22" s="853"/>
      <c r="AL22" s="854"/>
      <c r="AM22" s="854"/>
      <c r="AN22" s="854"/>
      <c r="AO22" s="854"/>
      <c r="AP22" s="854"/>
      <c r="AQ22" s="855"/>
      <c r="AR22" s="41">
        <f>'Background Data'!AD87-'Background Data'!AD93</f>
        <v>54348</v>
      </c>
      <c r="AS22" s="39">
        <f>'Background Data'!AE87-'Background Data'!AE93</f>
        <v>51561</v>
      </c>
      <c r="AT22" s="39">
        <f>'Background Data'!AF87-'Background Data'!AF93</f>
        <v>51829</v>
      </c>
      <c r="AU22" s="39">
        <f>'Background Data'!AG87-'Background Data'!AG93</f>
        <v>55717</v>
      </c>
      <c r="AV22" s="39">
        <f>'Background Data'!AH87-'Background Data'!AH93</f>
        <v>58619</v>
      </c>
      <c r="AW22" s="39">
        <f>'Background Data'!AI87-'Background Data'!AI93</f>
        <v>60304</v>
      </c>
      <c r="AX22" s="39">
        <f>'Background Data'!AJ87-'Background Data'!AJ93</f>
        <v>58851</v>
      </c>
      <c r="AY22" s="39">
        <f>'Background Data'!AK87-'Background Data'!AK93</f>
        <v>54428</v>
      </c>
      <c r="AZ22" s="39">
        <f>'Background Data'!AL87-'Background Data'!AL93</f>
        <v>49599</v>
      </c>
      <c r="BA22" s="39">
        <f>'Background Data'!AM87-'Background Data'!AM93</f>
        <v>35222</v>
      </c>
      <c r="BB22" s="39">
        <f>'Background Data'!AN87-'Background Data'!AN93</f>
        <v>27989</v>
      </c>
      <c r="BC22" s="39">
        <f>'Background Data'!AO87-'Background Data'!AO93</f>
        <v>20207</v>
      </c>
      <c r="BD22" s="39">
        <f>'Background Data'!AP87-'Background Data'!AP93</f>
        <v>26728</v>
      </c>
      <c r="BE22" s="652"/>
      <c r="BG22" s="71" t="s">
        <v>2740</v>
      </c>
      <c r="BM22" s="76"/>
      <c r="BN22" s="338">
        <f>'Background Data'!$X17*BN$21</f>
        <v>0.58336393589935598</v>
      </c>
      <c r="BO22" s="338">
        <f>'Background Data'!$X17*BO$21</f>
        <v>0.84809959562677839</v>
      </c>
      <c r="BP22" s="338">
        <f>'Background Data'!$X17*BP$21</f>
        <v>0.80035262842593968</v>
      </c>
      <c r="BQ22" s="338">
        <f>'Background Data'!$X17*BQ$21</f>
        <v>0.98803130148270168</v>
      </c>
      <c r="BR22" s="338">
        <f>'Background Data'!$X17*BR$21</f>
        <v>1.1118897708551745</v>
      </c>
      <c r="BS22" s="338">
        <f>'Background Data'!$X17*BS$21</f>
        <v>0.93177497379062446</v>
      </c>
      <c r="BT22" s="338">
        <f>'Background Data'!$X17*BT$21</f>
        <v>0.85849992511606998</v>
      </c>
      <c r="BU22" s="338">
        <f>'Background Data'!$X17*BU$21</f>
        <v>1.100071214617343</v>
      </c>
      <c r="BV22" s="338">
        <f>'Background Data'!$X17*BV$21</f>
        <v>1.3246237831361389</v>
      </c>
      <c r="BW22" s="338">
        <f>'Background Data'!$X17*BW$21</f>
        <v>1.1818556237831361</v>
      </c>
      <c r="BX22" s="338">
        <f>'Background Data'!$X17*BX$21</f>
        <v>1.415863037292197</v>
      </c>
      <c r="BY22" s="338">
        <f>'Background Data'!$X17*BY$21</f>
        <v>0.86511831660925553</v>
      </c>
      <c r="BZ22" s="76"/>
      <c r="CF22">
        <v>2007</v>
      </c>
    </row>
    <row r="23" spans="1:84" x14ac:dyDescent="0.25">
      <c r="J23" s="56"/>
      <c r="K23" s="56"/>
      <c r="L23" s="56"/>
      <c r="M23" s="56"/>
      <c r="N23" s="56"/>
      <c r="O23" s="56"/>
      <c r="P23" s="56"/>
      <c r="Q23" s="56"/>
      <c r="R23" s="56"/>
      <c r="S23" s="56"/>
      <c r="T23" s="56"/>
      <c r="U23" s="56"/>
      <c r="V23" s="56"/>
      <c r="W23" s="56"/>
      <c r="X23" s="56"/>
      <c r="Y23" s="56"/>
      <c r="Z23" s="56"/>
      <c r="AG23" s="850"/>
      <c r="AI23" s="850"/>
      <c r="AJ23" s="15" t="s">
        <v>97</v>
      </c>
      <c r="AK23" s="853"/>
      <c r="AL23" s="854"/>
      <c r="AM23" s="854"/>
      <c r="AN23" s="854"/>
      <c r="AO23" s="854"/>
      <c r="AP23" s="854"/>
      <c r="AQ23" s="855"/>
      <c r="AR23" s="33">
        <f>'Background Data'!AD88/AR$22</f>
        <v>0.97468168101862074</v>
      </c>
      <c r="AS23" s="34">
        <f>'Background Data'!AE88/AS$22</f>
        <v>0.97511685188417607</v>
      </c>
      <c r="AT23" s="34">
        <f>'Background Data'!AF88/AT$22</f>
        <v>0.97130949854328663</v>
      </c>
      <c r="AU23" s="34">
        <f>'Background Data'!AG88/AU$22</f>
        <v>0.96772977726726139</v>
      </c>
      <c r="AV23" s="34">
        <f>'Background Data'!AH88/AV$22</f>
        <v>0.9579146693051741</v>
      </c>
      <c r="AW23" s="34">
        <f>'Background Data'!AI88/AW$22</f>
        <v>0.95501127620058368</v>
      </c>
      <c r="AX23" s="34">
        <f>'Background Data'!AJ88/AX$22</f>
        <v>0.95133472668263919</v>
      </c>
      <c r="AY23" s="34">
        <f>'Background Data'!AK88/AY$22</f>
        <v>0.93766076284265454</v>
      </c>
      <c r="AZ23" s="34">
        <f>'Background Data'!AL88/AZ$22</f>
        <v>0.94915220064920669</v>
      </c>
      <c r="BA23" s="34">
        <f>'Background Data'!AM88/BA$22</f>
        <v>0.93847595252966898</v>
      </c>
      <c r="BB23" s="34">
        <f>'Background Data'!AN88/BB$22</f>
        <v>0.73536032012576369</v>
      </c>
      <c r="BC23" s="34">
        <f>'Background Data'!AO88/BC$22</f>
        <v>0.73454743405750478</v>
      </c>
      <c r="BD23" s="34">
        <f>'Background Data'!AP88/BD$22</f>
        <v>0.7919036216701586</v>
      </c>
      <c r="BE23" s="652"/>
      <c r="BG23" s="71" t="s">
        <v>2741</v>
      </c>
      <c r="BN23" s="338">
        <f>'Background Data'!$X18*BN$21</f>
        <v>0.30508094952823123</v>
      </c>
      <c r="BO23" s="338">
        <f>'Background Data'!$X18*BO$21</f>
        <v>0.44352935450052411</v>
      </c>
      <c r="BP23" s="338">
        <f>'Background Data'!$X18*BP$21</f>
        <v>0.41855919574659273</v>
      </c>
      <c r="BQ23" s="338">
        <f>'Background Data'!$X18*BQ$21</f>
        <v>0.51670922570016464</v>
      </c>
      <c r="BR23" s="338">
        <f>'Background Data'!$X18*BR$21</f>
        <v>0.58148330088363032</v>
      </c>
      <c r="BS23" s="338">
        <f>'Background Data'!$X18*BS$21</f>
        <v>0.48728893964355247</v>
      </c>
      <c r="BT23" s="338">
        <f>'Background Data'!$X18*BT$21</f>
        <v>0.44896839898157848</v>
      </c>
      <c r="BU23" s="338">
        <f>'Background Data'!$X18*BU$21</f>
        <v>0.57530256851879591</v>
      </c>
      <c r="BV23" s="338">
        <f>'Background Data'!$X18*BV$21</f>
        <v>0.69273648345065142</v>
      </c>
      <c r="BW23" s="338">
        <f>'Background Data'!$X18*BW$21</f>
        <v>0.61807323648345069</v>
      </c>
      <c r="BX23" s="338">
        <f>'Background Data'!$X18*BX$21</f>
        <v>0.74045173730717384</v>
      </c>
      <c r="BY23" s="338">
        <f>'Background Data'!$X18*BY$21</f>
        <v>0.45242960910588581</v>
      </c>
      <c r="CF23">
        <v>2008</v>
      </c>
    </row>
    <row r="24" spans="1:84" x14ac:dyDescent="0.25">
      <c r="J24" s="56"/>
      <c r="K24" s="56"/>
      <c r="L24" s="56"/>
      <c r="M24" s="56"/>
      <c r="N24" s="56"/>
      <c r="O24" s="56"/>
      <c r="P24" s="56"/>
      <c r="Q24" s="56"/>
      <c r="R24" s="56"/>
      <c r="S24" s="56"/>
      <c r="T24" s="56"/>
      <c r="U24" s="56"/>
      <c r="V24" s="56"/>
      <c r="W24" s="56"/>
      <c r="X24" s="56"/>
      <c r="Y24" s="56"/>
      <c r="Z24" s="56"/>
      <c r="AG24" s="850"/>
      <c r="AI24" s="850"/>
      <c r="AJ24" s="15" t="s">
        <v>96</v>
      </c>
      <c r="AK24" s="853"/>
      <c r="AL24" s="854"/>
      <c r="AM24" s="854"/>
      <c r="AN24" s="854"/>
      <c r="AO24" s="854"/>
      <c r="AP24" s="854"/>
      <c r="AQ24" s="855"/>
      <c r="AR24" s="33">
        <f>'Background Data'!AD89/AR$22</f>
        <v>2.5042319864576432E-2</v>
      </c>
      <c r="AS24" s="34">
        <f>'Background Data'!AE89/AS$22</f>
        <v>2.4669808576249491E-2</v>
      </c>
      <c r="AT24" s="34">
        <f>'Background Data'!AF89/AT$22</f>
        <v>2.8690501456713424E-2</v>
      </c>
      <c r="AU24" s="34">
        <f>'Background Data'!AG89/AU$22</f>
        <v>3.2270222732738663E-2</v>
      </c>
      <c r="AV24" s="34">
        <f>'Background Data'!AH89/AV$22</f>
        <v>4.2085330694825909E-2</v>
      </c>
      <c r="AW24" s="34">
        <f>'Background Data'!AI89/AW$22</f>
        <v>4.497214115149907E-2</v>
      </c>
      <c r="AX24" s="34">
        <f>'Background Data'!AJ89/AX$22</f>
        <v>3.9795415540942382E-2</v>
      </c>
      <c r="AY24" s="34">
        <f>'Background Data'!AK89/AY$22</f>
        <v>4.6262952891893881E-2</v>
      </c>
      <c r="AZ24" s="34">
        <f>'Background Data'!AL89/AZ$22</f>
        <v>4.8992923244420249E-2</v>
      </c>
      <c r="BA24" s="34">
        <f>'Background Data'!AM89/BA$22</f>
        <v>5.7691215717449319E-2</v>
      </c>
      <c r="BB24" s="34">
        <f>'Background Data'!AN89/BB$22</f>
        <v>7.4922290899996427E-2</v>
      </c>
      <c r="BC24" s="34">
        <f>'Background Data'!AO89/BC$22</f>
        <v>0.10318206562082446</v>
      </c>
      <c r="BD24" s="34">
        <f>'Background Data'!AP89/BD$22</f>
        <v>8.9419335528284946E-2</v>
      </c>
      <c r="BE24" s="652"/>
      <c r="BG24" s="71" t="s">
        <v>2742</v>
      </c>
      <c r="BN24" s="338">
        <f>'Background Data'!$X19*BN$21</f>
        <v>4.7497079526733564E-2</v>
      </c>
      <c r="BO24" s="338">
        <f>'Background Data'!$X19*BO$21</f>
        <v>6.9051669911636956E-2</v>
      </c>
      <c r="BP24" s="338">
        <f>'Background Data'!$X19*BP$21</f>
        <v>6.5164145574359733E-2</v>
      </c>
      <c r="BQ24" s="338">
        <f>'Background Data'!$X19*BQ$21</f>
        <v>8.0444810543657333E-2</v>
      </c>
      <c r="BR24" s="338">
        <f>'Background Data'!$X19*BR$21</f>
        <v>9.052927961659428E-2</v>
      </c>
      <c r="BS24" s="338">
        <f>'Background Data'!$X19*BS$21</f>
        <v>7.5864460086865357E-2</v>
      </c>
      <c r="BT24" s="338">
        <f>'Background Data'!$X19*BT$21</f>
        <v>6.9898457391043875E-2</v>
      </c>
      <c r="BU24" s="338">
        <f>'Background Data'!$X19*BU$21</f>
        <v>8.9567021117268247E-2</v>
      </c>
      <c r="BV24" s="338">
        <f>'Background Data'!$X19*BV$21</f>
        <v>0.10784993260446309</v>
      </c>
      <c r="BW24" s="338">
        <f>'Background Data'!$X19*BW$21</f>
        <v>9.6225849932604468E-2</v>
      </c>
      <c r="BX24" s="338">
        <f>'Background Data'!$X19*BX$21</f>
        <v>0.11527856821926015</v>
      </c>
      <c r="BY24" s="338">
        <f>'Background Data'!$X19*BY$21</f>
        <v>7.0437322150666462E-2</v>
      </c>
      <c r="CF24">
        <v>2009</v>
      </c>
    </row>
    <row r="25" spans="1:84" x14ac:dyDescent="0.25">
      <c r="J25" s="56"/>
      <c r="K25" s="56"/>
      <c r="L25" s="56"/>
      <c r="M25" s="56"/>
      <c r="N25" s="56"/>
      <c r="O25" s="56"/>
      <c r="P25" s="56"/>
      <c r="Q25" s="56"/>
      <c r="R25" s="56"/>
      <c r="S25" s="56"/>
      <c r="T25" s="56"/>
      <c r="U25" s="56"/>
      <c r="V25" s="56"/>
      <c r="W25" s="56"/>
      <c r="X25" s="56"/>
      <c r="Y25" s="56"/>
      <c r="Z25" s="56"/>
      <c r="AG25" s="850"/>
      <c r="AI25" s="850"/>
      <c r="AJ25" s="15" t="s">
        <v>120</v>
      </c>
      <c r="AK25" s="853"/>
      <c r="AL25" s="854"/>
      <c r="AM25" s="854"/>
      <c r="AN25" s="854"/>
      <c r="AO25" s="854"/>
      <c r="AP25" s="854"/>
      <c r="AQ25" s="855"/>
      <c r="AR25" s="33">
        <f>'Background Data'!AD90/AR$22</f>
        <v>2.7599911680282623E-4</v>
      </c>
      <c r="AS25" s="34">
        <f>'Background Data'!AE90/AS$22</f>
        <v>2.1333953957448459E-4</v>
      </c>
      <c r="AT25" s="34">
        <f>'Background Data'!AF90/AT$22</f>
        <v>0</v>
      </c>
      <c r="AU25" s="34">
        <f>'Background Data'!AG90/AU$22</f>
        <v>0</v>
      </c>
      <c r="AV25" s="34">
        <f>'Background Data'!AH90/AV$22</f>
        <v>0</v>
      </c>
      <c r="AW25" s="34">
        <f>'Background Data'!AI90/AW$22</f>
        <v>0</v>
      </c>
      <c r="AX25" s="34">
        <f>'Background Data'!AJ90/AX$22</f>
        <v>0</v>
      </c>
      <c r="AY25" s="34">
        <f>'Background Data'!AK90/AY$22</f>
        <v>0</v>
      </c>
      <c r="AZ25" s="34">
        <f>'Background Data'!AL90/AZ$22</f>
        <v>0</v>
      </c>
      <c r="BA25" s="34">
        <f>'Background Data'!AM90/BA$22</f>
        <v>0</v>
      </c>
      <c r="BB25" s="34">
        <f>'Background Data'!AN90/BB$22</f>
        <v>0</v>
      </c>
      <c r="BC25" s="34">
        <f>'Background Data'!AO90/BC$22</f>
        <v>8.7098530212302676E-3</v>
      </c>
      <c r="BD25" s="34">
        <f>'Background Data'!AP90/BD$22</f>
        <v>1.8968871595330738E-2</v>
      </c>
      <c r="BE25" s="652"/>
      <c r="CF25">
        <v>2010</v>
      </c>
    </row>
    <row r="26" spans="1:84" ht="16.5" thickBot="1" x14ac:dyDescent="0.3">
      <c r="J26" s="56"/>
      <c r="K26" s="56"/>
      <c r="L26" s="56"/>
      <c r="M26" s="56"/>
      <c r="N26" s="56"/>
      <c r="O26" s="56"/>
      <c r="P26" s="56"/>
      <c r="Q26" s="56"/>
      <c r="R26" s="56"/>
      <c r="S26" s="56"/>
      <c r="T26" s="56"/>
      <c r="U26" s="56"/>
      <c r="V26" s="56"/>
      <c r="W26" s="56"/>
      <c r="X26" s="56"/>
      <c r="Y26" s="56"/>
      <c r="Z26" s="56"/>
      <c r="AG26" s="850"/>
      <c r="AI26" s="850"/>
      <c r="AJ26" s="15" t="s">
        <v>121</v>
      </c>
      <c r="AK26" s="853"/>
      <c r="AL26" s="854"/>
      <c r="AM26" s="854"/>
      <c r="AN26" s="854"/>
      <c r="AO26" s="854"/>
      <c r="AP26" s="854"/>
      <c r="AQ26" s="855"/>
      <c r="AR26" s="33">
        <f>'Background Data'!AD91/AR$22</f>
        <v>0</v>
      </c>
      <c r="AS26" s="34">
        <f>'Background Data'!AE91/AS$22</f>
        <v>0</v>
      </c>
      <c r="AT26" s="34">
        <f>'Background Data'!AF91/AT$22</f>
        <v>0</v>
      </c>
      <c r="AU26" s="34">
        <f>'Background Data'!AG91/AU$22</f>
        <v>0</v>
      </c>
      <c r="AV26" s="34">
        <f>'Background Data'!AH91/AV$22</f>
        <v>0</v>
      </c>
      <c r="AW26" s="34">
        <f>'Background Data'!AI91/AW$22</f>
        <v>0</v>
      </c>
      <c r="AX26" s="34">
        <f>'Background Data'!AJ91/AX$22</f>
        <v>0</v>
      </c>
      <c r="AY26" s="34">
        <f>'Background Data'!AK91/AY$22</f>
        <v>0</v>
      </c>
      <c r="AZ26" s="34">
        <f>'Background Data'!AL91/AZ$22</f>
        <v>0</v>
      </c>
      <c r="BA26" s="34">
        <f>'Background Data'!AM91/BA$22</f>
        <v>0</v>
      </c>
      <c r="BB26" s="34">
        <f>'Background Data'!AN91/BB$22</f>
        <v>0.17967773053699668</v>
      </c>
      <c r="BC26" s="34">
        <f>'Background Data'!AO91/BC$22</f>
        <v>0.12787647844806255</v>
      </c>
      <c r="BD26" s="34">
        <f>'Background Data'!AP91/BD$22</f>
        <v>7.6511523495959299E-2</v>
      </c>
      <c r="BE26" s="283"/>
      <c r="BG26" s="846" t="s">
        <v>2757</v>
      </c>
      <c r="BH26" s="846"/>
      <c r="BI26" s="846"/>
      <c r="BJ26" s="846"/>
      <c r="BK26" s="846"/>
      <c r="BL26" s="846"/>
      <c r="BM26" s="846"/>
      <c r="BN26" s="846"/>
      <c r="BO26" s="846"/>
      <c r="BP26" s="846"/>
      <c r="BQ26" s="846"/>
      <c r="BR26" s="846"/>
      <c r="BS26" s="846"/>
      <c r="BT26" s="846"/>
      <c r="BU26" s="846"/>
      <c r="BV26" s="846"/>
      <c r="BW26" s="846"/>
      <c r="BX26" s="846"/>
      <c r="BY26" s="846"/>
      <c r="BZ26" s="846"/>
      <c r="CA26" s="846"/>
      <c r="CB26" s="846"/>
      <c r="CF26">
        <v>2011</v>
      </c>
    </row>
    <row r="27" spans="1:84" ht="15.75" thickBot="1" x14ac:dyDescent="0.3">
      <c r="J27" s="56"/>
      <c r="K27" s="56"/>
      <c r="L27" s="56"/>
      <c r="M27" s="56"/>
      <c r="N27" s="56"/>
      <c r="O27" s="56"/>
      <c r="P27" s="56"/>
      <c r="Q27" s="56"/>
      <c r="R27" s="56"/>
      <c r="S27" s="56"/>
      <c r="T27" s="56"/>
      <c r="U27" s="56"/>
      <c r="V27" s="56"/>
      <c r="W27" s="56"/>
      <c r="X27" s="56"/>
      <c r="Y27" s="56"/>
      <c r="Z27" s="56"/>
      <c r="AG27" s="850"/>
      <c r="AI27" s="850"/>
      <c r="AJ27" s="29" t="s">
        <v>122</v>
      </c>
      <c r="AK27" s="859"/>
      <c r="AL27" s="856"/>
      <c r="AM27" s="856"/>
      <c r="AN27" s="856"/>
      <c r="AO27" s="856"/>
      <c r="AP27" s="856"/>
      <c r="AQ27" s="857"/>
      <c r="AR27" s="35">
        <f>'Background Data'!AD92/AR$22</f>
        <v>0</v>
      </c>
      <c r="AS27" s="36">
        <f>'Background Data'!AE92/AS$22</f>
        <v>0</v>
      </c>
      <c r="AT27" s="36">
        <f>'Background Data'!AF92/AT$22</f>
        <v>0</v>
      </c>
      <c r="AU27" s="36">
        <f>'Background Data'!AG92/AU$22</f>
        <v>0</v>
      </c>
      <c r="AV27" s="36">
        <f>'Background Data'!AH92/AV$22</f>
        <v>0</v>
      </c>
      <c r="AW27" s="36">
        <f>'Background Data'!AI92/AW$22</f>
        <v>1.658264791721942E-5</v>
      </c>
      <c r="AX27" s="36">
        <f>'Background Data'!AJ92/AX$22</f>
        <v>8.8698577764184123E-3</v>
      </c>
      <c r="AY27" s="36">
        <f>'Background Data'!AK92/AY$22</f>
        <v>1.6076284265451605E-2</v>
      </c>
      <c r="AZ27" s="36">
        <f>'Background Data'!AL92/AZ$22</f>
        <v>1.8548761063731125E-3</v>
      </c>
      <c r="BA27" s="36">
        <f>'Background Data'!AM92/BA$22</f>
        <v>3.8328317528817215E-3</v>
      </c>
      <c r="BB27" s="36">
        <f>'Background Data'!AN92/BB$22</f>
        <v>1.0039658437243203E-2</v>
      </c>
      <c r="BC27" s="36">
        <f>'Background Data'!AO92/BC$22</f>
        <v>2.5684168852377887E-2</v>
      </c>
      <c r="BD27" s="36">
        <f>'Background Data'!AP92/BD$22</f>
        <v>2.3196647710266388E-2</v>
      </c>
      <c r="BE27" s="652"/>
      <c r="BG27" s="25" t="s">
        <v>241</v>
      </c>
      <c r="BH27" s="25">
        <v>2000</v>
      </c>
      <c r="BI27" s="25">
        <v>2001</v>
      </c>
      <c r="BJ27" s="25">
        <v>2002</v>
      </c>
      <c r="BK27" s="25">
        <v>2003</v>
      </c>
      <c r="BL27" s="25">
        <v>2004</v>
      </c>
      <c r="BM27" s="25">
        <v>2005</v>
      </c>
      <c r="BN27" s="25">
        <v>2006</v>
      </c>
      <c r="BO27" s="25">
        <v>2007</v>
      </c>
      <c r="BP27" s="25">
        <v>2008</v>
      </c>
      <c r="BQ27" s="25">
        <v>2009</v>
      </c>
      <c r="BR27" s="25">
        <v>2010</v>
      </c>
      <c r="BS27" s="25">
        <v>2011</v>
      </c>
      <c r="BT27" s="25">
        <v>2012</v>
      </c>
      <c r="BU27" s="25">
        <v>2013</v>
      </c>
      <c r="BV27" s="25">
        <v>2014</v>
      </c>
      <c r="BW27" s="25">
        <v>2015</v>
      </c>
      <c r="BX27" s="25">
        <v>2016</v>
      </c>
      <c r="BY27" s="25">
        <v>2017</v>
      </c>
      <c r="BZ27" s="25">
        <v>2018</v>
      </c>
      <c r="CA27" s="25">
        <v>2019</v>
      </c>
      <c r="CB27" s="25">
        <v>2020</v>
      </c>
      <c r="CC27" s="150" t="s">
        <v>2755</v>
      </c>
      <c r="CF27">
        <v>2012</v>
      </c>
    </row>
    <row r="28" spans="1:84" ht="15.75" thickTop="1" x14ac:dyDescent="0.25">
      <c r="J28" s="56"/>
      <c r="K28" s="56"/>
      <c r="L28" s="56"/>
      <c r="M28" s="56"/>
      <c r="N28" s="56"/>
      <c r="O28" s="56"/>
      <c r="P28" s="56"/>
      <c r="Q28" s="56"/>
      <c r="R28" s="56"/>
      <c r="S28" s="56"/>
      <c r="T28" s="56"/>
      <c r="U28" s="56"/>
      <c r="V28" s="56"/>
      <c r="W28" s="56"/>
      <c r="X28" s="56"/>
      <c r="Y28" s="56"/>
      <c r="Z28" s="56"/>
      <c r="AG28" s="850"/>
      <c r="AI28" s="850"/>
      <c r="AJ28" s="26" t="s">
        <v>19</v>
      </c>
      <c r="AK28" s="858" t="s">
        <v>641</v>
      </c>
      <c r="AL28" s="46"/>
      <c r="AM28" s="46"/>
      <c r="AN28" s="27"/>
      <c r="AO28" s="27"/>
      <c r="AP28" s="27"/>
      <c r="AQ28" s="37"/>
      <c r="AR28" s="39"/>
      <c r="AS28" s="39"/>
      <c r="AT28" s="39"/>
      <c r="AU28" s="39"/>
      <c r="AV28" s="39"/>
      <c r="AW28" s="39"/>
      <c r="AX28" s="184">
        <f>'Background Data'!AR74</f>
        <v>122905</v>
      </c>
      <c r="AY28" s="39">
        <f>'Background Data'!AS74</f>
        <v>125671</v>
      </c>
      <c r="AZ28" s="39">
        <f>'Background Data'!AT74</f>
        <v>128102</v>
      </c>
      <c r="BA28" s="39">
        <f>'Background Data'!AU74</f>
        <v>138081</v>
      </c>
      <c r="BB28" s="39">
        <f>'Background Data'!AV74</f>
        <v>152693</v>
      </c>
      <c r="BC28" s="39">
        <f>'Background Data'!AW74</f>
        <v>148436</v>
      </c>
      <c r="BD28" s="39">
        <f>'Background Data'!AX74</f>
        <v>147657</v>
      </c>
      <c r="BE28" s="652"/>
      <c r="BG28" s="26" t="s">
        <v>848</v>
      </c>
      <c r="CC28" s="652"/>
      <c r="CF28">
        <v>2013</v>
      </c>
    </row>
    <row r="29" spans="1:84" x14ac:dyDescent="0.25">
      <c r="J29" s="56"/>
      <c r="K29" s="56"/>
      <c r="L29" s="56"/>
      <c r="M29" s="56"/>
      <c r="N29" s="56"/>
      <c r="O29" s="56"/>
      <c r="P29" s="56"/>
      <c r="Q29" s="56"/>
      <c r="R29" s="56"/>
      <c r="S29" s="56"/>
      <c r="T29" s="56"/>
      <c r="U29" s="56"/>
      <c r="V29" s="56"/>
      <c r="W29" s="56"/>
      <c r="X29" s="56"/>
      <c r="Y29" s="56"/>
      <c r="Z29" s="56"/>
      <c r="AG29" s="850"/>
      <c r="AI29" s="850"/>
      <c r="AJ29" s="45" t="s">
        <v>97</v>
      </c>
      <c r="AK29" s="853"/>
      <c r="AL29" s="31">
        <f t="shared" ref="AL29:AV29" si="7">1-AL30</f>
        <v>0.4</v>
      </c>
      <c r="AM29" s="31">
        <f t="shared" si="7"/>
        <v>0.4</v>
      </c>
      <c r="AN29" s="31">
        <f t="shared" si="7"/>
        <v>0.4</v>
      </c>
      <c r="AO29" s="31">
        <f t="shared" si="7"/>
        <v>0.4</v>
      </c>
      <c r="AP29" s="31">
        <f t="shared" si="7"/>
        <v>0.4</v>
      </c>
      <c r="AQ29" s="31">
        <f t="shared" si="7"/>
        <v>0.4</v>
      </c>
      <c r="AR29" s="31">
        <f t="shared" si="7"/>
        <v>0.4</v>
      </c>
      <c r="AS29" s="31">
        <f t="shared" si="7"/>
        <v>0.4</v>
      </c>
      <c r="AT29" s="31">
        <f t="shared" si="7"/>
        <v>0.4</v>
      </c>
      <c r="AU29" s="31">
        <f t="shared" si="7"/>
        <v>0.4</v>
      </c>
      <c r="AV29" s="31">
        <f t="shared" si="7"/>
        <v>0.4</v>
      </c>
      <c r="AW29" s="31">
        <f>1-AW30</f>
        <v>0.4</v>
      </c>
      <c r="AX29" s="30">
        <f>'Background Data'!AR75/AX$28</f>
        <v>0.3620601277409381</v>
      </c>
      <c r="AY29" s="31">
        <f>'Background Data'!AS75/AY$28</f>
        <v>0.3726714993912677</v>
      </c>
      <c r="AZ29" s="31">
        <f>'Background Data'!AT75/AZ$28</f>
        <v>0.38132113472076939</v>
      </c>
      <c r="BA29" s="31">
        <f>'Background Data'!AU75/BA$28</f>
        <v>0.38728717202221885</v>
      </c>
      <c r="BB29" s="34">
        <f>'Background Data'!AV75/BB$28</f>
        <v>0.38496198254012953</v>
      </c>
      <c r="BC29" s="34">
        <f>'Background Data'!AW75/BC$28</f>
        <v>0.39681748362930824</v>
      </c>
      <c r="BD29" s="34">
        <f>'Background Data'!AX75/BD$28</f>
        <v>0.40317086220091158</v>
      </c>
      <c r="BE29" s="283"/>
      <c r="BG29" s="71" t="s">
        <v>2754</v>
      </c>
      <c r="BH29" s="69">
        <f>'Background Data'!C86/'Background Data'!C133</f>
        <v>34.360328635495641</v>
      </c>
      <c r="BI29" s="69">
        <f>'Background Data'!D86/'Background Data'!D133</f>
        <v>31.904681940750496</v>
      </c>
      <c r="BJ29" s="69">
        <f>'Background Data'!E86/'Background Data'!E133</f>
        <v>22.604160658776102</v>
      </c>
      <c r="BK29" s="69">
        <f>'Background Data'!F86/'Background Data'!F133</f>
        <v>24.092497192034042</v>
      </c>
      <c r="BL29" s="69">
        <f>'Background Data'!G86/'Background Data'!G133</f>
        <v>31.497419910708846</v>
      </c>
      <c r="BM29" s="69">
        <f>'Background Data'!H86/'Background Data'!H133</f>
        <v>42.57894233028906</v>
      </c>
      <c r="BN29" s="69">
        <f>'Background Data'!I86/'Background Data'!I133</f>
        <v>32.525632891918661</v>
      </c>
      <c r="BO29" s="69">
        <f>'Background Data'!J86/'Background Data'!J133</f>
        <v>36.788464199126054</v>
      </c>
      <c r="BP29" s="69">
        <f>'Background Data'!K86/'Background Data'!K133</f>
        <v>44.22395783594321</v>
      </c>
      <c r="BQ29" s="69">
        <f>'Background Data'!L86/'Background Data'!L133</f>
        <v>39.861391856396835</v>
      </c>
      <c r="BR29" s="69">
        <f>'Background Data'!M86/'Background Data'!M133</f>
        <v>40.35145927268826</v>
      </c>
      <c r="BS29" s="69">
        <f>'Background Data'!N86/'Background Data'!N133</f>
        <v>40.077100729138536</v>
      </c>
      <c r="BT29" s="69">
        <f>'Background Data'!O86/'Background Data'!O133</f>
        <v>43.213957387419825</v>
      </c>
      <c r="BU29" s="69">
        <f>'Background Data'!P86/'Background Data'!P133</f>
        <v>43.949229878987758</v>
      </c>
      <c r="BV29" s="69">
        <f>'Background Data'!Q86/'Background Data'!Q133</f>
        <v>46.714273496963997</v>
      </c>
      <c r="BW29" s="69">
        <f>'Background Data'!R86/'Background Data'!R133</f>
        <v>51.874867451823164</v>
      </c>
      <c r="BX29" s="69">
        <f>'Background Data'!S86/'Background Data'!S133</f>
        <v>58.922600273473101</v>
      </c>
      <c r="BY29" s="69">
        <f>'Background Data'!T86/'Background Data'!T133</f>
        <v>70.573297955461456</v>
      </c>
      <c r="BZ29" s="69">
        <f>'Background Data'!U86/'Background Data'!U133</f>
        <v>72.694351372389747</v>
      </c>
      <c r="CA29" s="339">
        <f>'Background Data'!V86/'Background Data'!V133</f>
        <v>70.589403383593449</v>
      </c>
      <c r="CB29" s="69">
        <f>'Background Data'!W86/'Background Data'!W133</f>
        <v>20.470675893222744</v>
      </c>
      <c r="CC29" s="652"/>
      <c r="CF29">
        <v>2014</v>
      </c>
    </row>
    <row r="30" spans="1:84" x14ac:dyDescent="0.25">
      <c r="A30" s="194"/>
      <c r="B30" s="194"/>
      <c r="C30" s="194"/>
      <c r="D30" s="194"/>
      <c r="E30" s="195"/>
      <c r="F30" s="194"/>
      <c r="G30" s="194"/>
      <c r="H30" s="194"/>
      <c r="I30" s="194"/>
      <c r="J30" s="695"/>
      <c r="K30" s="695"/>
      <c r="L30" s="695"/>
      <c r="M30" s="695"/>
      <c r="N30" s="695"/>
      <c r="O30" s="56"/>
      <c r="P30" s="56"/>
      <c r="Q30" s="56"/>
      <c r="R30" s="56"/>
      <c r="S30" s="56"/>
      <c r="T30" s="56"/>
      <c r="U30" s="56"/>
      <c r="V30" s="56"/>
      <c r="W30" s="56"/>
      <c r="X30" s="56"/>
      <c r="Y30" s="56"/>
      <c r="Z30" s="56"/>
      <c r="AG30" s="850"/>
      <c r="AI30" s="850"/>
      <c r="AJ30" s="45" t="s">
        <v>96</v>
      </c>
      <c r="AK30" s="853"/>
      <c r="AL30" s="31">
        <v>0.6</v>
      </c>
      <c r="AM30" s="31">
        <v>0.6</v>
      </c>
      <c r="AN30" s="31">
        <v>0.6</v>
      </c>
      <c r="AO30" s="31">
        <v>0.6</v>
      </c>
      <c r="AP30" s="31">
        <v>0.6</v>
      </c>
      <c r="AQ30" s="31">
        <v>0.6</v>
      </c>
      <c r="AR30" s="31">
        <v>0.6</v>
      </c>
      <c r="AS30" s="31">
        <v>0.6</v>
      </c>
      <c r="AT30" s="31">
        <v>0.6</v>
      </c>
      <c r="AU30" s="31">
        <v>0.6</v>
      </c>
      <c r="AV30" s="31">
        <v>0.6</v>
      </c>
      <c r="AW30" s="31">
        <v>0.6</v>
      </c>
      <c r="AX30" s="30">
        <f>'Background Data'!AR76/AX$28</f>
        <v>0.63789919043163423</v>
      </c>
      <c r="AY30" s="31">
        <f>'Background Data'!AS76/AY$28</f>
        <v>0.62729667146756207</v>
      </c>
      <c r="AZ30" s="31">
        <f>'Background Data'!AT76/AZ$28</f>
        <v>0.61864764016174612</v>
      </c>
      <c r="BA30" s="31">
        <f>'Background Data'!AU76/BA$28</f>
        <v>0.61266213309579165</v>
      </c>
      <c r="BB30" s="34">
        <f>'Background Data'!AV76/BB$28</f>
        <v>0.61497252657292734</v>
      </c>
      <c r="BC30" s="34">
        <f>'Background Data'!AW76/BC$28</f>
        <v>0.60310841035867313</v>
      </c>
      <c r="BD30" s="34">
        <f>'Background Data'!AX76/BD$28</f>
        <v>0.59662596422790659</v>
      </c>
      <c r="BE30" s="652"/>
      <c r="BG30" s="71" t="s">
        <v>842</v>
      </c>
      <c r="BH30" s="69">
        <f>BH29*'Background Data'!$BD$31</f>
        <v>1.4316803598123182</v>
      </c>
      <c r="BI30" s="69">
        <f>BI29*'Background Data'!$BD$31</f>
        <v>1.3293617475312707</v>
      </c>
      <c r="BJ30" s="69">
        <f>BJ29*'Background Data'!$BD$31</f>
        <v>0.94184002744900419</v>
      </c>
      <c r="BK30" s="69">
        <f>BK29*'Background Data'!$BD$31</f>
        <v>1.003854049668085</v>
      </c>
      <c r="BL30" s="69">
        <f>BL29*'Background Data'!$BD$31</f>
        <v>1.3123924962795352</v>
      </c>
      <c r="BM30" s="69">
        <f>BM29*'Background Data'!$BD$31</f>
        <v>1.7741225970953773</v>
      </c>
      <c r="BN30" s="69">
        <f>BN29*'Background Data'!$BD$31</f>
        <v>1.3552347038299442</v>
      </c>
      <c r="BO30" s="69">
        <f>BO29*'Background Data'!$BD$31</f>
        <v>1.5328526749635856</v>
      </c>
      <c r="BP30" s="69">
        <f>BP29*'Background Data'!$BD$31</f>
        <v>1.8426649098309671</v>
      </c>
      <c r="BQ30" s="69">
        <f>BQ29*'Background Data'!$BD$31</f>
        <v>1.660891327349868</v>
      </c>
      <c r="BR30" s="69">
        <f>BR29*'Background Data'!$BD$31</f>
        <v>1.6813108030286774</v>
      </c>
      <c r="BS30" s="69">
        <f>BS29*'Background Data'!$BD$31</f>
        <v>1.6698791970474389</v>
      </c>
      <c r="BT30" s="69">
        <f>BT29*'Background Data'!$BD$31</f>
        <v>1.8005815578091593</v>
      </c>
      <c r="BU30" s="69">
        <f>BU29*'Background Data'!$BD$31</f>
        <v>1.8312179116244898</v>
      </c>
      <c r="BV30" s="69">
        <f>BV29*'Background Data'!$BD$31</f>
        <v>1.9464280623734997</v>
      </c>
      <c r="BW30" s="69">
        <f>BW29*'Background Data'!$BD$31</f>
        <v>2.1614528104926318</v>
      </c>
      <c r="BX30" s="69">
        <f>BX29*'Background Data'!$BD$31</f>
        <v>2.4551083447280457</v>
      </c>
      <c r="BY30" s="69">
        <f>BY29*'Background Data'!$BD$31</f>
        <v>2.9405540814775604</v>
      </c>
      <c r="BZ30" s="69">
        <f>BZ29*'Background Data'!$BD$31</f>
        <v>3.0289313071829058</v>
      </c>
      <c r="CA30" s="69">
        <f>CA29*'Background Data'!$BD$31</f>
        <v>2.9412251409830601</v>
      </c>
      <c r="CB30" s="69">
        <f>CB29*'Background Data'!$BD$31</f>
        <v>0.85294482888428091</v>
      </c>
      <c r="CC30" s="652"/>
      <c r="CF30">
        <v>2015</v>
      </c>
    </row>
    <row r="31" spans="1:84" x14ac:dyDescent="0.25">
      <c r="F31" s="56"/>
      <c r="G31" s="56"/>
      <c r="H31" s="56"/>
      <c r="I31" s="56"/>
      <c r="J31" s="56"/>
      <c r="K31" s="56"/>
      <c r="L31" s="56"/>
      <c r="M31" s="56"/>
      <c r="N31" s="56"/>
      <c r="O31" s="229"/>
      <c r="P31" s="229"/>
      <c r="Q31" s="229"/>
      <c r="R31" s="229"/>
      <c r="S31" s="229"/>
      <c r="T31" s="229"/>
      <c r="U31" s="229"/>
      <c r="V31" s="229"/>
      <c r="W31" s="229"/>
      <c r="X31" s="229"/>
      <c r="Y31" s="229"/>
      <c r="Z31" s="700"/>
      <c r="AG31" s="850"/>
      <c r="AI31" s="850"/>
      <c r="AJ31" s="26" t="s">
        <v>178</v>
      </c>
      <c r="AK31" s="853" t="s">
        <v>132</v>
      </c>
      <c r="AR31" s="185">
        <f t="shared" ref="AR31:BD31" si="8">AR10+AR16+AR22</f>
        <v>329779</v>
      </c>
      <c r="AS31" s="186">
        <f t="shared" si="8"/>
        <v>317690</v>
      </c>
      <c r="AT31" s="186">
        <f t="shared" si="8"/>
        <v>347875</v>
      </c>
      <c r="AU31" s="186">
        <f t="shared" si="8"/>
        <v>386329</v>
      </c>
      <c r="AV31" s="186">
        <f t="shared" si="8"/>
        <v>446940</v>
      </c>
      <c r="AW31" s="186">
        <f t="shared" si="8"/>
        <v>505914</v>
      </c>
      <c r="AX31" s="44">
        <f t="shared" si="8"/>
        <v>548179</v>
      </c>
      <c r="AY31" s="44">
        <f t="shared" si="8"/>
        <v>558012</v>
      </c>
      <c r="AZ31" s="44">
        <f t="shared" si="8"/>
        <v>590221</v>
      </c>
      <c r="BA31" s="44">
        <f t="shared" si="8"/>
        <v>475961</v>
      </c>
      <c r="BB31" s="44">
        <f t="shared" si="8"/>
        <v>498301</v>
      </c>
      <c r="BC31" s="44">
        <f t="shared" si="8"/>
        <v>484460</v>
      </c>
      <c r="BD31" s="44">
        <f t="shared" si="8"/>
        <v>566481</v>
      </c>
      <c r="BE31" s="652"/>
      <c r="BG31" s="71" t="s">
        <v>2756</v>
      </c>
      <c r="BH31" s="69"/>
      <c r="BI31" s="262">
        <f>BI29-(BH29-BH30)</f>
        <v>-1.0239663349328261</v>
      </c>
      <c r="BJ31" s="262">
        <f t="shared" ref="BJ31:CB31" si="9">BJ29-(BI29-BI30)</f>
        <v>-7.9711595344431245</v>
      </c>
      <c r="BK31" s="262">
        <f t="shared" si="9"/>
        <v>2.4301765607069434</v>
      </c>
      <c r="BL31" s="262">
        <f t="shared" si="9"/>
        <v>8.4087767683428893</v>
      </c>
      <c r="BM31" s="262">
        <f t="shared" si="9"/>
        <v>12.393914915859749</v>
      </c>
      <c r="BN31" s="262">
        <f t="shared" si="9"/>
        <v>-8.2791868412750205</v>
      </c>
      <c r="BO31" s="262">
        <f t="shared" si="9"/>
        <v>5.6180660110373353</v>
      </c>
      <c r="BP31" s="262">
        <f t="shared" si="9"/>
        <v>8.968346311780742</v>
      </c>
      <c r="BQ31" s="262">
        <f t="shared" si="9"/>
        <v>-2.5199010697154094</v>
      </c>
      <c r="BR31" s="262">
        <f t="shared" si="9"/>
        <v>2.15095874364129</v>
      </c>
      <c r="BS31" s="262">
        <f t="shared" si="9"/>
        <v>1.4069522594789561</v>
      </c>
      <c r="BT31" s="262">
        <f t="shared" si="9"/>
        <v>4.8067358553287249</v>
      </c>
      <c r="BU31" s="262">
        <f t="shared" si="9"/>
        <v>2.5358540493770931</v>
      </c>
      <c r="BV31" s="262">
        <f t="shared" si="9"/>
        <v>4.5962615296007314</v>
      </c>
      <c r="BW31" s="262">
        <f t="shared" si="9"/>
        <v>7.1070220172326657</v>
      </c>
      <c r="BX31" s="262">
        <f t="shared" si="9"/>
        <v>9.2091856321425709</v>
      </c>
      <c r="BY31" s="262">
        <f t="shared" si="9"/>
        <v>14.105806026716401</v>
      </c>
      <c r="BZ31" s="262">
        <f t="shared" si="9"/>
        <v>5.0616074984058486</v>
      </c>
      <c r="CA31" s="262">
        <f t="shared" si="9"/>
        <v>0.92398331838660397</v>
      </c>
      <c r="CB31" s="262">
        <f t="shared" si="9"/>
        <v>-47.177502349387638</v>
      </c>
      <c r="CC31" s="727">
        <f>SUMIF(BI31:CB31, "&gt;0", BI31:CB31)/CA29</f>
        <v>1.2710639727391764</v>
      </c>
      <c r="CF31">
        <v>2016</v>
      </c>
    </row>
    <row r="32" spans="1:84" x14ac:dyDescent="0.25">
      <c r="F32" s="56"/>
      <c r="G32" s="56"/>
      <c r="H32" s="56"/>
      <c r="I32" s="56"/>
      <c r="J32" s="56"/>
      <c r="K32" s="56"/>
      <c r="L32" s="56"/>
      <c r="M32" s="56"/>
      <c r="N32" s="56"/>
      <c r="O32" s="56"/>
      <c r="P32" s="56"/>
      <c r="Q32" s="56"/>
      <c r="R32" s="56"/>
      <c r="S32" s="56"/>
      <c r="T32" s="56"/>
      <c r="U32" s="56"/>
      <c r="V32" s="56"/>
      <c r="W32" s="56"/>
      <c r="X32" s="56"/>
      <c r="Y32" s="56"/>
      <c r="Z32" s="56"/>
      <c r="AG32" s="850"/>
      <c r="AI32" s="850"/>
      <c r="AJ32" s="45" t="s">
        <v>97</v>
      </c>
      <c r="AK32" s="853"/>
      <c r="AL32" s="55">
        <v>0.95</v>
      </c>
      <c r="AM32" s="55">
        <v>0.95</v>
      </c>
      <c r="AN32" s="55">
        <v>0.95</v>
      </c>
      <c r="AO32" s="55">
        <v>0.95</v>
      </c>
      <c r="AP32" s="55">
        <v>0.95</v>
      </c>
      <c r="AQ32" s="55">
        <v>0.95</v>
      </c>
      <c r="AR32" s="30">
        <f>('Background Data'!AD74+'Background Data'!AD81+'Background Data'!AD88)/(AR$10+AR$16+AR$22)</f>
        <v>0.96637141843476992</v>
      </c>
      <c r="AS32" s="31">
        <f>('Background Data'!AE74+'Background Data'!AE81+'Background Data'!AE88)/(AS$10+AS$16+AS$22)</f>
        <v>0.96194088576914605</v>
      </c>
      <c r="AT32" s="31">
        <f>('Background Data'!AF74+'Background Data'!AF81+'Background Data'!AF88)/(AT$10+AT$16+AT$22)</f>
        <v>0.95799640675530007</v>
      </c>
      <c r="AU32" s="31">
        <f>('Background Data'!AG74+'Background Data'!AG81+'Background Data'!AG88)/(AU$10+AU$16+AU$22)</f>
        <v>0.94820735694188119</v>
      </c>
      <c r="AV32" s="31">
        <f>('Background Data'!AH74+'Background Data'!AH81+'Background Data'!AH88)/(AV$10+AV$16+AV$22)</f>
        <v>0.94716740502080821</v>
      </c>
      <c r="AW32" s="31">
        <f>('Background Data'!AI74+'Background Data'!AI81+'Background Data'!AI88)/(AW$10+AW$16+AW$22)</f>
        <v>0.95022671837505979</v>
      </c>
      <c r="AX32" s="31">
        <f>('Background Data'!AJ74+'Background Data'!AJ81+'Background Data'!AJ88)/(AX$10+AX$16+AX$22)</f>
        <v>0.95845700035937165</v>
      </c>
      <c r="AY32" s="31">
        <f>('Background Data'!AK74+'Background Data'!AK81+'Background Data'!AK88)/(AY$10+AY$16+AY$22)</f>
        <v>0.94780219780219777</v>
      </c>
      <c r="AZ32" s="686">
        <f>('Background Data'!AL74+'Background Data'!AL81+'Background Data'!AL88)/(AZ$10+AZ$16+AZ$22)</f>
        <v>0.95515239207008895</v>
      </c>
      <c r="BA32" s="687">
        <f>('Background Data'!AM74+'Background Data'!AM81+'Background Data'!AM88)/(BA$10+BA$16+BA$22)</f>
        <v>0.92807603984360065</v>
      </c>
      <c r="BB32" s="687">
        <f>('Background Data'!AN74+'Background Data'!AN81+'Background Data'!AN88)/(BB$10+BB$16+BB$22)</f>
        <v>0.88741744447633053</v>
      </c>
      <c r="BC32" s="687">
        <f>('Background Data'!AO74+'Background Data'!AO81+'Background Data'!AO88)/(BC$10+BC$16+BC$22)</f>
        <v>0.84081245097634483</v>
      </c>
      <c r="BD32" s="691">
        <f>('Background Data'!AP74+'Background Data'!AP81+'Background Data'!AP88)/(BD$10+BD$16+BD$22)</f>
        <v>0.8002086566010157</v>
      </c>
      <c r="BE32" s="770">
        <f>1 - SUM(BD32:BD33)/SUM(AZ32:AZ33)</f>
        <v>0.14681697780539893</v>
      </c>
      <c r="BG32" s="26" t="s">
        <v>847</v>
      </c>
      <c r="BH32" s="69"/>
      <c r="BI32" s="69"/>
      <c r="BJ32" s="69"/>
      <c r="BK32" s="69"/>
      <c r="BL32" s="69"/>
      <c r="BM32" s="69"/>
      <c r="BN32" s="69"/>
      <c r="BO32" s="69"/>
      <c r="BP32" s="69"/>
      <c r="BQ32" s="69"/>
      <c r="BR32" s="69"/>
      <c r="BS32" s="69"/>
      <c r="BT32" s="69"/>
      <c r="BU32" s="69"/>
      <c r="BV32" s="69"/>
      <c r="BW32" s="69"/>
      <c r="BX32" s="69"/>
      <c r="BY32" s="69"/>
      <c r="BZ32" s="69"/>
      <c r="CA32" s="69"/>
      <c r="CB32" s="69"/>
      <c r="CC32" s="652"/>
      <c r="CF32">
        <v>2017</v>
      </c>
    </row>
    <row r="33" spans="6:84" x14ac:dyDescent="0.25">
      <c r="F33" s="56"/>
      <c r="G33" s="56"/>
      <c r="H33" s="56"/>
      <c r="I33" s="56"/>
      <c r="J33" s="56"/>
      <c r="K33" s="56"/>
      <c r="L33" s="56"/>
      <c r="M33" s="56"/>
      <c r="N33" s="56"/>
      <c r="O33" s="56"/>
      <c r="P33" s="56"/>
      <c r="Q33" s="56"/>
      <c r="R33" s="56"/>
      <c r="S33" s="56"/>
      <c r="T33" s="56"/>
      <c r="U33" s="56"/>
      <c r="V33" s="56"/>
      <c r="W33" s="56"/>
      <c r="X33" s="56"/>
      <c r="Y33" s="56"/>
      <c r="Z33" s="56"/>
      <c r="AG33" s="850"/>
      <c r="AI33" s="850"/>
      <c r="AJ33" s="45" t="s">
        <v>96</v>
      </c>
      <c r="AK33" s="853"/>
      <c r="AL33" s="55">
        <v>0.03</v>
      </c>
      <c r="AM33" s="55">
        <v>0.03</v>
      </c>
      <c r="AN33" s="55">
        <v>0.03</v>
      </c>
      <c r="AO33" s="55">
        <v>0.03</v>
      </c>
      <c r="AP33" s="55">
        <v>0.03</v>
      </c>
      <c r="AQ33" s="55">
        <v>0.03</v>
      </c>
      <c r="AR33" s="30">
        <f>('Background Data'!AD75+'Background Data'!AD82+'Background Data'!AD89)/(AR$10+AR$16+AR$22)</f>
        <v>3.0672056134562843E-2</v>
      </c>
      <c r="AS33" s="31">
        <f>('Background Data'!AE75+'Background Data'!AE82+'Background Data'!AE89)/(AS$10+AS$16+AS$22)</f>
        <v>3.5002675564229278E-2</v>
      </c>
      <c r="AT33" s="31">
        <f>('Background Data'!AF75+'Background Data'!AF82+'Background Data'!AF89)/(AT$10+AT$16+AT$22)</f>
        <v>3.9816025871361842E-2</v>
      </c>
      <c r="AU33" s="31">
        <f>('Background Data'!AG75+'Background Data'!AG82+'Background Data'!AG89)/(AU$10+AU$16+AU$22)</f>
        <v>4.9328422147961973E-2</v>
      </c>
      <c r="AV33" s="31">
        <f>('Background Data'!AH75+'Background Data'!AH82+'Background Data'!AH89)/(AV$10+AV$16+AV$22)</f>
        <v>5.0465386852821405E-2</v>
      </c>
      <c r="AW33" s="31">
        <f>('Background Data'!AI75+'Background Data'!AI82+'Background Data'!AI89)/(AW$10+AW$16+AW$22)</f>
        <v>4.1949817557924866E-2</v>
      </c>
      <c r="AX33" s="31">
        <f>('Background Data'!AJ75+'Background Data'!AJ82+'Background Data'!AJ89)/(AX$10+AX$16+AX$22)</f>
        <v>3.1236147316843585E-2</v>
      </c>
      <c r="AY33" s="31">
        <f>('Background Data'!AK75+'Background Data'!AK82+'Background Data'!AK89)/(AY$10+AY$16+AY$22)</f>
        <v>3.7017125079747387E-2</v>
      </c>
      <c r="AZ33" s="689">
        <f>('Background Data'!AL75+'Background Data'!AL82+'Background Data'!AL89)/(AZ$10+AZ$16+AZ$22)</f>
        <v>2.8936618656401587E-2</v>
      </c>
      <c r="BA33" s="688">
        <f>('Background Data'!AM75+'Background Data'!AM82+'Background Data'!AM89)/(BA$10+BA$16+BA$22)</f>
        <v>3.7345496794905467E-2</v>
      </c>
      <c r="BB33" s="688">
        <f>('Background Data'!AN75+'Background Data'!AN82+'Background Data'!AN89)/(BB$10+BB$16+BB$22)</f>
        <v>3.6514074826259631E-2</v>
      </c>
      <c r="BC33" s="688">
        <f>('Background Data'!AO75+'Background Data'!AO82+'Background Data'!AO89)/(BC$10+BC$16+BC$22)</f>
        <v>4.7079222226809228E-2</v>
      </c>
      <c r="BD33" s="692">
        <f>('Background Data'!AP75+'Background Data'!AP82+'Background Data'!AP89)/(BD$10+BD$16+BD$22)</f>
        <v>3.9399379679106623E-2</v>
      </c>
      <c r="BE33" s="652"/>
      <c r="BG33" s="71" t="s">
        <v>2754</v>
      </c>
      <c r="BH33" s="69">
        <f>'Background Data'!C87/'Background Data'!C134</f>
        <v>0.71092626825707128</v>
      </c>
      <c r="BI33" s="69">
        <f>'Background Data'!D87/'Background Data'!D134</f>
        <v>0.62047247688103646</v>
      </c>
      <c r="BJ33" s="69">
        <f>'Background Data'!E87/'Background Data'!E134</f>
        <v>0.45496305759583194</v>
      </c>
      <c r="BK33" s="69">
        <f>'Background Data'!F87/'Background Data'!F134</f>
        <v>0.46098914570457739</v>
      </c>
      <c r="BL33" s="69">
        <f>'Background Data'!G87/'Background Data'!G134</f>
        <v>0.57398481798365297</v>
      </c>
      <c r="BM33" s="69">
        <f>'Background Data'!H87/'Background Data'!H134</f>
        <v>0.81283196127640045</v>
      </c>
      <c r="BN33" s="69">
        <f>'Background Data'!I87/'Background Data'!I134</f>
        <v>0.55785606734535653</v>
      </c>
      <c r="BO33" s="69">
        <f>'Background Data'!J87/'Background Data'!J134</f>
        <v>0.4307453946689625</v>
      </c>
      <c r="BP33" s="69">
        <f>'Background Data'!K87/'Background Data'!K134</f>
        <v>0.48202397487251047</v>
      </c>
      <c r="BQ33" s="69">
        <f>'Background Data'!L87/'Background Data'!L134</f>
        <v>0.47229093883248296</v>
      </c>
      <c r="BR33" s="69">
        <f>'Background Data'!M87/'Background Data'!M134</f>
        <v>0.5587770948908044</v>
      </c>
      <c r="BS33" s="69">
        <f>'Background Data'!N87/'Background Data'!N134</f>
        <v>0.56987676715478186</v>
      </c>
      <c r="BT33" s="69">
        <f>'Background Data'!O87/'Background Data'!O134</f>
        <v>0.60832112912991732</v>
      </c>
      <c r="BU33" s="69">
        <f>'Background Data'!P87/'Background Data'!P134</f>
        <v>0.61572303142111029</v>
      </c>
      <c r="BV33" s="69">
        <f>'Background Data'!Q87/'Background Data'!Q134</f>
        <v>0.63788316726249328</v>
      </c>
      <c r="BW33" s="69">
        <f>'Background Data'!R87/'Background Data'!R134</f>
        <v>0.64426729380770409</v>
      </c>
      <c r="BX33" s="69">
        <f>'Background Data'!S87/'Background Data'!S134</f>
        <v>0.74695944692323546</v>
      </c>
      <c r="BY33" s="69">
        <f>'Background Data'!T87/'Background Data'!T134</f>
        <v>1.0015380196445067</v>
      </c>
      <c r="BZ33" s="69">
        <f>'Background Data'!U87/'Background Data'!U134</f>
        <v>1.0434580290124831</v>
      </c>
      <c r="CA33" s="339">
        <f>'Background Data'!V87/'Background Data'!V134</f>
        <v>0.95699625858523341</v>
      </c>
      <c r="CB33" s="69">
        <f>'Background Data'!W87/'Background Data'!W134</f>
        <v>0.77473367456660225</v>
      </c>
      <c r="CC33" s="652"/>
      <c r="CF33">
        <v>2018</v>
      </c>
    </row>
    <row r="34" spans="6:84" x14ac:dyDescent="0.25">
      <c r="F34" s="56"/>
      <c r="G34" s="56"/>
      <c r="H34" s="56"/>
      <c r="I34" s="56"/>
      <c r="J34" s="56"/>
      <c r="K34" s="56"/>
      <c r="L34" s="56"/>
      <c r="M34" s="56"/>
      <c r="N34" s="56"/>
      <c r="O34" s="56"/>
      <c r="P34" s="56"/>
      <c r="Q34" s="56"/>
      <c r="R34" s="56"/>
      <c r="S34" s="56"/>
      <c r="T34" s="56"/>
      <c r="U34" s="56"/>
      <c r="V34" s="56"/>
      <c r="W34" s="56"/>
      <c r="X34" s="56"/>
      <c r="Y34" s="56"/>
      <c r="Z34" s="56"/>
      <c r="AG34" s="850"/>
      <c r="AI34" s="850"/>
      <c r="AJ34" s="45" t="s">
        <v>120</v>
      </c>
      <c r="AK34" s="853"/>
      <c r="AL34" s="55">
        <v>0</v>
      </c>
      <c r="AM34" s="55">
        <v>0</v>
      </c>
      <c r="AN34" s="55">
        <v>0</v>
      </c>
      <c r="AO34" s="55">
        <v>0</v>
      </c>
      <c r="AP34" s="55">
        <v>0</v>
      </c>
      <c r="AQ34" s="55">
        <v>0</v>
      </c>
      <c r="AR34" s="30">
        <f>('Background Data'!AD83+'Background Data'!AD90+'Background Data'!AD76)/(AR$10+AR$16+AR$22)</f>
        <v>4.5485006625649298E-5</v>
      </c>
      <c r="AS34" s="31">
        <f>('Background Data'!AE83+'Background Data'!AE90+'Background Data'!AE76)/(AS$10+AS$16+AS$22)</f>
        <v>3.462494884950738E-5</v>
      </c>
      <c r="AT34" s="31">
        <f>('Background Data'!AF83+'Background Data'!AF90+'Background Data'!AF76)/(AT$10+AT$16+AT$22)</f>
        <v>0</v>
      </c>
      <c r="AU34" s="31">
        <f>('Background Data'!AG83+'Background Data'!AG90+'Background Data'!AG76)/(AU$10+AU$16+AU$22)</f>
        <v>3.8827010139026581E-5</v>
      </c>
      <c r="AV34" s="31">
        <f>('Background Data'!AH83+'Background Data'!AH90+'Background Data'!AH76)/(AV$10+AV$16+AV$22)</f>
        <v>1.3200877075222626E-4</v>
      </c>
      <c r="AW34" s="31">
        <f>('Background Data'!AI83+'Background Data'!AI90+'Background Data'!AI76)/(AW$10+AW$16+AW$22)</f>
        <v>1.0693517079978019E-3</v>
      </c>
      <c r="AX34" s="31">
        <f>('Background Data'!AJ83+'Background Data'!AJ90+'Background Data'!AJ76)/(AX$10+AX$16+AX$22)</f>
        <v>1.8807725213844384E-3</v>
      </c>
      <c r="AY34" s="31">
        <f>('Background Data'!AK83+'Background Data'!AK90+'Background Data'!AK76)/(AY$10+AY$16+AY$22)</f>
        <v>1.6182447689297005E-3</v>
      </c>
      <c r="AZ34" s="31">
        <f>('Background Data'!AL83+'Background Data'!AL90+'Background Data'!AL76)/(AZ$10+AZ$16+AZ$22)</f>
        <v>2.204259082614817E-3</v>
      </c>
      <c r="BA34" s="31">
        <f>('Background Data'!AM83+'Background Data'!AM90+'Background Data'!AM76)/(BA$10+BA$16+BA$22)</f>
        <v>7.2800082359689138E-3</v>
      </c>
      <c r="BB34" s="34">
        <f>('Background Data'!AN83+'Background Data'!AN90+'Background Data'!AN76)/(BB$10+BB$16+BB$22)</f>
        <v>1.5536794026100691E-2</v>
      </c>
      <c r="BC34" s="34">
        <f>('Background Data'!AO83+'Background Data'!AO90+'Background Data'!AO76)/(BC$10+BC$16+BC$22)</f>
        <v>4.2141766090079677E-2</v>
      </c>
      <c r="BD34" s="34">
        <f>('Background Data'!AP83+'Background Data'!AP90+'Background Data'!AP76)/(BD$10+BD$16+BD$22)</f>
        <v>4.9676864713909204E-2</v>
      </c>
      <c r="BE34" s="652"/>
      <c r="BG34" s="71" t="s">
        <v>842</v>
      </c>
      <c r="BH34" s="69">
        <f>BH33*'Background Data'!$BD$31</f>
        <v>2.9621927844044636E-2</v>
      </c>
      <c r="BI34" s="69">
        <f>BI33*'Background Data'!$BD$31</f>
        <v>2.5853019870043185E-2</v>
      </c>
      <c r="BJ34" s="69">
        <f>BJ33*'Background Data'!$BD$31</f>
        <v>1.8956794066492998E-2</v>
      </c>
      <c r="BK34" s="69">
        <f>BK33*'Background Data'!$BD$31</f>
        <v>1.9207881071024058E-2</v>
      </c>
      <c r="BL34" s="69">
        <f>BL33*'Background Data'!$BD$31</f>
        <v>2.3916034082652207E-2</v>
      </c>
      <c r="BM34" s="69">
        <f>BM33*'Background Data'!$BD$31</f>
        <v>3.3867998386516683E-2</v>
      </c>
      <c r="BN34" s="69">
        <f>BN33*'Background Data'!$BD$31</f>
        <v>2.324400280605652E-2</v>
      </c>
      <c r="BO34" s="69">
        <f>BO33*'Background Data'!$BD$31</f>
        <v>1.7947724777873438E-2</v>
      </c>
      <c r="BP34" s="69">
        <f>BP33*'Background Data'!$BD$31</f>
        <v>2.0084332286354603E-2</v>
      </c>
      <c r="BQ34" s="69">
        <f>BQ33*'Background Data'!$BD$31</f>
        <v>1.9678789118020124E-2</v>
      </c>
      <c r="BR34" s="69">
        <f>BR33*'Background Data'!$BD$31</f>
        <v>2.3282378953783517E-2</v>
      </c>
      <c r="BS34" s="69">
        <f>BS33*'Background Data'!$BD$31</f>
        <v>2.3744865298115911E-2</v>
      </c>
      <c r="BT34" s="69">
        <f>BT33*'Background Data'!$BD$31</f>
        <v>2.5346713713746555E-2</v>
      </c>
      <c r="BU34" s="69">
        <f>BU33*'Background Data'!$BD$31</f>
        <v>2.5655126309212926E-2</v>
      </c>
      <c r="BV34" s="69">
        <f>BV33*'Background Data'!$BD$31</f>
        <v>2.6578465302603885E-2</v>
      </c>
      <c r="BW34" s="69">
        <f>BW33*'Background Data'!$BD$31</f>
        <v>2.6844470575321001E-2</v>
      </c>
      <c r="BX34" s="69">
        <f>BX33*'Background Data'!$BD$31</f>
        <v>3.1123310288468143E-2</v>
      </c>
      <c r="BY34" s="69">
        <f>BY33*'Background Data'!$BD$31</f>
        <v>4.1730750818521109E-2</v>
      </c>
      <c r="BZ34" s="69">
        <f>BZ33*'Background Data'!$BD$31</f>
        <v>4.3477417875520126E-2</v>
      </c>
      <c r="CA34" s="69">
        <f>CA33*'Background Data'!$BD$31</f>
        <v>3.9874844107718056E-2</v>
      </c>
      <c r="CB34" s="69">
        <f>CB33*'Background Data'!$BD$31</f>
        <v>3.2280569773608422E-2</v>
      </c>
      <c r="CC34" s="652"/>
      <c r="CF34">
        <v>2019</v>
      </c>
    </row>
    <row r="35" spans="6:84" x14ac:dyDescent="0.25">
      <c r="F35" s="56"/>
      <c r="G35" s="56"/>
      <c r="H35" s="56"/>
      <c r="I35" s="56"/>
      <c r="J35" s="56"/>
      <c r="K35" s="56"/>
      <c r="L35" s="56"/>
      <c r="M35" s="56"/>
      <c r="N35" s="56"/>
      <c r="O35" s="56"/>
      <c r="P35" s="56"/>
      <c r="Q35" s="56"/>
      <c r="R35" s="56"/>
      <c r="S35" s="56"/>
      <c r="T35" s="56"/>
      <c r="U35" s="56"/>
      <c r="V35" s="56"/>
      <c r="W35" s="56"/>
      <c r="X35" s="56"/>
      <c r="Y35" s="56"/>
      <c r="Z35" s="56"/>
      <c r="AG35" s="850"/>
      <c r="AI35" s="850"/>
      <c r="AJ35" s="45" t="s">
        <v>121</v>
      </c>
      <c r="AK35" s="853"/>
      <c r="AL35" s="55">
        <v>0</v>
      </c>
      <c r="AM35" s="55">
        <v>0</v>
      </c>
      <c r="AN35" s="55">
        <v>0</v>
      </c>
      <c r="AO35" s="55">
        <v>0</v>
      </c>
      <c r="AP35" s="55">
        <v>0</v>
      </c>
      <c r="AQ35" s="55">
        <v>0</v>
      </c>
      <c r="AR35" s="30">
        <f>('Background Data'!AD77+'Background Data'!AD84+'Background Data'!AD91)/(AR$10+AR$16+AR$22)</f>
        <v>2.9110404240415551E-3</v>
      </c>
      <c r="AS35" s="31">
        <f>('Background Data'!AE77+'Background Data'!AE84+'Background Data'!AE91)/(AS$10+AS$16+AS$22)</f>
        <v>3.0218137177751895E-3</v>
      </c>
      <c r="AT35" s="31">
        <f>('Background Data'!AF77+'Background Data'!AF84+'Background Data'!AF91)/(AT$10+AT$16+AT$22)</f>
        <v>2.1875673733381244E-3</v>
      </c>
      <c r="AU35" s="31">
        <f>('Background Data'!AG77+'Background Data'!AG84+'Background Data'!AG91)/(AU$10+AU$16+AU$22)</f>
        <v>2.3917438245640373E-3</v>
      </c>
      <c r="AV35" s="31">
        <f>('Background Data'!AH77+'Background Data'!AH84+'Background Data'!AH91)/(AV$10+AV$16+AV$22)</f>
        <v>2.0114556763771423E-3</v>
      </c>
      <c r="AW35" s="31">
        <f>('Background Data'!AI77+'Background Data'!AI84+'Background Data'!AI91)/(AW$10+AW$16+AW$22)</f>
        <v>5.7677787133781633E-3</v>
      </c>
      <c r="AX35" s="31">
        <f>('Background Data'!AJ77+'Background Data'!AJ84+'Background Data'!AJ91)/(AX$10+AX$16+AX$22)</f>
        <v>6.6784754614824717E-3</v>
      </c>
      <c r="AY35" s="31">
        <f>('Background Data'!AK77+'Background Data'!AK84+'Background Data'!AK91)/(AY$10+AY$16+AY$22)</f>
        <v>8.1378178247062793E-3</v>
      </c>
      <c r="AZ35" s="31">
        <f>('Background Data'!AL77+'Background Data'!AL84+'Background Data'!AL91)/(AZ$10+AZ$16+AZ$22)</f>
        <v>1.1441477006070608E-2</v>
      </c>
      <c r="BA35" s="31">
        <f>('Background Data'!AM77+'Background Data'!AM84+'Background Data'!AM91)/(BA$10+BA$16+BA$22)</f>
        <v>2.4459987267864382E-2</v>
      </c>
      <c r="BB35" s="34">
        <f>('Background Data'!AN77+'Background Data'!AN84+'Background Data'!AN91)/(BB$10+BB$16+BB$22)</f>
        <v>5.2606757762878258E-2</v>
      </c>
      <c r="BC35" s="34">
        <f>('Background Data'!AO77+'Background Data'!AO84+'Background Data'!AO91)/(BC$10+BC$16+BC$22)</f>
        <v>5.9482723031829256E-2</v>
      </c>
      <c r="BD35" s="34">
        <f>('Background Data'!AP77+'Background Data'!AP84+'Background Data'!AP91)/(BD$10+BD$16+BD$22)</f>
        <v>9.1879515817829729E-2</v>
      </c>
      <c r="BE35" s="770">
        <f>BD35/AZ35 - 1</f>
        <v>7.0303894129298499</v>
      </c>
      <c r="BF35" s="28"/>
      <c r="BG35" s="71" t="s">
        <v>2756</v>
      </c>
      <c r="BH35" s="69"/>
      <c r="BI35" s="262">
        <f t="shared" ref="BI35:CB35" si="10">BI33-(BH33-BH34)</f>
        <v>-6.0831863531990216E-2</v>
      </c>
      <c r="BJ35" s="262">
        <f t="shared" si="10"/>
        <v>-0.13965639941516134</v>
      </c>
      <c r="BK35" s="262">
        <f t="shared" si="10"/>
        <v>2.4982882175238419E-2</v>
      </c>
      <c r="BL35" s="262">
        <f t="shared" si="10"/>
        <v>0.13220355335009965</v>
      </c>
      <c r="BM35" s="262">
        <f t="shared" si="10"/>
        <v>0.26276317737539967</v>
      </c>
      <c r="BN35" s="262">
        <f t="shared" si="10"/>
        <v>-0.22110789554452726</v>
      </c>
      <c r="BO35" s="262">
        <f t="shared" si="10"/>
        <v>-0.10386666987033749</v>
      </c>
      <c r="BP35" s="262">
        <f t="shared" si="10"/>
        <v>6.9226304981421405E-2</v>
      </c>
      <c r="BQ35" s="262">
        <f t="shared" si="10"/>
        <v>1.035129624632708E-2</v>
      </c>
      <c r="BR35" s="262">
        <f t="shared" si="10"/>
        <v>0.10616494517634156</v>
      </c>
      <c r="BS35" s="262">
        <f t="shared" si="10"/>
        <v>3.4382051217760945E-2</v>
      </c>
      <c r="BT35" s="262">
        <f t="shared" si="10"/>
        <v>6.218922727325138E-2</v>
      </c>
      <c r="BU35" s="262">
        <f t="shared" si="10"/>
        <v>3.2748616004939501E-2</v>
      </c>
      <c r="BV35" s="262">
        <f t="shared" si="10"/>
        <v>4.781526215059595E-2</v>
      </c>
      <c r="BW35" s="262">
        <f t="shared" si="10"/>
        <v>3.2962591847814693E-2</v>
      </c>
      <c r="BX35" s="262">
        <f t="shared" si="10"/>
        <v>0.12953662369085239</v>
      </c>
      <c r="BY35" s="262">
        <f t="shared" si="10"/>
        <v>0.28570188300973942</v>
      </c>
      <c r="BZ35" s="262">
        <f t="shared" si="10"/>
        <v>8.3650760186497419E-2</v>
      </c>
      <c r="CA35" s="262">
        <f t="shared" si="10"/>
        <v>-4.2984352551729499E-2</v>
      </c>
      <c r="CB35" s="262">
        <f t="shared" si="10"/>
        <v>-0.14238773991091314</v>
      </c>
      <c r="CC35" s="727">
        <f>SUMIF(BI35:CB35, "&gt;0", BI35:CB35)/CA33</f>
        <v>1.3737558145000728</v>
      </c>
      <c r="CF35">
        <v>2020</v>
      </c>
    </row>
    <row r="36" spans="6:84" x14ac:dyDescent="0.25">
      <c r="F36" s="56"/>
      <c r="G36" s="56"/>
      <c r="H36" s="56"/>
      <c r="I36" s="56"/>
      <c r="J36" s="56"/>
      <c r="K36" s="56"/>
      <c r="L36" s="56"/>
      <c r="M36" s="56"/>
      <c r="N36" s="56"/>
      <c r="O36" s="56"/>
      <c r="P36" s="56"/>
      <c r="Q36" s="56"/>
      <c r="R36" s="56"/>
      <c r="S36" s="56"/>
      <c r="T36" s="56"/>
      <c r="U36" s="56"/>
      <c r="V36" s="56"/>
      <c r="W36" s="56"/>
      <c r="X36" s="56"/>
      <c r="Y36" s="56"/>
      <c r="Z36" s="56"/>
      <c r="AG36" s="850"/>
      <c r="AI36" s="850"/>
      <c r="AJ36" s="45" t="s">
        <v>122</v>
      </c>
      <c r="AK36" s="853"/>
      <c r="AL36" s="55">
        <v>0</v>
      </c>
      <c r="AM36" s="55">
        <v>0</v>
      </c>
      <c r="AN36" s="55">
        <v>0</v>
      </c>
      <c r="AO36" s="55">
        <v>0</v>
      </c>
      <c r="AP36" s="55">
        <v>0</v>
      </c>
      <c r="AQ36" s="292">
        <v>0</v>
      </c>
      <c r="AR36" s="31">
        <f>('Background Data'!AD85+'Background Data'!AD92)/(AR$10+AR$16+AR$22)</f>
        <v>0</v>
      </c>
      <c r="AS36" s="31">
        <f>('Background Data'!AE85+'Background Data'!AE92)/(AS$10+AS$16+AS$22)</f>
        <v>0</v>
      </c>
      <c r="AT36" s="31">
        <f>('Background Data'!AF85+'Background Data'!AF92)/(AT$10+AT$16+AT$22)</f>
        <v>0</v>
      </c>
      <c r="AU36" s="31">
        <f>('Background Data'!AG85+'Background Data'!AG92)/(AU$10+AU$16+AU$22)</f>
        <v>3.3650075453823038E-5</v>
      </c>
      <c r="AV36" s="31">
        <f>('Background Data'!AH85+'Background Data'!AH92)/(AV$10+AV$16+AV$22)</f>
        <v>2.2374367924106144E-4</v>
      </c>
      <c r="AW36" s="31">
        <f>('Background Data'!AI85+'Background Data'!AI92)/(AW$10+AW$16+AW$22)</f>
        <v>9.8633364563937751E-4</v>
      </c>
      <c r="AX36" s="31">
        <f>('Background Data'!AJ85+'Background Data'!AJ92)/(AX$10+AX$16+AX$22)</f>
        <v>1.7476043409178389E-3</v>
      </c>
      <c r="AY36" s="31">
        <f>('Background Data'!AK85+'Background Data'!AK92)/(AY$10+AY$16+AY$22)</f>
        <v>5.4246145244188299E-3</v>
      </c>
      <c r="AZ36" s="31">
        <f>('Background Data'!AL85+'Background Data'!AL92)/(AZ$10+AZ$16+AZ$22)</f>
        <v>2.2652531848239895E-3</v>
      </c>
      <c r="BA36" s="31">
        <f>('Background Data'!AM85+'Background Data'!AM92)/(BA$10+BA$16+BA$22)</f>
        <v>2.8384678576606065E-3</v>
      </c>
      <c r="BB36" s="34">
        <f>('Background Data'!AN85+'Background Data'!AN92)/(BB$10+BB$16+BB$22)</f>
        <v>7.9249289084308474E-3</v>
      </c>
      <c r="BC36" s="34">
        <f>('Background Data'!AO85+'Background Data'!AO92)/(BC$10+BC$16+BC$22)</f>
        <v>1.0483837674937043E-2</v>
      </c>
      <c r="BD36" s="34">
        <f>('Background Data'!AP85+'Background Data'!AP92)/(BD$10+BD$16+BD$22)</f>
        <v>1.8835583188138702E-2</v>
      </c>
      <c r="BE36" s="652"/>
      <c r="BG36" s="26" t="s">
        <v>849</v>
      </c>
      <c r="BH36" s="69"/>
      <c r="BI36" s="69"/>
      <c r="BJ36" s="69"/>
      <c r="BK36" s="69"/>
      <c r="BL36" s="69"/>
      <c r="BM36" s="69"/>
      <c r="BN36" s="69"/>
      <c r="BO36" s="69"/>
      <c r="BP36" s="69"/>
      <c r="BQ36" s="69"/>
      <c r="BR36" s="69"/>
      <c r="BS36" s="69"/>
      <c r="BT36" s="69"/>
      <c r="BU36" s="69"/>
      <c r="BV36" s="69"/>
      <c r="BW36" s="69"/>
      <c r="BX36" s="69"/>
      <c r="BY36" s="69"/>
      <c r="BZ36" s="69"/>
      <c r="CA36" s="69"/>
      <c r="CB36" s="69"/>
      <c r="CC36" s="652"/>
      <c r="CF36">
        <v>2021</v>
      </c>
    </row>
    <row r="37" spans="6:84" x14ac:dyDescent="0.25">
      <c r="J37" s="56"/>
      <c r="K37" s="56"/>
      <c r="L37" s="56"/>
      <c r="M37" s="56"/>
      <c r="N37" s="56"/>
      <c r="O37" s="56"/>
      <c r="P37" s="56"/>
      <c r="Q37" s="56"/>
      <c r="R37" s="56"/>
      <c r="S37" s="56"/>
      <c r="T37" s="56"/>
      <c r="U37" s="56"/>
      <c r="V37" s="56"/>
      <c r="W37" s="56"/>
      <c r="X37" s="56"/>
      <c r="Y37" s="56"/>
      <c r="Z37" s="56"/>
      <c r="AG37" s="850"/>
      <c r="AI37" s="850"/>
      <c r="AJ37" s="26" t="s">
        <v>179</v>
      </c>
      <c r="AK37" s="853"/>
      <c r="AQ37" s="49"/>
      <c r="AR37" s="44">
        <f t="shared" ref="AR37:BD37" si="11">AR10+AR22</f>
        <v>132374</v>
      </c>
      <c r="AS37" s="44">
        <f t="shared" si="11"/>
        <v>118247</v>
      </c>
      <c r="AT37" s="44">
        <f t="shared" si="11"/>
        <v>132230</v>
      </c>
      <c r="AU37" s="44">
        <f t="shared" si="11"/>
        <v>142485</v>
      </c>
      <c r="AV37" s="44">
        <f t="shared" si="11"/>
        <v>162797</v>
      </c>
      <c r="AW37" s="44">
        <f t="shared" si="11"/>
        <v>187127</v>
      </c>
      <c r="AX37" s="44">
        <f t="shared" si="11"/>
        <v>202914</v>
      </c>
      <c r="AY37" s="44">
        <f t="shared" si="11"/>
        <v>189789</v>
      </c>
      <c r="AZ37" s="44">
        <f t="shared" si="11"/>
        <v>194260</v>
      </c>
      <c r="BA37" s="44">
        <f t="shared" si="11"/>
        <v>162992</v>
      </c>
      <c r="BB37" s="44">
        <f t="shared" si="11"/>
        <v>145883</v>
      </c>
      <c r="BC37" s="44">
        <f t="shared" si="11"/>
        <v>142974</v>
      </c>
      <c r="BD37" s="44">
        <f t="shared" si="11"/>
        <v>154380</v>
      </c>
      <c r="BE37" s="652"/>
      <c r="BG37" s="71" t="s">
        <v>2754</v>
      </c>
      <c r="BH37" s="69">
        <f>'Background Data'!C88/'Background Data'!C135</f>
        <v>0.39191098901213345</v>
      </c>
      <c r="BI37" s="69">
        <f>'Background Data'!D88/'Background Data'!D135</f>
        <v>0.3754343501743696</v>
      </c>
      <c r="BJ37" s="69">
        <f>'Background Data'!E88/'Background Data'!E135</f>
        <v>0.39191487237705214</v>
      </c>
      <c r="BK37" s="69">
        <f>'Background Data'!F88/'Background Data'!F135</f>
        <v>0.30574407810138604</v>
      </c>
      <c r="BL37" s="69">
        <f>'Background Data'!G88/'Background Data'!G135</f>
        <v>0.33238693682188508</v>
      </c>
      <c r="BM37" s="69">
        <f>'Background Data'!H88/'Background Data'!H135</f>
        <v>0.34874055289988154</v>
      </c>
      <c r="BN37" s="69">
        <f>'Background Data'!I88/'Background Data'!I135</f>
        <v>0.30994270871969204</v>
      </c>
      <c r="BO37" s="69">
        <f>'Background Data'!J88/'Background Data'!J135</f>
        <v>0.30205212647888752</v>
      </c>
      <c r="BP37" s="69">
        <f>'Background Data'!K88/'Background Data'!K135</f>
        <v>0.30966827872896779</v>
      </c>
      <c r="BQ37" s="69">
        <f>'Background Data'!L88/'Background Data'!L135</f>
        <v>0.24407990325056575</v>
      </c>
      <c r="BR37" s="69">
        <f>'Background Data'!M88/'Background Data'!M135</f>
        <v>0.26952566372887671</v>
      </c>
      <c r="BS37" s="69">
        <f>'Background Data'!N88/'Background Data'!N135</f>
        <v>0.25215860320532502</v>
      </c>
      <c r="BT37" s="69">
        <f>'Background Data'!O88/'Background Data'!O135</f>
        <v>0.22607572260110409</v>
      </c>
      <c r="BU37" s="69">
        <f>'Background Data'!P88/'Background Data'!P135</f>
        <v>0.24716426762602281</v>
      </c>
      <c r="BV37" s="69">
        <f>'Background Data'!Q88/'Background Data'!Q135</f>
        <v>0.25165773418569432</v>
      </c>
      <c r="BW37" s="69">
        <f>'Background Data'!R88/'Background Data'!R135</f>
        <v>0.27207677976292094</v>
      </c>
      <c r="BX37" s="69">
        <f>'Background Data'!S88/'Background Data'!S135</f>
        <v>0.31326680331238133</v>
      </c>
      <c r="BY37" s="69">
        <f>'Background Data'!T88/'Background Data'!T135</f>
        <v>0.29585970966803438</v>
      </c>
      <c r="BZ37" s="69">
        <f>'Background Data'!U88/'Background Data'!U135</f>
        <v>0.30805474288594503</v>
      </c>
      <c r="CA37" s="339">
        <f>'Background Data'!V88/'Background Data'!V135</f>
        <v>0.34979699335600883</v>
      </c>
      <c r="CB37" s="69">
        <f>'Background Data'!W88/'Background Data'!W135</f>
        <v>4.9202172217006387E-2</v>
      </c>
      <c r="CC37" s="652"/>
    </row>
    <row r="38" spans="6:84" x14ac:dyDescent="0.25">
      <c r="J38" s="56"/>
      <c r="K38" s="56"/>
      <c r="L38" s="56"/>
      <c r="M38" s="56"/>
      <c r="N38" s="56"/>
      <c r="O38" s="56"/>
      <c r="P38" s="56"/>
      <c r="Q38" s="56"/>
      <c r="R38" s="56"/>
      <c r="S38" s="56"/>
      <c r="T38" s="56"/>
      <c r="U38" s="56"/>
      <c r="V38" s="56"/>
      <c r="W38" s="56"/>
      <c r="X38" s="56"/>
      <c r="Y38" s="56"/>
      <c r="Z38" s="56"/>
      <c r="AG38" s="850"/>
      <c r="AI38" s="850"/>
      <c r="AJ38" s="45" t="s">
        <v>97</v>
      </c>
      <c r="AK38" s="853"/>
      <c r="AL38" s="769">
        <v>0.95</v>
      </c>
      <c r="AM38" s="769">
        <v>0.95</v>
      </c>
      <c r="AN38" s="769">
        <v>0.95</v>
      </c>
      <c r="AO38" s="769">
        <v>0.95</v>
      </c>
      <c r="AP38" s="769">
        <v>0.95</v>
      </c>
      <c r="AQ38" s="293">
        <v>0.95</v>
      </c>
      <c r="AR38" s="55">
        <f>('Background Data'!AD74+'Background Data'!AD88)/(AR$10+AR$22)</f>
        <v>0.9487890371220935</v>
      </c>
      <c r="AS38" s="55">
        <f>('Background Data'!AE74+'Background Data'!AE88)/(AS$10+AS$22)</f>
        <v>0.9466455808604024</v>
      </c>
      <c r="AT38" s="55">
        <f>('Background Data'!AF74+'Background Data'!AF88)/(AT$10+AT$22)</f>
        <v>0.94867276714815096</v>
      </c>
      <c r="AU38" s="55">
        <f>('Background Data'!AG74+'Background Data'!AG88)/(AU$10+AU$22)</f>
        <v>0.92750815875355297</v>
      </c>
      <c r="AV38" s="55">
        <f>('Background Data'!AH74+'Background Data'!AH88)/(AV$10+AV$22)</f>
        <v>0.91662622775603975</v>
      </c>
      <c r="AW38" s="55">
        <f>('Background Data'!AI74+'Background Data'!AI88)/(AW$10+AW$22)</f>
        <v>0.91001298583315071</v>
      </c>
      <c r="AX38" s="55">
        <f>('Background Data'!AJ74+'Background Data'!AJ88)/(AX$10+AX$22)</f>
        <v>0.9230856421932444</v>
      </c>
      <c r="AY38" s="55">
        <f>('Background Data'!AK74+'Background Data'!AK88)/(AY$10+AY$22)</f>
        <v>0.90097950882295597</v>
      </c>
      <c r="AZ38" s="686">
        <f>('Background Data'!AL74+'Background Data'!AL88)/(AZ$10+AZ$22)</f>
        <v>0.91773396478945746</v>
      </c>
      <c r="BA38" s="687">
        <f>('Background Data'!AM74+'Background Data'!AM88)/(BA$10+BA$22)</f>
        <v>0.89400093256110724</v>
      </c>
      <c r="BB38" s="687">
        <f>('Background Data'!AN74+'Background Data'!AN88)/(BB$10+BB$22)</f>
        <v>0.82998018960399778</v>
      </c>
      <c r="BC38" s="687">
        <f>('Background Data'!AO74+'Background Data'!AO88)/(BC$10+BC$22)</f>
        <v>0.78705918558619048</v>
      </c>
      <c r="BD38" s="691">
        <f>('Background Data'!AP74+'Background Data'!AP88)/(BD$10+BD$22)</f>
        <v>0.80608887161549425</v>
      </c>
      <c r="BE38" s="770">
        <f>1 - SUM(BD38:BD39)/SUM(AZ38:AZ39)</f>
        <v>6.0651128692702505E-2</v>
      </c>
      <c r="BG38" s="71" t="s">
        <v>842</v>
      </c>
      <c r="BH38" s="69">
        <f>BH37*'Background Data'!$BD$32</f>
        <v>1.3063699633737781E-2</v>
      </c>
      <c r="BI38" s="69">
        <f>BI37*'Background Data'!$BD$32</f>
        <v>1.2514478339145653E-2</v>
      </c>
      <c r="BJ38" s="69">
        <f>BJ37*'Background Data'!$BD$32</f>
        <v>1.3063829079235071E-2</v>
      </c>
      <c r="BK38" s="69">
        <f>BK37*'Background Data'!$BD$32</f>
        <v>1.0191469270046201E-2</v>
      </c>
      <c r="BL38" s="69">
        <f>BL37*'Background Data'!$BD$32</f>
        <v>1.1079564560729503E-2</v>
      </c>
      <c r="BM38" s="69">
        <f>BM37*'Background Data'!$BD$32</f>
        <v>1.1624685096662719E-2</v>
      </c>
      <c r="BN38" s="69">
        <f>BN37*'Background Data'!$BD$32</f>
        <v>1.0331423623989734E-2</v>
      </c>
      <c r="BO38" s="69">
        <f>BO37*'Background Data'!$BD$32</f>
        <v>1.0068404215962917E-2</v>
      </c>
      <c r="BP38" s="69">
        <f>BP37*'Background Data'!$BD$32</f>
        <v>1.032227595763226E-2</v>
      </c>
      <c r="BQ38" s="69">
        <f>BQ37*'Background Data'!$BD$32</f>
        <v>8.1359967750188576E-3</v>
      </c>
      <c r="BR38" s="69">
        <f>BR37*'Background Data'!$BD$32</f>
        <v>8.9841887909625565E-3</v>
      </c>
      <c r="BS38" s="69">
        <f>BS37*'Background Data'!$BD$32</f>
        <v>8.4052867735108332E-3</v>
      </c>
      <c r="BT38" s="69">
        <f>BT37*'Background Data'!$BD$32</f>
        <v>7.5358574200368031E-3</v>
      </c>
      <c r="BU38" s="69">
        <f>BU37*'Background Data'!$BD$32</f>
        <v>8.2388089208674277E-3</v>
      </c>
      <c r="BV38" s="69">
        <f>BV37*'Background Data'!$BD$32</f>
        <v>8.3885911395231438E-3</v>
      </c>
      <c r="BW38" s="69">
        <f>BW37*'Background Data'!$BD$32</f>
        <v>9.0692259920973645E-3</v>
      </c>
      <c r="BX38" s="69">
        <f>BX37*'Background Data'!$BD$32</f>
        <v>1.0442226777079377E-2</v>
      </c>
      <c r="BY38" s="69">
        <f>BY37*'Background Data'!$BD$32</f>
        <v>9.8619903222678124E-3</v>
      </c>
      <c r="BZ38" s="69">
        <f>BZ37*'Background Data'!$BD$32</f>
        <v>1.0268491429531502E-2</v>
      </c>
      <c r="CA38" s="69">
        <f>CA37*'Background Data'!$BD$32</f>
        <v>1.1659899778533628E-2</v>
      </c>
      <c r="CB38" s="69">
        <f>CB37*'Background Data'!$BD$32</f>
        <v>1.6400724072335462E-3</v>
      </c>
      <c r="CC38" s="652"/>
    </row>
    <row r="39" spans="6:84" ht="15.75" thickBot="1" x14ac:dyDescent="0.3">
      <c r="J39" s="56"/>
      <c r="K39" s="56"/>
      <c r="L39" s="56"/>
      <c r="M39" s="56"/>
      <c r="N39" s="56"/>
      <c r="O39" s="56"/>
      <c r="P39" s="56"/>
      <c r="Q39" s="56"/>
      <c r="R39" s="56"/>
      <c r="S39" s="56"/>
      <c r="T39" s="56"/>
      <c r="U39" s="56"/>
      <c r="V39" s="56"/>
      <c r="W39" s="56"/>
      <c r="X39" s="56"/>
      <c r="Y39" s="56"/>
      <c r="Z39" s="56"/>
      <c r="AG39" s="850"/>
      <c r="AI39" s="850"/>
      <c r="AJ39" s="45" t="s">
        <v>96</v>
      </c>
      <c r="AK39" s="853"/>
      <c r="AL39" s="769">
        <v>0.04</v>
      </c>
      <c r="AM39" s="769">
        <v>0.04</v>
      </c>
      <c r="AN39" s="769">
        <v>0.04</v>
      </c>
      <c r="AO39" s="769">
        <v>0.04</v>
      </c>
      <c r="AP39" s="769">
        <v>0.04</v>
      </c>
      <c r="AQ39" s="293">
        <v>0.04</v>
      </c>
      <c r="AR39" s="55">
        <f>('Background Data'!AD75+'Background Data'!AD89)/(AR$10+AR$22)</f>
        <v>5.0591505884841431E-2</v>
      </c>
      <c r="AS39" s="55">
        <f>('Background Data'!AE75+'Background Data'!AE89)/(AS$10+AS$22)</f>
        <v>5.2762437947685779E-2</v>
      </c>
      <c r="AT39" s="55">
        <f>('Background Data'!AF75+'Background Data'!AF89)/(AT$10+AT$22)</f>
        <v>5.1259169628677305E-2</v>
      </c>
      <c r="AU39" s="55">
        <f>('Background Data'!AG75+'Background Data'!AG89)/(AU$10+AU$22)</f>
        <v>7.248482296382075E-2</v>
      </c>
      <c r="AV39" s="55">
        <f>('Background Data'!AH75+'Background Data'!AH89)/(AV$10+AV$22)</f>
        <v>8.3373772243960267E-2</v>
      </c>
      <c r="AW39" s="55">
        <f>('Background Data'!AI75+'Background Data'!AI89)/(AW$10+AW$22)</f>
        <v>8.9981670202589681E-2</v>
      </c>
      <c r="AX39" s="55">
        <f>('Background Data'!AJ75+'Background Data'!AJ89)/(AX$10+AX$22)</f>
        <v>7.4341839399942836E-2</v>
      </c>
      <c r="AY39" s="55">
        <f>('Background Data'!AK75+'Background Data'!AK89)/(AY$10+AY$22)</f>
        <v>9.4410108067380094E-2</v>
      </c>
      <c r="AZ39" s="689">
        <f>('Background Data'!AL75+'Background Data'!AL89)/(AZ$10+AZ$22)</f>
        <v>8.1792443117471428E-2</v>
      </c>
      <c r="BA39" s="688">
        <f>('Background Data'!AM75+'Background Data'!AM89)/(BA$10+BA$22)</f>
        <v>0.10510945322469814</v>
      </c>
      <c r="BB39" s="688">
        <f>('Background Data'!AN75+'Background Data'!AN89)/(BB$10+BB$22)</f>
        <v>0.11766278456022977</v>
      </c>
      <c r="BC39" s="688">
        <f>('Background Data'!AO75+'Background Data'!AO89)/(BC$10+BC$22)</f>
        <v>0.15058681998125534</v>
      </c>
      <c r="BD39" s="692">
        <f>('Background Data'!AP75+'Background Data'!AP89)/(BD$10+BD$22)</f>
        <v>0.13281513149371679</v>
      </c>
      <c r="BE39" s="693"/>
      <c r="BG39" s="71" t="s">
        <v>2756</v>
      </c>
      <c r="BH39" s="69"/>
      <c r="BI39" s="262">
        <f t="shared" ref="BI39:CB39" si="12">BI37-(BH37-BH38)</f>
        <v>-3.4129392040260775E-3</v>
      </c>
      <c r="BJ39" s="262">
        <f t="shared" si="12"/>
        <v>2.8995000541828186E-2</v>
      </c>
      <c r="BK39" s="262">
        <f t="shared" si="12"/>
        <v>-7.3106965196431006E-2</v>
      </c>
      <c r="BL39" s="262">
        <f t="shared" si="12"/>
        <v>3.6834327990545257E-2</v>
      </c>
      <c r="BM39" s="262">
        <f t="shared" si="12"/>
        <v>2.7433180638725962E-2</v>
      </c>
      <c r="BN39" s="262">
        <f t="shared" si="12"/>
        <v>-2.7173159083526799E-2</v>
      </c>
      <c r="BO39" s="262">
        <f t="shared" si="12"/>
        <v>2.4408413831852327E-3</v>
      </c>
      <c r="BP39" s="262">
        <f t="shared" si="12"/>
        <v>1.7684556466043222E-2</v>
      </c>
      <c r="BQ39" s="262">
        <f t="shared" si="12"/>
        <v>-5.5266099520769801E-2</v>
      </c>
      <c r="BR39" s="262">
        <f t="shared" si="12"/>
        <v>3.3581757253329819E-2</v>
      </c>
      <c r="BS39" s="262">
        <f t="shared" si="12"/>
        <v>-8.3828717325891144E-3</v>
      </c>
      <c r="BT39" s="262">
        <f t="shared" si="12"/>
        <v>-1.7677593830710103E-2</v>
      </c>
      <c r="BU39" s="262">
        <f t="shared" si="12"/>
        <v>2.862440244495551E-2</v>
      </c>
      <c r="BV39" s="262">
        <f t="shared" si="12"/>
        <v>1.2732275480538929E-2</v>
      </c>
      <c r="BW39" s="262">
        <f t="shared" si="12"/>
        <v>2.8807636716749768E-2</v>
      </c>
      <c r="BX39" s="262">
        <f t="shared" si="12"/>
        <v>5.0259249541557749E-2</v>
      </c>
      <c r="BY39" s="262">
        <f t="shared" si="12"/>
        <v>-6.9648668672675496E-3</v>
      </c>
      <c r="BZ39" s="262">
        <f t="shared" si="12"/>
        <v>2.2057023540178466E-2</v>
      </c>
      <c r="CA39" s="262">
        <f t="shared" si="12"/>
        <v>5.2010741899595314E-2</v>
      </c>
      <c r="CB39" s="262">
        <f t="shared" si="12"/>
        <v>-0.28893492136046883</v>
      </c>
      <c r="CC39" s="727">
        <f>SUMIF(BI39:CB39, "&gt;0", BI39:CB39)/CA37</f>
        <v>0.97616903627787499</v>
      </c>
    </row>
    <row r="40" spans="6:84" x14ac:dyDescent="0.25">
      <c r="Z40"/>
      <c r="AG40" s="850"/>
      <c r="AI40" s="850"/>
      <c r="AJ40" s="15" t="s">
        <v>120</v>
      </c>
      <c r="AK40" s="853"/>
      <c r="AL40" s="660">
        <v>0</v>
      </c>
      <c r="AM40" s="660">
        <v>0</v>
      </c>
      <c r="AN40" s="660">
        <v>0</v>
      </c>
      <c r="AO40" s="660">
        <v>0</v>
      </c>
      <c r="AP40" s="660">
        <v>0</v>
      </c>
      <c r="AQ40" s="661">
        <v>0</v>
      </c>
      <c r="AR40" s="660">
        <f>('Background Data'!AD76+'Background Data'!AD90)/(AR$10+AR$22)</f>
        <v>1.1331530360947013E-4</v>
      </c>
      <c r="AS40" s="660">
        <f>('Background Data'!AE76+'Background Data'!AE90)/(AS$10+AS$22)</f>
        <v>9.3025615871861442E-5</v>
      </c>
      <c r="AT40" s="660">
        <f>('Background Data'!AF76+'Background Data'!AF90)/(AT$10+AT$22)</f>
        <v>0</v>
      </c>
      <c r="AU40" s="660">
        <f>('Background Data'!AG76+'Background Data'!AG90)/(AU$10+AU$22)</f>
        <v>0</v>
      </c>
      <c r="AV40" s="660">
        <f>('Background Data'!AH76+'Background Data'!AH90)/(AV$10+AV$22)</f>
        <v>0</v>
      </c>
      <c r="AW40" s="660">
        <f>('Background Data'!AI76+'Background Data'!AI90)/(AW$10+AW$22)</f>
        <v>0</v>
      </c>
      <c r="AX40" s="660">
        <f>('Background Data'!AJ76+'Background Data'!AJ90)/(AX$10+AX$22)</f>
        <v>0</v>
      </c>
      <c r="AY40" s="660">
        <f>('Background Data'!AK76+'Background Data'!AK90)/(AY$10+AY$22)</f>
        <v>0</v>
      </c>
      <c r="AZ40" s="660">
        <f>('Background Data'!AL76+'Background Data'!AL90)/(AZ$10+AZ$22)</f>
        <v>0</v>
      </c>
      <c r="BA40" s="660">
        <f>('Background Data'!AM76+'Background Data'!AM90)/(BA$10+BA$22)</f>
        <v>0</v>
      </c>
      <c r="BB40" s="660">
        <f>('Background Data'!AN76+'Background Data'!AN90)/(BB$10+BB$22)</f>
        <v>0</v>
      </c>
      <c r="BC40" s="660">
        <f>('Background Data'!AO76+'Background Data'!AO90)/(BC$10+BC$22)</f>
        <v>7.3369983353616742E-3</v>
      </c>
      <c r="BD40" s="660">
        <f>('Background Data'!AP76+'Background Data'!AP90)/(BD$10+BD$22)</f>
        <v>1.5001943256898562E-2</v>
      </c>
      <c r="BG40" s="26" t="s">
        <v>850</v>
      </c>
      <c r="BH40" s="69"/>
      <c r="BI40" s="69"/>
      <c r="BJ40" s="69"/>
      <c r="BK40" s="69"/>
      <c r="BL40" s="69"/>
      <c r="BM40" s="69"/>
      <c r="BN40" s="69"/>
      <c r="BO40" s="69"/>
      <c r="BP40" s="69"/>
      <c r="BQ40" s="69"/>
      <c r="BR40" s="69"/>
      <c r="BS40" s="69"/>
      <c r="BT40" s="69"/>
      <c r="BU40" s="69"/>
      <c r="BV40" s="69"/>
      <c r="BW40" s="69"/>
      <c r="BX40" s="69"/>
      <c r="BY40" s="69"/>
      <c r="BZ40" s="69"/>
      <c r="CA40" s="69"/>
      <c r="CB40" s="69"/>
      <c r="CC40" s="652"/>
    </row>
    <row r="41" spans="6:84" x14ac:dyDescent="0.25">
      <c r="Y41" s="56"/>
      <c r="Z41"/>
      <c r="AG41" s="850"/>
      <c r="AI41" s="850"/>
      <c r="AJ41" s="45" t="s">
        <v>121</v>
      </c>
      <c r="AK41" s="853"/>
      <c r="AL41" s="55">
        <v>0</v>
      </c>
      <c r="AM41" s="55">
        <v>0</v>
      </c>
      <c r="AN41" s="55">
        <v>0</v>
      </c>
      <c r="AO41" s="55">
        <v>0</v>
      </c>
      <c r="AP41" s="55">
        <v>0</v>
      </c>
      <c r="AQ41" s="292">
        <v>0</v>
      </c>
      <c r="AR41" s="55">
        <f>('Background Data'!AD77+'Background Data'!AD91)/(AR$10+AR$22)</f>
        <v>5.0614168945563331E-4</v>
      </c>
      <c r="AS41" s="55">
        <f>('Background Data'!AE77+'Background Data'!AE91)/(AS$10+AS$22)</f>
        <v>4.9895557603998409E-4</v>
      </c>
      <c r="AT41" s="55">
        <f>('Background Data'!AF77+'Background Data'!AF91)/(AT$10+AT$22)</f>
        <v>6.8063223171746195E-5</v>
      </c>
      <c r="AU41" s="55">
        <f>('Background Data'!AG77+'Background Data'!AG91)/(AU$10+AU$22)</f>
        <v>7.0182826262413592E-6</v>
      </c>
      <c r="AV41" s="55">
        <f>('Background Data'!AH77+'Background Data'!AH91)/(AV$10+AV$22)</f>
        <v>0</v>
      </c>
      <c r="AW41" s="55">
        <f>('Background Data'!AI77+'Background Data'!AI91)/(AW$10+AW$22)</f>
        <v>0</v>
      </c>
      <c r="AX41" s="55">
        <f>('Background Data'!AJ77+'Background Data'!AJ91)/(AX$10+AX$22)</f>
        <v>0</v>
      </c>
      <c r="AY41" s="55">
        <f>('Background Data'!AK77+'Background Data'!AK91)/(AY$10+AY$22)</f>
        <v>0</v>
      </c>
      <c r="AZ41" s="55">
        <f>('Background Data'!AL77+'Background Data'!AL91)/(AZ$10+AZ$22)</f>
        <v>0</v>
      </c>
      <c r="BA41" s="55">
        <f>('Background Data'!AM77+'Background Data'!AM91)/(BA$10+BA$22)</f>
        <v>6.1352704427211147E-5</v>
      </c>
      <c r="BB41" s="54">
        <f>('Background Data'!AN77+'Background Data'!AN91)/(BB$10+BB$22)</f>
        <v>5.0430824701987211E-2</v>
      </c>
      <c r="BC41" s="54">
        <f>('Background Data'!AO77+'Background Data'!AO91)/(BC$10+BC$22)</f>
        <v>5.1386965462251875E-2</v>
      </c>
      <c r="BD41" s="54">
        <f>('Background Data'!AP77+'Background Data'!AP91)/(BD$10+BD$22)</f>
        <v>4.2077989376862288E-2</v>
      </c>
      <c r="BE41" s="633"/>
      <c r="BG41" s="71" t="s">
        <v>2754</v>
      </c>
      <c r="BH41" s="69">
        <f>'Background Data'!C89/'Background Data'!C136</f>
        <v>81.623992972570861</v>
      </c>
      <c r="BI41" s="69">
        <f>'Background Data'!D89/'Background Data'!D136</f>
        <v>78.132624794844077</v>
      </c>
      <c r="BJ41" s="69">
        <f>'Background Data'!E89/'Background Data'!E136</f>
        <v>77.994610843191111</v>
      </c>
      <c r="BK41" s="69">
        <f>'Background Data'!F89/'Background Data'!F136</f>
        <v>67.874005872734585</v>
      </c>
      <c r="BL41" s="69">
        <f>'Background Data'!G89/'Background Data'!G136</f>
        <v>79.282881376179674</v>
      </c>
      <c r="BM41" s="69">
        <f>'Background Data'!H89/'Background Data'!H136</f>
        <v>83.063369797397897</v>
      </c>
      <c r="BN41" s="69">
        <f>'Background Data'!I89/'Background Data'!I136</f>
        <v>75.318126380327655</v>
      </c>
      <c r="BO41" s="69">
        <f>'Background Data'!J89/'Background Data'!J136</f>
        <v>74.594366097953326</v>
      </c>
      <c r="BP41" s="69">
        <f>'Background Data'!K89/'Background Data'!K136</f>
        <v>66.897143179089184</v>
      </c>
      <c r="BQ41" s="69">
        <f>'Background Data'!L89/'Background Data'!L136</f>
        <v>51.779170129321031</v>
      </c>
      <c r="BR41" s="69">
        <f>'Background Data'!M89/'Background Data'!M136</f>
        <v>65.530856979414665</v>
      </c>
      <c r="BS41" s="69">
        <f>'Background Data'!N89/'Background Data'!N136</f>
        <v>63.218099171327061</v>
      </c>
      <c r="BT41" s="69">
        <f>'Background Data'!O89/'Background Data'!O136</f>
        <v>61.064829093031605</v>
      </c>
      <c r="BU41" s="69">
        <f>'Background Data'!P89/'Background Data'!P136</f>
        <v>69.896795534070563</v>
      </c>
      <c r="BV41" s="69">
        <f>'Background Data'!Q89/'Background Data'!Q136</f>
        <v>78.776961964371708</v>
      </c>
      <c r="BW41" s="69">
        <f>'Background Data'!R89/'Background Data'!R136</f>
        <v>83.034741413343852</v>
      </c>
      <c r="BX41" s="69">
        <f>'Background Data'!S89/'Background Data'!S136</f>
        <v>88.072442593810109</v>
      </c>
      <c r="BY41" s="69">
        <f>'Background Data'!T89/'Background Data'!T136</f>
        <v>81.998611553694175</v>
      </c>
      <c r="BZ41" s="69">
        <f>'Background Data'!U89/'Background Data'!U136</f>
        <v>90.293623536616963</v>
      </c>
      <c r="CA41" s="339">
        <f>'Background Data'!V89/'Background Data'!V136</f>
        <v>91.284586078447077</v>
      </c>
      <c r="CB41" s="69">
        <f>'Background Data'!W89/'Background Data'!W136</f>
        <v>87.834899059631326</v>
      </c>
      <c r="CC41" s="652"/>
    </row>
    <row r="42" spans="6:84" x14ac:dyDescent="0.25">
      <c r="Z42"/>
      <c r="AG42" s="850"/>
      <c r="AI42" s="850"/>
      <c r="AJ42" s="45" t="s">
        <v>122</v>
      </c>
      <c r="AK42" s="853"/>
      <c r="AL42" s="55">
        <v>0</v>
      </c>
      <c r="AM42" s="55">
        <v>0</v>
      </c>
      <c r="AN42" s="55">
        <v>0</v>
      </c>
      <c r="AO42" s="55">
        <v>0</v>
      </c>
      <c r="AP42" s="55">
        <v>0</v>
      </c>
      <c r="AQ42" s="292">
        <v>0</v>
      </c>
      <c r="AR42" s="55">
        <f>('Background Data'!AD78+'Background Data'!AD92)/(AR$10+AR$22)</f>
        <v>0</v>
      </c>
      <c r="AS42" s="55">
        <f>('Background Data'!AE78+'Background Data'!AE92)/(AS$10+AS$22)</f>
        <v>0</v>
      </c>
      <c r="AT42" s="55">
        <f>('Background Data'!AF78+'Background Data'!AF92)/(AT$10+AT$22)</f>
        <v>0</v>
      </c>
      <c r="AU42" s="55">
        <f>('Background Data'!AG78+'Background Data'!AG92)/(AU$10+AU$22)</f>
        <v>0</v>
      </c>
      <c r="AV42" s="55">
        <f>('Background Data'!AH78+'Background Data'!AH92)/(AV$10+AV$22)</f>
        <v>0</v>
      </c>
      <c r="AW42" s="55">
        <f>('Background Data'!AI78+'Background Data'!AI92)/(AW$10+AW$22)</f>
        <v>5.3439642595670319E-6</v>
      </c>
      <c r="AX42" s="55">
        <f>('Background Data'!AJ78+'Background Data'!AJ92)/(AX$10+AX$22)</f>
        <v>2.5725184068127382E-3</v>
      </c>
      <c r="AY42" s="55">
        <f>('Background Data'!AK78+'Background Data'!AK92)/(AY$10+AY$22)</f>
        <v>4.61038310966389E-3</v>
      </c>
      <c r="AZ42" s="55">
        <f>('Background Data'!AL78+'Background Data'!AL92)/(AZ$10+AZ$22)</f>
        <v>4.7359209307114178E-4</v>
      </c>
      <c r="BA42" s="55">
        <f>('Background Data'!AM78+'Background Data'!AM92)/(BA$10+BA$22)</f>
        <v>8.2826150976735057E-4</v>
      </c>
      <c r="BB42" s="54">
        <f>('Background Data'!AN78+'Background Data'!AN92)/(BB$10+BB$22)</f>
        <v>1.9262011337852936E-3</v>
      </c>
      <c r="BC42" s="54">
        <f>('Background Data'!AO78+'Background Data'!AO92)/(BC$10+BC$22)</f>
        <v>3.6300306349406185E-3</v>
      </c>
      <c r="BD42" s="54">
        <f>('Background Data'!AP78+'Background Data'!AP92)/(BD$10+BD$22)</f>
        <v>4.0160642570281121E-3</v>
      </c>
      <c r="BG42" s="71" t="s">
        <v>842</v>
      </c>
      <c r="BH42" s="69">
        <f>BH41*'Background Data'!$BD$32</f>
        <v>2.7207997657523619</v>
      </c>
      <c r="BI42" s="69">
        <f>BI41*'Background Data'!$BD$32</f>
        <v>2.6044208264948026</v>
      </c>
      <c r="BJ42" s="69">
        <f>BJ41*'Background Data'!$BD$32</f>
        <v>2.5998203614397037</v>
      </c>
      <c r="BK42" s="69">
        <f>BK41*'Background Data'!$BD$32</f>
        <v>2.2624668624244864</v>
      </c>
      <c r="BL42" s="69">
        <f>BL41*'Background Data'!$BD$32</f>
        <v>2.6427627125393225</v>
      </c>
      <c r="BM42" s="69">
        <f>BM41*'Background Data'!$BD$32</f>
        <v>2.7687789932465967</v>
      </c>
      <c r="BN42" s="69">
        <f>BN41*'Background Data'!$BD$32</f>
        <v>2.5106042126775883</v>
      </c>
      <c r="BO42" s="69">
        <f>BO41*'Background Data'!$BD$32</f>
        <v>2.4864788699317777</v>
      </c>
      <c r="BP42" s="69">
        <f>BP41*'Background Data'!$BD$32</f>
        <v>2.2299047726363059</v>
      </c>
      <c r="BQ42" s="69">
        <f>BQ41*'Background Data'!$BD$32</f>
        <v>1.7259723376440343</v>
      </c>
      <c r="BR42" s="69">
        <f>BR41*'Background Data'!$BD$32</f>
        <v>2.1843618993138221</v>
      </c>
      <c r="BS42" s="69">
        <f>BS41*'Background Data'!$BD$32</f>
        <v>2.1072699723775687</v>
      </c>
      <c r="BT42" s="69">
        <f>BT41*'Background Data'!$BD$32</f>
        <v>2.0354943031010535</v>
      </c>
      <c r="BU42" s="69">
        <f>BU41*'Background Data'!$BD$32</f>
        <v>2.3298931844690189</v>
      </c>
      <c r="BV42" s="69">
        <f>BV41*'Background Data'!$BD$32</f>
        <v>2.6258987321457234</v>
      </c>
      <c r="BW42" s="69">
        <f>BW41*'Background Data'!$BD$32</f>
        <v>2.7678247137781282</v>
      </c>
      <c r="BX42" s="69">
        <f>BX41*'Background Data'!$BD$32</f>
        <v>2.9357480864603369</v>
      </c>
      <c r="BY42" s="69">
        <f>BY41*'Background Data'!$BD$32</f>
        <v>2.733287051789806</v>
      </c>
      <c r="BZ42" s="69">
        <f>BZ41*'Background Data'!$BD$32</f>
        <v>3.0097874512205656</v>
      </c>
      <c r="CA42" s="69">
        <f>CA41*'Background Data'!$BD$32</f>
        <v>3.0428195359482357</v>
      </c>
      <c r="CB42" s="69">
        <f>CB41*'Background Data'!$BD$32</f>
        <v>2.9278299686543776</v>
      </c>
      <c r="CC42" s="652"/>
    </row>
    <row r="43" spans="6:84" x14ac:dyDescent="0.25">
      <c r="Z43"/>
      <c r="AG43" s="850"/>
      <c r="AI43" s="850"/>
      <c r="BG43" s="71" t="s">
        <v>2756</v>
      </c>
      <c r="BH43" s="69"/>
      <c r="BI43" s="262">
        <f t="shared" ref="BI43:CB43" si="13">BI41-(BH41-BH42)</f>
        <v>-0.77056841197442338</v>
      </c>
      <c r="BJ43" s="262">
        <f t="shared" si="13"/>
        <v>2.4664068748418373</v>
      </c>
      <c r="BK43" s="262">
        <f t="shared" si="13"/>
        <v>-7.5207846090168289</v>
      </c>
      <c r="BL43" s="262">
        <f t="shared" si="13"/>
        <v>13.671342365869577</v>
      </c>
      <c r="BM43" s="262">
        <f t="shared" si="13"/>
        <v>6.423251133757546</v>
      </c>
      <c r="BN43" s="262">
        <f t="shared" si="13"/>
        <v>-4.9764644238236428</v>
      </c>
      <c r="BO43" s="262">
        <f t="shared" si="13"/>
        <v>1.7868439303032631</v>
      </c>
      <c r="BP43" s="262">
        <f t="shared" si="13"/>
        <v>-5.2107440489323693</v>
      </c>
      <c r="BQ43" s="262">
        <f t="shared" si="13"/>
        <v>-12.88806827713185</v>
      </c>
      <c r="BR43" s="262">
        <f t="shared" si="13"/>
        <v>15.477659187737672</v>
      </c>
      <c r="BS43" s="262">
        <f t="shared" si="13"/>
        <v>-0.12839590877378271</v>
      </c>
      <c r="BT43" s="262">
        <f t="shared" si="13"/>
        <v>-4.6000105917890721E-2</v>
      </c>
      <c r="BU43" s="262">
        <f t="shared" si="13"/>
        <v>10.867460744140011</v>
      </c>
      <c r="BV43" s="262">
        <f t="shared" si="13"/>
        <v>11.210059614770159</v>
      </c>
      <c r="BW43" s="262">
        <f t="shared" si="13"/>
        <v>6.8836781811178724</v>
      </c>
      <c r="BX43" s="262">
        <f t="shared" si="13"/>
        <v>7.8055258942443828</v>
      </c>
      <c r="BY43" s="262">
        <f t="shared" si="13"/>
        <v>-3.1380829536555979</v>
      </c>
      <c r="BZ43" s="262">
        <f t="shared" si="13"/>
        <v>11.028299034712589</v>
      </c>
      <c r="CA43" s="262">
        <f t="shared" si="13"/>
        <v>4.0007499930506754</v>
      </c>
      <c r="CB43" s="262">
        <f t="shared" si="13"/>
        <v>-0.4068674828675114</v>
      </c>
      <c r="CC43" s="727">
        <f>SUMIF(BI43:CB43, "&gt;0", BI43:CB43)/CA41</f>
        <v>1.0036883650412696</v>
      </c>
    </row>
    <row r="44" spans="6:84" ht="15.75" x14ac:dyDescent="0.25">
      <c r="Z44"/>
      <c r="AG44" s="850"/>
      <c r="AI44" s="850"/>
      <c r="AJ44" s="846" t="s">
        <v>567</v>
      </c>
      <c r="AK44" s="846"/>
      <c r="AL44" s="846"/>
      <c r="AM44" s="846"/>
      <c r="AN44" s="846"/>
      <c r="AO44" s="846"/>
      <c r="AP44" s="846"/>
      <c r="AQ44" s="846"/>
      <c r="AR44" s="846"/>
      <c r="AS44" s="846"/>
      <c r="AT44" s="846"/>
      <c r="AU44" s="846"/>
      <c r="AV44" s="846"/>
      <c r="AW44" s="846"/>
      <c r="AX44" s="846"/>
      <c r="AY44" s="846"/>
      <c r="AZ44" s="846"/>
      <c r="BA44" s="846"/>
      <c r="BG44" s="26" t="s">
        <v>851</v>
      </c>
      <c r="BH44" s="69"/>
      <c r="BI44" s="69"/>
      <c r="BJ44" s="69"/>
      <c r="BK44" s="69"/>
      <c r="BL44" s="69"/>
      <c r="BM44" s="69"/>
      <c r="BN44" s="69"/>
      <c r="BO44" s="69"/>
      <c r="BP44" s="69"/>
      <c r="BQ44" s="69"/>
      <c r="BR44" s="69"/>
      <c r="BS44" s="69"/>
      <c r="BT44" s="69"/>
      <c r="BU44" s="69"/>
      <c r="BV44" s="69"/>
      <c r="BW44" s="69"/>
      <c r="BX44" s="69"/>
      <c r="BY44" s="69"/>
      <c r="BZ44" s="69"/>
      <c r="CA44" s="69"/>
      <c r="CB44" s="69"/>
      <c r="CC44" s="652"/>
    </row>
    <row r="45" spans="6:84" ht="15.75" thickBot="1" x14ac:dyDescent="0.3">
      <c r="AG45" s="850"/>
      <c r="AI45" s="850"/>
      <c r="AJ45" s="25" t="s">
        <v>119</v>
      </c>
      <c r="AK45" s="25" t="s">
        <v>260</v>
      </c>
      <c r="AL45" s="25">
        <v>2005</v>
      </c>
      <c r="AM45" s="25">
        <v>2006</v>
      </c>
      <c r="AN45" s="25">
        <v>2007</v>
      </c>
      <c r="AO45" s="25">
        <v>2008</v>
      </c>
      <c r="AP45" s="25">
        <v>2009</v>
      </c>
      <c r="AQ45" s="25">
        <v>2010</v>
      </c>
      <c r="AR45" s="25">
        <v>2011</v>
      </c>
      <c r="AS45" s="25">
        <v>2012</v>
      </c>
      <c r="AT45" s="25">
        <v>2013</v>
      </c>
      <c r="AU45" s="25">
        <v>2014</v>
      </c>
      <c r="AV45" s="25">
        <v>2015</v>
      </c>
      <c r="AW45" s="25">
        <v>2016</v>
      </c>
      <c r="AX45" s="25">
        <v>2017</v>
      </c>
      <c r="AY45" s="25">
        <v>2018</v>
      </c>
      <c r="AZ45" s="25">
        <v>2019</v>
      </c>
      <c r="BA45" s="25">
        <v>2020</v>
      </c>
      <c r="BB45" s="25">
        <v>2021</v>
      </c>
      <c r="BG45" s="71" t="s">
        <v>2754</v>
      </c>
      <c r="BH45" s="69">
        <f>'Background Data'!C91/('Background Data'!C137*HFO_MDO)</f>
        <v>8.975325514636225</v>
      </c>
      <c r="BI45" s="69">
        <f>'Background Data'!D91/('Background Data'!D137*HFO_MDO)</f>
        <v>6.7994501439731012</v>
      </c>
      <c r="BJ45" s="69">
        <f>'Background Data'!E91/('Background Data'!E137*HFO_MDO)</f>
        <v>8.2604235509608888</v>
      </c>
      <c r="BK45" s="69">
        <f>'Background Data'!F91/('Background Data'!F137*HFO_MDO)</f>
        <v>9.4749664150260955</v>
      </c>
      <c r="BL45" s="69">
        <f>'Background Data'!G91/('Background Data'!G137*HFO_MDO)</f>
        <v>8.5280251520018044</v>
      </c>
      <c r="BM45" s="69">
        <f>'Background Data'!H91/('Background Data'!H137*HFO_MDO)</f>
        <v>9.0080446183983316</v>
      </c>
      <c r="BN45" s="69">
        <f>'Background Data'!I91/('Background Data'!I137*HFO_MDO)</f>
        <v>10.043177891792759</v>
      </c>
      <c r="BO45" s="69">
        <f>'Background Data'!J91/('Background Data'!J137*HFO_MDO)</f>
        <v>6.3480937111726847</v>
      </c>
      <c r="BP45" s="69">
        <f>'Background Data'!K91/('Background Data'!K137*HFO_MDO)</f>
        <v>7.128698758165589</v>
      </c>
      <c r="BQ45" s="69">
        <f>'Background Data'!L91/('Background Data'!L137*HFO_MDO)</f>
        <v>2.657912962737182</v>
      </c>
      <c r="BR45" s="69">
        <f>'Background Data'!M91/('Background Data'!M137*HFO_MDO)</f>
        <v>3.2765699826591108</v>
      </c>
      <c r="BS45" s="69">
        <f>'Background Data'!N91/('Background Data'!N137*HFO_MDO)</f>
        <v>3.625982239698252</v>
      </c>
      <c r="BT45" s="69">
        <f>'Background Data'!O91/('Background Data'!O137*HFO_MDO)</f>
        <v>5.8094071435574373</v>
      </c>
      <c r="BU45" s="69">
        <f>'Background Data'!P91/('Background Data'!P137*HFO_MDO)</f>
        <v>5.230185049346753</v>
      </c>
      <c r="BV45" s="69">
        <f>'Background Data'!Q91/('Background Data'!Q137*HFO_MDO)</f>
        <v>6.1373441446922223</v>
      </c>
      <c r="BW45" s="69">
        <f>'Background Data'!R91/('Background Data'!R137*HFO_MDO)</f>
        <v>2.4853076234973317</v>
      </c>
      <c r="BX45" s="69">
        <f>'Background Data'!S91/('Background Data'!S137*HFO_MDO)</f>
        <v>0.87274518639153531</v>
      </c>
      <c r="BY45" s="69">
        <f>'Background Data'!T91/('Background Data'!T137*HFO_MDO)</f>
        <v>1.2663540601395982</v>
      </c>
      <c r="BZ45" s="69">
        <f>'Background Data'!U91/('Background Data'!U137*HFO_MDO)</f>
        <v>1.2471718864048882</v>
      </c>
      <c r="CA45" s="339">
        <f>'Background Data'!V91/('Background Data'!V137*HFO_MDO)</f>
        <v>1.2022540457962503</v>
      </c>
      <c r="CB45" s="69">
        <f>'Background Data'!W91/('Background Data'!W137*HFO_MDO)</f>
        <v>2.0204019888036582</v>
      </c>
      <c r="CC45" s="652"/>
    </row>
    <row r="46" spans="6:84" ht="15.75" thickTop="1" x14ac:dyDescent="0.25">
      <c r="AG46" s="850"/>
      <c r="AI46" s="850"/>
      <c r="AJ46" s="26" t="s">
        <v>38</v>
      </c>
      <c r="AK46" s="852" t="s">
        <v>2695</v>
      </c>
      <c r="AL46" s="852" t="s">
        <v>259</v>
      </c>
      <c r="AM46" s="852"/>
      <c r="AN46" s="852"/>
      <c r="AO46" s="74" t="e">
        <f>SUM(AO47:AO49)</f>
        <v>#REF!</v>
      </c>
      <c r="AP46" s="74" t="e">
        <f t="shared" ref="AP46:BA46" si="14">SUM(AP47:AP49)</f>
        <v>#REF!</v>
      </c>
      <c r="AQ46" s="74" t="e">
        <f t="shared" si="14"/>
        <v>#REF!</v>
      </c>
      <c r="AR46" s="74" t="e">
        <f t="shared" si="14"/>
        <v>#REF!</v>
      </c>
      <c r="AS46" s="74" t="e">
        <f t="shared" si="14"/>
        <v>#REF!</v>
      </c>
      <c r="AT46" s="74" t="e">
        <f t="shared" si="14"/>
        <v>#REF!</v>
      </c>
      <c r="AU46" s="74" t="e">
        <f t="shared" si="14"/>
        <v>#REF!</v>
      </c>
      <c r="AV46" s="74" t="e">
        <f t="shared" si="14"/>
        <v>#REF!</v>
      </c>
      <c r="AW46" s="74" t="e">
        <f t="shared" si="14"/>
        <v>#REF!</v>
      </c>
      <c r="AX46" s="74" t="e">
        <f t="shared" si="14"/>
        <v>#REF!</v>
      </c>
      <c r="AY46" s="74" t="e">
        <f t="shared" si="14"/>
        <v>#REF!</v>
      </c>
      <c r="AZ46" s="74" t="e">
        <f t="shared" si="14"/>
        <v>#REF!</v>
      </c>
      <c r="BA46" s="74" t="e">
        <f t="shared" si="14"/>
        <v>#REF!</v>
      </c>
      <c r="BB46" s="74" t="e">
        <f t="shared" ref="BB46" si="15">SUM(BB47:BB49)</f>
        <v>#REF!</v>
      </c>
      <c r="BG46" s="71" t="s">
        <v>842</v>
      </c>
      <c r="BH46" s="69">
        <f>BH45*'Background Data'!$BD$33</f>
        <v>0.29917751715454083</v>
      </c>
      <c r="BI46" s="69">
        <f>BI45*'Background Data'!$BD$33</f>
        <v>0.22664833813243671</v>
      </c>
      <c r="BJ46" s="69">
        <f>BJ45*'Background Data'!$BD$33</f>
        <v>0.27534745169869629</v>
      </c>
      <c r="BK46" s="69">
        <f>BK45*'Background Data'!$BD$33</f>
        <v>0.31583221383420318</v>
      </c>
      <c r="BL46" s="69">
        <f>BL45*'Background Data'!$BD$33</f>
        <v>0.28426750506672682</v>
      </c>
      <c r="BM46" s="69">
        <f>BM45*'Background Data'!$BD$33</f>
        <v>0.30026815394661105</v>
      </c>
      <c r="BN46" s="69">
        <f>BN45*'Background Data'!$BD$33</f>
        <v>0.33477259639309198</v>
      </c>
      <c r="BO46" s="69">
        <f>BO45*'Background Data'!$BD$33</f>
        <v>0.21160312370575615</v>
      </c>
      <c r="BP46" s="69">
        <f>BP45*'Background Data'!$BD$33</f>
        <v>0.23762329193885295</v>
      </c>
      <c r="BQ46" s="69">
        <f>BQ45*'Background Data'!$BD$33</f>
        <v>8.859709875790607E-2</v>
      </c>
      <c r="BR46" s="69">
        <f>BR45*'Background Data'!$BD$33</f>
        <v>0.10921899942197036</v>
      </c>
      <c r="BS46" s="69">
        <f>BS45*'Background Data'!$BD$33</f>
        <v>0.1208660746566084</v>
      </c>
      <c r="BT46" s="69">
        <f>BT45*'Background Data'!$BD$33</f>
        <v>0.1936469047852479</v>
      </c>
      <c r="BU46" s="69">
        <f>BU45*'Background Data'!$BD$33</f>
        <v>0.17433950164489176</v>
      </c>
      <c r="BV46" s="69">
        <f>BV45*'Background Data'!$BD$33</f>
        <v>0.20457813815640741</v>
      </c>
      <c r="BW46" s="69">
        <f>BW45*'Background Data'!$BD$33</f>
        <v>8.2843587449911049E-2</v>
      </c>
      <c r="BX46" s="69">
        <f>BX45*'Background Data'!$BD$33</f>
        <v>2.9091506213051177E-2</v>
      </c>
      <c r="BY46" s="69">
        <f>BY45*'Background Data'!$BD$33</f>
        <v>4.221180200465327E-2</v>
      </c>
      <c r="BZ46" s="69">
        <f>BZ45*'Background Data'!$BD$33</f>
        <v>4.1572396213496274E-2</v>
      </c>
      <c r="CA46" s="69">
        <f>CA45*'Background Data'!$BD$33</f>
        <v>4.007513485987501E-2</v>
      </c>
      <c r="CB46" s="69">
        <f>CB45*'Background Data'!$BD$33</f>
        <v>6.7346732960121933E-2</v>
      </c>
      <c r="CC46" s="652"/>
    </row>
    <row r="47" spans="6:84" x14ac:dyDescent="0.25">
      <c r="AG47" s="850"/>
      <c r="AI47" s="850"/>
      <c r="AJ47" s="45" t="s">
        <v>97</v>
      </c>
      <c r="AK47" s="853"/>
      <c r="AL47" s="853"/>
      <c r="AM47" s="853"/>
      <c r="AN47" s="853"/>
      <c r="AO47" s="75" t="e">
        <f>Efficiency!#REF!*'Background Data'!K70</f>
        <v>#REF!</v>
      </c>
      <c r="AP47" s="75" t="e">
        <f>Efficiency!#REF!*'Background Data'!L70</f>
        <v>#REF!</v>
      </c>
      <c r="AQ47" s="75" t="e">
        <f>Efficiency!#REF!*'Background Data'!M70</f>
        <v>#REF!</v>
      </c>
      <c r="AR47" s="75" t="e">
        <f>Efficiency!#REF!*'Background Data'!N70</f>
        <v>#REF!</v>
      </c>
      <c r="AS47" s="75" t="e">
        <f>Efficiency!#REF!*'Background Data'!O70</f>
        <v>#REF!</v>
      </c>
      <c r="AT47" s="75" t="e">
        <f>Efficiency!#REF!*'Background Data'!P70</f>
        <v>#REF!</v>
      </c>
      <c r="AU47" s="75" t="e">
        <f>Efficiency!#REF!*'Background Data'!Q70</f>
        <v>#REF!</v>
      </c>
      <c r="AV47" s="75" t="e">
        <f>Efficiency!#REF!*'Background Data'!R70</f>
        <v>#REF!</v>
      </c>
      <c r="AW47" s="75" t="e">
        <f>Efficiency!#REF!*'Background Data'!S70</f>
        <v>#REF!</v>
      </c>
      <c r="AX47" s="75" t="e">
        <f>Efficiency!#REF!*'Background Data'!T70</f>
        <v>#REF!</v>
      </c>
      <c r="AY47" s="75" t="e">
        <f>Efficiency!#REF!*'Background Data'!U70</f>
        <v>#REF!</v>
      </c>
      <c r="AZ47" s="75" t="e">
        <f>Efficiency!#REF!*'Background Data'!V70</f>
        <v>#REF!</v>
      </c>
      <c r="BA47" s="75" t="e">
        <f>Efficiency!#REF!*'Background Data'!W70</f>
        <v>#REF!</v>
      </c>
      <c r="BB47" s="671" t="e">
        <f>Efficiency!#REF!*'Background Data'!X70</f>
        <v>#REF!</v>
      </c>
      <c r="BG47" s="71" t="s">
        <v>2756</v>
      </c>
      <c r="BH47" s="69"/>
      <c r="BI47" s="262">
        <f t="shared" ref="BI47:CB47" si="16">BI45-(BH45-BH46)</f>
        <v>-1.8766978535085821</v>
      </c>
      <c r="BJ47" s="262">
        <f t="shared" si="16"/>
        <v>1.6876217451202242</v>
      </c>
      <c r="BK47" s="262">
        <f t="shared" si="16"/>
        <v>1.489890315763903</v>
      </c>
      <c r="BL47" s="262">
        <f t="shared" si="16"/>
        <v>-0.63110904919008703</v>
      </c>
      <c r="BM47" s="262">
        <f t="shared" si="16"/>
        <v>0.7642869714632532</v>
      </c>
      <c r="BN47" s="262">
        <f t="shared" si="16"/>
        <v>1.3354014273410382</v>
      </c>
      <c r="BO47" s="262">
        <f t="shared" si="16"/>
        <v>-3.3603115842269817</v>
      </c>
      <c r="BP47" s="262">
        <f t="shared" si="16"/>
        <v>0.9922081706986603</v>
      </c>
      <c r="BQ47" s="262">
        <f t="shared" si="16"/>
        <v>-4.2331625034895541</v>
      </c>
      <c r="BR47" s="262">
        <f t="shared" si="16"/>
        <v>0.70725411867983468</v>
      </c>
      <c r="BS47" s="262">
        <f t="shared" si="16"/>
        <v>0.45863125646111147</v>
      </c>
      <c r="BT47" s="262">
        <f t="shared" si="16"/>
        <v>2.3042909785157937</v>
      </c>
      <c r="BU47" s="262">
        <f t="shared" si="16"/>
        <v>-0.38557518942543645</v>
      </c>
      <c r="BV47" s="262">
        <f t="shared" si="16"/>
        <v>1.081498596990361</v>
      </c>
      <c r="BW47" s="262">
        <f t="shared" si="16"/>
        <v>-3.4474583830384828</v>
      </c>
      <c r="BX47" s="262">
        <f t="shared" si="16"/>
        <v>-1.5297188496558856</v>
      </c>
      <c r="BY47" s="262">
        <f t="shared" si="16"/>
        <v>0.42270037996111398</v>
      </c>
      <c r="BZ47" s="262">
        <f t="shared" si="16"/>
        <v>2.302962826994337E-2</v>
      </c>
      <c r="CA47" s="262">
        <f t="shared" si="16"/>
        <v>-3.3454443951417279E-3</v>
      </c>
      <c r="CB47" s="262">
        <f t="shared" si="16"/>
        <v>0.8582230778672828</v>
      </c>
      <c r="CC47" s="727">
        <f>SUMIF(BI47:CB47, "&gt;0", BI47:CB47)/CA45</f>
        <v>10.085253370141196</v>
      </c>
    </row>
    <row r="48" spans="6:84" x14ac:dyDescent="0.25">
      <c r="AG48" s="850"/>
      <c r="AI48" s="850"/>
      <c r="AJ48" s="45" t="s">
        <v>96</v>
      </c>
      <c r="AK48" s="853"/>
      <c r="AL48" s="853"/>
      <c r="AM48" s="853"/>
      <c r="AN48" s="853"/>
      <c r="AO48" s="75" t="e">
        <f>Efficiency!#REF!*'Background Data'!K71</f>
        <v>#REF!</v>
      </c>
      <c r="AP48" s="75" t="e">
        <f>Efficiency!#REF!*'Background Data'!L71</f>
        <v>#REF!</v>
      </c>
      <c r="AQ48" s="75" t="e">
        <f>Efficiency!#REF!*'Background Data'!M71</f>
        <v>#REF!</v>
      </c>
      <c r="AR48" s="75" t="e">
        <f>Efficiency!#REF!*'Background Data'!N71</f>
        <v>#REF!</v>
      </c>
      <c r="AS48" s="75" t="e">
        <f>Efficiency!#REF!*'Background Data'!O71</f>
        <v>#REF!</v>
      </c>
      <c r="AT48" s="75" t="e">
        <f>Efficiency!#REF!*'Background Data'!P71</f>
        <v>#REF!</v>
      </c>
      <c r="AU48" s="75" t="e">
        <f>Efficiency!#REF!*'Background Data'!Q71</f>
        <v>#REF!</v>
      </c>
      <c r="AV48" s="75" t="e">
        <f>Efficiency!#REF!*'Background Data'!R71</f>
        <v>#REF!</v>
      </c>
      <c r="AW48" s="75" t="e">
        <f>Efficiency!#REF!*'Background Data'!S71</f>
        <v>#REF!</v>
      </c>
      <c r="AX48" s="75" t="e">
        <f>Efficiency!#REF!*'Background Data'!T71</f>
        <v>#REF!</v>
      </c>
      <c r="AY48" s="75" t="e">
        <f>Efficiency!#REF!*'Background Data'!U71</f>
        <v>#REF!</v>
      </c>
      <c r="AZ48" s="75" t="e">
        <f>Efficiency!#REF!*'Background Data'!V71</f>
        <v>#REF!</v>
      </c>
      <c r="BA48" s="75" t="e">
        <f>Efficiency!#REF!*'Background Data'!W71</f>
        <v>#REF!</v>
      </c>
      <c r="BB48" s="671" t="e">
        <f>Efficiency!#REF!*'Background Data'!X71</f>
        <v>#REF!</v>
      </c>
      <c r="BG48" s="26" t="s">
        <v>852</v>
      </c>
      <c r="CC48" s="652"/>
    </row>
    <row r="49" spans="33:81" x14ac:dyDescent="0.25">
      <c r="AG49" s="850"/>
      <c r="AI49" s="850"/>
      <c r="AJ49" s="45" t="s">
        <v>224</v>
      </c>
      <c r="AK49" s="853"/>
      <c r="AL49" s="853"/>
      <c r="AM49" s="853"/>
      <c r="AN49" s="853"/>
      <c r="AO49" s="75" t="e">
        <f>Efficiency!#REF!*'Background Data'!K69</f>
        <v>#REF!</v>
      </c>
      <c r="AP49" s="75" t="e">
        <f>Efficiency!#REF!*'Background Data'!L69</f>
        <v>#REF!</v>
      </c>
      <c r="AQ49" s="75" t="e">
        <f>Efficiency!#REF!*'Background Data'!M69</f>
        <v>#REF!</v>
      </c>
      <c r="AR49" s="75" t="e">
        <f>Efficiency!#REF!*'Background Data'!N69</f>
        <v>#REF!</v>
      </c>
      <c r="AS49" s="75" t="e">
        <f>Efficiency!#REF!*'Background Data'!O69</f>
        <v>#REF!</v>
      </c>
      <c r="AT49" s="75" t="e">
        <f>Efficiency!#REF!*'Background Data'!P69</f>
        <v>#REF!</v>
      </c>
      <c r="AU49" s="75" t="e">
        <f>Efficiency!#REF!*'Background Data'!Q69</f>
        <v>#REF!</v>
      </c>
      <c r="AV49" s="75" t="e">
        <f>Efficiency!#REF!*'Background Data'!R69</f>
        <v>#REF!</v>
      </c>
      <c r="AW49" s="75" t="e">
        <f>Efficiency!#REF!*'Background Data'!S69</f>
        <v>#REF!</v>
      </c>
      <c r="AX49" s="75" t="e">
        <f>Efficiency!#REF!*'Background Data'!T69</f>
        <v>#REF!</v>
      </c>
      <c r="AY49" s="75" t="e">
        <f>Efficiency!#REF!*'Background Data'!U69</f>
        <v>#REF!</v>
      </c>
      <c r="AZ49" s="75" t="e">
        <f>Efficiency!#REF!*'Background Data'!V69</f>
        <v>#REF!</v>
      </c>
      <c r="BA49" s="75" t="e">
        <f>Efficiency!#REF!*'Background Data'!W69</f>
        <v>#REF!</v>
      </c>
      <c r="BB49" s="671" t="e">
        <f>Efficiency!#REF!*'Background Data'!X69</f>
        <v>#REF!</v>
      </c>
      <c r="BG49" s="71" t="s">
        <v>2754</v>
      </c>
      <c r="BH49" s="69">
        <f>'Background Data'!C92/'Background Data'!C137</f>
        <v>19.906642030535835</v>
      </c>
      <c r="BI49" s="69">
        <f>'Background Data'!D92/'Background Data'!D137</f>
        <v>20.677249334271565</v>
      </c>
      <c r="BJ49" s="69">
        <f>'Background Data'!E92/'Background Data'!E137</f>
        <v>21.035515123215099</v>
      </c>
      <c r="BK49" s="69">
        <f>'Background Data'!F92/'Background Data'!F137</f>
        <v>22.581508368796776</v>
      </c>
      <c r="BL49" s="69">
        <f>'Background Data'!G92/'Background Data'!G137</f>
        <v>22.285269140884218</v>
      </c>
      <c r="BM49" s="69">
        <f>'Background Data'!H92/'Background Data'!H137</f>
        <v>20.980463953293132</v>
      </c>
      <c r="BN49" s="69">
        <f>'Background Data'!I92/'Background Data'!I137</f>
        <v>23.211200558741361</v>
      </c>
      <c r="BO49" s="69">
        <f>'Background Data'!J92/'Background Data'!J137</f>
        <v>18.401947711319071</v>
      </c>
      <c r="BP49" s="69">
        <f>'Background Data'!K92/'Background Data'!K137</f>
        <v>17.861685214626391</v>
      </c>
      <c r="BQ49" s="69">
        <f>'Background Data'!L92/'Background Data'!L137</f>
        <v>14.213536770035669</v>
      </c>
      <c r="BR49" s="69">
        <f>'Background Data'!M92/'Background Data'!M137</f>
        <v>24.309916302925444</v>
      </c>
      <c r="BS49" s="69">
        <f>'Background Data'!N92/'Background Data'!N137</f>
        <v>18.557421578711185</v>
      </c>
      <c r="BT49" s="69">
        <f>'Background Data'!O92/'Background Data'!O137</f>
        <v>24.346827205098261</v>
      </c>
      <c r="BU49" s="69">
        <f>'Background Data'!P92/'Background Data'!P137</f>
        <v>34.964861139357787</v>
      </c>
      <c r="BV49" s="69">
        <f>'Background Data'!Q92/'Background Data'!Q137</f>
        <v>37.229210342417893</v>
      </c>
      <c r="BW49" s="69">
        <f>'Background Data'!R92/'Background Data'!R137</f>
        <v>43.419016030956328</v>
      </c>
      <c r="BX49" s="69">
        <f>'Background Data'!S92/'Background Data'!S137</f>
        <v>46.250685907826607</v>
      </c>
      <c r="BY49" s="69">
        <f>'Background Data'!T92/'Background Data'!T137</f>
        <v>44.438292094590409</v>
      </c>
      <c r="BZ49" s="69">
        <f>'Background Data'!U92/'Background Data'!U137</f>
        <v>42.684253311808014</v>
      </c>
      <c r="CA49" s="339">
        <f>'Background Data'!V92/'Background Data'!V137</f>
        <v>45.868229053744031</v>
      </c>
      <c r="CB49" s="69">
        <f>'Background Data'!W92/'Background Data'!W137</f>
        <v>36.734147891199072</v>
      </c>
      <c r="CC49" s="652"/>
    </row>
    <row r="50" spans="33:81" x14ac:dyDescent="0.25">
      <c r="AG50" s="850"/>
      <c r="AI50" s="850"/>
      <c r="AJ50" s="26" t="s">
        <v>252</v>
      </c>
      <c r="AK50" s="853"/>
      <c r="AL50" s="853"/>
      <c r="AM50" s="853"/>
      <c r="AN50" s="853"/>
      <c r="AO50" s="74" t="e">
        <f>SUM(AO51:AO54)</f>
        <v>#REF!</v>
      </c>
      <c r="AP50" s="74" t="e">
        <f t="shared" ref="AP50:BA50" si="17">SUM(AP51:AP54)</f>
        <v>#REF!</v>
      </c>
      <c r="AQ50" s="74" t="e">
        <f t="shared" si="17"/>
        <v>#REF!</v>
      </c>
      <c r="AR50" s="74" t="e">
        <f t="shared" si="17"/>
        <v>#REF!</v>
      </c>
      <c r="AS50" s="74" t="e">
        <f t="shared" si="17"/>
        <v>#REF!</v>
      </c>
      <c r="AT50" s="74" t="e">
        <f t="shared" si="17"/>
        <v>#REF!</v>
      </c>
      <c r="AU50" s="74" t="e">
        <f t="shared" si="17"/>
        <v>#REF!</v>
      </c>
      <c r="AV50" s="74" t="e">
        <f t="shared" si="17"/>
        <v>#REF!</v>
      </c>
      <c r="AW50" s="74" t="e">
        <f t="shared" si="17"/>
        <v>#REF!</v>
      </c>
      <c r="AX50" s="74" t="e">
        <f t="shared" si="17"/>
        <v>#REF!</v>
      </c>
      <c r="AY50" s="74" t="e">
        <f t="shared" si="17"/>
        <v>#REF!</v>
      </c>
      <c r="AZ50" s="74" t="e">
        <f t="shared" si="17"/>
        <v>#REF!</v>
      </c>
      <c r="BA50" s="74" t="e">
        <f t="shared" si="17"/>
        <v>#REF!</v>
      </c>
      <c r="BB50" s="74" t="e">
        <f t="shared" ref="BB50" si="18">SUM(BB51:BB54)</f>
        <v>#REF!</v>
      </c>
      <c r="BG50" s="71" t="s">
        <v>842</v>
      </c>
      <c r="BH50" s="69">
        <f>BH49*'Background Data'!$BD$33</f>
        <v>0.6635547343511945</v>
      </c>
      <c r="BI50" s="69">
        <f>BI49*'Background Data'!$BD$33</f>
        <v>0.68924164447571878</v>
      </c>
      <c r="BJ50" s="69">
        <f>BJ49*'Background Data'!$BD$33</f>
        <v>0.70118383744050328</v>
      </c>
      <c r="BK50" s="69">
        <f>BK49*'Background Data'!$BD$33</f>
        <v>0.75271694562655922</v>
      </c>
      <c r="BL50" s="69">
        <f>BL49*'Background Data'!$BD$33</f>
        <v>0.74284230469614054</v>
      </c>
      <c r="BM50" s="69">
        <f>BM49*'Background Data'!$BD$33</f>
        <v>0.69934879844310438</v>
      </c>
      <c r="BN50" s="69">
        <f>BN49*'Background Data'!$BD$33</f>
        <v>0.77370668529137865</v>
      </c>
      <c r="BO50" s="69">
        <f>BO49*'Background Data'!$BD$33</f>
        <v>0.613398257043969</v>
      </c>
      <c r="BP50" s="69">
        <f>BP49*'Background Data'!$BD$33</f>
        <v>0.59538950715421302</v>
      </c>
      <c r="BQ50" s="69">
        <f>BQ49*'Background Data'!$BD$33</f>
        <v>0.47378455900118893</v>
      </c>
      <c r="BR50" s="69">
        <f>BR49*'Background Data'!$BD$33</f>
        <v>0.81033054343084809</v>
      </c>
      <c r="BS50" s="69">
        <f>BS49*'Background Data'!$BD$33</f>
        <v>0.61858071929037284</v>
      </c>
      <c r="BT50" s="69">
        <f>BT49*'Background Data'!$BD$33</f>
        <v>0.81156090683660864</v>
      </c>
      <c r="BU50" s="69">
        <f>BU49*'Background Data'!$BD$33</f>
        <v>1.1654953713119263</v>
      </c>
      <c r="BV50" s="69">
        <f>BV49*'Background Data'!$BD$33</f>
        <v>1.2409736780805964</v>
      </c>
      <c r="BW50" s="69">
        <f>BW49*'Background Data'!$BD$33</f>
        <v>1.447300534365211</v>
      </c>
      <c r="BX50" s="69">
        <f>BX49*'Background Data'!$BD$33</f>
        <v>1.5416895302608868</v>
      </c>
      <c r="BY50" s="69">
        <f>BY49*'Background Data'!$BD$33</f>
        <v>1.4812764031530137</v>
      </c>
      <c r="BZ50" s="69">
        <f>BZ49*'Background Data'!$BD$33</f>
        <v>1.4228084437269337</v>
      </c>
      <c r="CA50" s="69">
        <f>CA49*'Background Data'!$BD$33</f>
        <v>1.5289409684581343</v>
      </c>
      <c r="CB50" s="69">
        <f>CB49*'Background Data'!$BD$33</f>
        <v>1.2244715963733024</v>
      </c>
      <c r="CC50" s="652"/>
    </row>
    <row r="51" spans="33:81" ht="15.75" thickBot="1" x14ac:dyDescent="0.3">
      <c r="AG51" s="850"/>
      <c r="AI51" s="850"/>
      <c r="AJ51" s="45" t="s">
        <v>97</v>
      </c>
      <c r="AK51" s="853"/>
      <c r="AL51" s="853"/>
      <c r="AM51" s="853"/>
      <c r="AN51" s="853"/>
      <c r="AO51" s="75" t="e">
        <f>Efficiency!#REF!*'Background Data'!K76</f>
        <v>#REF!</v>
      </c>
      <c r="AP51" s="75" t="e">
        <f>Efficiency!#REF!*'Background Data'!L76</f>
        <v>#REF!</v>
      </c>
      <c r="AQ51" s="75" t="e">
        <f>Efficiency!#REF!*'Background Data'!M76</f>
        <v>#REF!</v>
      </c>
      <c r="AR51" s="75" t="e">
        <f>Efficiency!#REF!*'Background Data'!N76</f>
        <v>#REF!</v>
      </c>
      <c r="AS51" s="75" t="e">
        <f>Efficiency!#REF!*'Background Data'!O76</f>
        <v>#REF!</v>
      </c>
      <c r="AT51" s="75" t="e">
        <f>Efficiency!#REF!*'Background Data'!P76</f>
        <v>#REF!</v>
      </c>
      <c r="AU51" s="75" t="e">
        <f>Efficiency!#REF!*'Background Data'!Q76</f>
        <v>#REF!</v>
      </c>
      <c r="AV51" s="75" t="e">
        <f>Efficiency!#REF!*'Background Data'!R76</f>
        <v>#REF!</v>
      </c>
      <c r="AW51" s="75" t="e">
        <f>Efficiency!#REF!*'Background Data'!S76</f>
        <v>#REF!</v>
      </c>
      <c r="AX51" s="75" t="e">
        <f>Efficiency!#REF!*'Background Data'!T76</f>
        <v>#REF!</v>
      </c>
      <c r="AY51" s="75" t="e">
        <f>Efficiency!#REF!*'Background Data'!U76</f>
        <v>#REF!</v>
      </c>
      <c r="AZ51" s="75" t="e">
        <f>Efficiency!#REF!*'Background Data'!V76</f>
        <v>#REF!</v>
      </c>
      <c r="BA51" s="75" t="e">
        <f>Efficiency!#REF!*'Background Data'!W76</f>
        <v>#REF!</v>
      </c>
      <c r="BB51" s="671" t="e">
        <f>Efficiency!#REF!*'Background Data'!X76</f>
        <v>#REF!</v>
      </c>
      <c r="BG51" s="71" t="s">
        <v>2756</v>
      </c>
      <c r="BI51" s="262">
        <f t="shared" ref="BI51:CB51" si="19">BI49-(BH49-BH50)</f>
        <v>1.4341620380869244</v>
      </c>
      <c r="BJ51" s="262">
        <f t="shared" si="19"/>
        <v>1.047507433419252</v>
      </c>
      <c r="BK51" s="262">
        <f t="shared" si="19"/>
        <v>2.24717708302218</v>
      </c>
      <c r="BL51" s="262">
        <f t="shared" si="19"/>
        <v>0.45647771771400159</v>
      </c>
      <c r="BM51" s="262">
        <f t="shared" si="19"/>
        <v>-0.56196288289494589</v>
      </c>
      <c r="BN51" s="262">
        <f t="shared" si="19"/>
        <v>2.9300854038913329</v>
      </c>
      <c r="BO51" s="262">
        <f t="shared" si="19"/>
        <v>-4.0355461621309097</v>
      </c>
      <c r="BP51" s="262">
        <f t="shared" si="19"/>
        <v>7.3135760351288326E-2</v>
      </c>
      <c r="BQ51" s="262">
        <f t="shared" si="19"/>
        <v>-3.0527589374365096</v>
      </c>
      <c r="BR51" s="262">
        <f t="shared" si="19"/>
        <v>10.570164091890964</v>
      </c>
      <c r="BS51" s="262">
        <f t="shared" si="19"/>
        <v>-4.9421641807834114</v>
      </c>
      <c r="BT51" s="262">
        <f t="shared" si="19"/>
        <v>6.4079863456774504</v>
      </c>
      <c r="BU51" s="262">
        <f t="shared" si="19"/>
        <v>11.429594841096133</v>
      </c>
      <c r="BV51" s="262">
        <f t="shared" si="19"/>
        <v>3.4298445743720336</v>
      </c>
      <c r="BW51" s="262">
        <f t="shared" si="19"/>
        <v>7.4307793666190349</v>
      </c>
      <c r="BX51" s="262">
        <f t="shared" si="19"/>
        <v>4.2789704112354912</v>
      </c>
      <c r="BY51" s="262">
        <f t="shared" si="19"/>
        <v>-0.27070428297530924</v>
      </c>
      <c r="BZ51" s="262">
        <f t="shared" si="19"/>
        <v>-0.2727623796293841</v>
      </c>
      <c r="CA51" s="262">
        <f t="shared" si="19"/>
        <v>4.6067841856629528</v>
      </c>
      <c r="CB51" s="262">
        <f t="shared" si="19"/>
        <v>-7.6051401940868217</v>
      </c>
      <c r="CC51" s="728">
        <f>SUMIF(BI51:CB51, "&gt;0", BI51:CB51)/CA49</f>
        <v>1.2283593767490359</v>
      </c>
    </row>
    <row r="52" spans="33:81" x14ac:dyDescent="0.25">
      <c r="AJ52" s="45" t="s">
        <v>96</v>
      </c>
      <c r="AK52" s="853"/>
      <c r="AL52" s="853"/>
      <c r="AM52" s="853"/>
      <c r="AN52" s="853"/>
      <c r="AO52" s="75" t="e">
        <f>Efficiency!#REF!*'Background Data'!K77</f>
        <v>#REF!</v>
      </c>
      <c r="AP52" s="75" t="e">
        <f>Efficiency!#REF!*'Background Data'!L77</f>
        <v>#REF!</v>
      </c>
      <c r="AQ52" s="75" t="e">
        <f>Efficiency!#REF!*'Background Data'!M77</f>
        <v>#REF!</v>
      </c>
      <c r="AR52" s="75" t="e">
        <f>Efficiency!#REF!*'Background Data'!N77</f>
        <v>#REF!</v>
      </c>
      <c r="AS52" s="75" t="e">
        <f>Efficiency!#REF!*'Background Data'!O77</f>
        <v>#REF!</v>
      </c>
      <c r="AT52" s="75" t="e">
        <f>Efficiency!#REF!*'Background Data'!P77</f>
        <v>#REF!</v>
      </c>
      <c r="AU52" s="75" t="e">
        <f>Efficiency!#REF!*'Background Data'!Q77</f>
        <v>#REF!</v>
      </c>
      <c r="AV52" s="75" t="e">
        <f>Efficiency!#REF!*'Background Data'!R77</f>
        <v>#REF!</v>
      </c>
      <c r="AW52" s="75" t="e">
        <f>Efficiency!#REF!*'Background Data'!S77</f>
        <v>#REF!</v>
      </c>
      <c r="AX52" s="75" t="e">
        <f>Efficiency!#REF!*'Background Data'!T77</f>
        <v>#REF!</v>
      </c>
      <c r="AY52" s="75" t="e">
        <f>Efficiency!#REF!*'Background Data'!U77</f>
        <v>#REF!</v>
      </c>
      <c r="AZ52" s="75" t="e">
        <f>Efficiency!#REF!*'Background Data'!V77</f>
        <v>#REF!</v>
      </c>
      <c r="BA52" s="75" t="e">
        <f>Efficiency!#REF!*'Background Data'!W77</f>
        <v>#REF!</v>
      </c>
      <c r="BB52" s="671" t="e">
        <f>Efficiency!#REF!*'Background Data'!X77</f>
        <v>#REF!</v>
      </c>
    </row>
    <row r="53" spans="33:81" x14ac:dyDescent="0.25">
      <c r="AJ53" s="45" t="s">
        <v>224</v>
      </c>
      <c r="AK53" s="853"/>
      <c r="AL53" s="853"/>
      <c r="AM53" s="853"/>
      <c r="AN53" s="853"/>
      <c r="AO53" s="75" t="e">
        <f>Efficiency!#REF!*'Background Data'!K75</f>
        <v>#REF!</v>
      </c>
      <c r="AP53" s="75" t="e">
        <f>Efficiency!#REF!*'Background Data'!L75</f>
        <v>#REF!</v>
      </c>
      <c r="AQ53" s="75" t="e">
        <f>Efficiency!#REF!*'Background Data'!M75</f>
        <v>#REF!</v>
      </c>
      <c r="AR53" s="75" t="e">
        <f>Efficiency!#REF!*'Background Data'!N75</f>
        <v>#REF!</v>
      </c>
      <c r="AS53" s="75" t="e">
        <f>Efficiency!#REF!*'Background Data'!O75</f>
        <v>#REF!</v>
      </c>
      <c r="AT53" s="75" t="e">
        <f>Efficiency!#REF!*'Background Data'!P75</f>
        <v>#REF!</v>
      </c>
      <c r="AU53" s="75" t="e">
        <f>Efficiency!#REF!*'Background Data'!Q75</f>
        <v>#REF!</v>
      </c>
      <c r="AV53" s="75" t="e">
        <f>Efficiency!#REF!*'Background Data'!R75</f>
        <v>#REF!</v>
      </c>
      <c r="AW53" s="75" t="e">
        <f>Efficiency!#REF!*'Background Data'!S75</f>
        <v>#REF!</v>
      </c>
      <c r="AX53" s="75" t="e">
        <f>Efficiency!#REF!*'Background Data'!T75</f>
        <v>#REF!</v>
      </c>
      <c r="AY53" s="75" t="e">
        <f>Efficiency!#REF!*'Background Data'!U75</f>
        <v>#REF!</v>
      </c>
      <c r="AZ53" s="75" t="e">
        <f>Efficiency!#REF!*'Background Data'!V75</f>
        <v>#REF!</v>
      </c>
      <c r="BA53" s="75" t="e">
        <f>Efficiency!#REF!*'Background Data'!W75</f>
        <v>#REF!</v>
      </c>
      <c r="BB53" s="671" t="e">
        <f>Efficiency!#REF!*'Background Data'!X75</f>
        <v>#REF!</v>
      </c>
    </row>
    <row r="54" spans="33:81" x14ac:dyDescent="0.25">
      <c r="AJ54" s="45" t="s">
        <v>44</v>
      </c>
      <c r="AK54" s="853"/>
      <c r="AL54" s="853"/>
      <c r="AM54" s="853"/>
      <c r="AN54" s="853"/>
      <c r="AO54" s="75" t="e">
        <f>Efficiency!#REF!*'Background Data'!K74</f>
        <v>#REF!</v>
      </c>
      <c r="AP54" s="75" t="e">
        <f>Efficiency!#REF!*'Background Data'!L74</f>
        <v>#REF!</v>
      </c>
      <c r="AQ54" s="75" t="e">
        <f>Efficiency!#REF!*'Background Data'!M74</f>
        <v>#REF!</v>
      </c>
      <c r="AR54" s="75" t="e">
        <f>Efficiency!#REF!*'Background Data'!N74</f>
        <v>#REF!</v>
      </c>
      <c r="AS54" s="75" t="e">
        <f>Efficiency!#REF!*'Background Data'!O74</f>
        <v>#REF!</v>
      </c>
      <c r="AT54" s="75" t="e">
        <f>Efficiency!#REF!*'Background Data'!P74</f>
        <v>#REF!</v>
      </c>
      <c r="AU54" s="75" t="e">
        <f>Efficiency!#REF!*'Background Data'!Q74</f>
        <v>#REF!</v>
      </c>
      <c r="AV54" s="75" t="e">
        <f>Efficiency!#REF!*'Background Data'!R74</f>
        <v>#REF!</v>
      </c>
      <c r="AW54" s="75" t="e">
        <f>Efficiency!#REF!*'Background Data'!S74</f>
        <v>#REF!</v>
      </c>
      <c r="AX54" s="75" t="e">
        <f>Efficiency!#REF!*'Background Data'!T74</f>
        <v>#REF!</v>
      </c>
      <c r="AY54" s="75" t="e">
        <f>Efficiency!#REF!*'Background Data'!U74</f>
        <v>#REF!</v>
      </c>
      <c r="AZ54" s="75" t="e">
        <f>Efficiency!#REF!*'Background Data'!V74</f>
        <v>#REF!</v>
      </c>
      <c r="BA54" s="75" t="e">
        <f>Efficiency!#REF!*'Background Data'!W74</f>
        <v>#REF!</v>
      </c>
      <c r="BB54" s="671" t="e">
        <f>Efficiency!#REF!*'Background Data'!X74</f>
        <v>#REF!</v>
      </c>
    </row>
    <row r="55" spans="33:81" x14ac:dyDescent="0.25">
      <c r="AJ55" s="26" t="s">
        <v>266</v>
      </c>
      <c r="AK55" s="853"/>
      <c r="AL55" s="853"/>
      <c r="AM55" s="853"/>
      <c r="AN55" s="853"/>
      <c r="AO55" s="74" t="e">
        <f>SUM(AO56:AO57)</f>
        <v>#REF!</v>
      </c>
      <c r="AP55" s="74" t="e">
        <f t="shared" ref="AP55:BA55" si="20">SUM(AP56:AP57)</f>
        <v>#REF!</v>
      </c>
      <c r="AQ55" s="74" t="e">
        <f t="shared" si="20"/>
        <v>#REF!</v>
      </c>
      <c r="AR55" s="74" t="e">
        <f t="shared" si="20"/>
        <v>#REF!</v>
      </c>
      <c r="AS55" s="74" t="e">
        <f t="shared" si="20"/>
        <v>#REF!</v>
      </c>
      <c r="AT55" s="74" t="e">
        <f t="shared" si="20"/>
        <v>#REF!</v>
      </c>
      <c r="AU55" s="74" t="e">
        <f t="shared" si="20"/>
        <v>#REF!</v>
      </c>
      <c r="AV55" s="74" t="e">
        <f t="shared" si="20"/>
        <v>#REF!</v>
      </c>
      <c r="AW55" s="74" t="e">
        <f t="shared" si="20"/>
        <v>#REF!</v>
      </c>
      <c r="AX55" s="74" t="e">
        <f t="shared" si="20"/>
        <v>#REF!</v>
      </c>
      <c r="AY55" s="74" t="e">
        <f t="shared" si="20"/>
        <v>#REF!</v>
      </c>
      <c r="AZ55" s="74" t="e">
        <f t="shared" si="20"/>
        <v>#REF!</v>
      </c>
      <c r="BA55" s="74" t="e">
        <f t="shared" si="20"/>
        <v>#REF!</v>
      </c>
      <c r="BB55" s="74" t="e">
        <f t="shared" ref="BB55" si="21">SUM(BB56:BB57)</f>
        <v>#REF!</v>
      </c>
    </row>
    <row r="56" spans="33:81" x14ac:dyDescent="0.25">
      <c r="AJ56" s="45" t="s">
        <v>97</v>
      </c>
      <c r="AK56" s="853"/>
      <c r="AL56" s="853"/>
      <c r="AM56" s="853"/>
      <c r="AN56" s="853"/>
      <c r="AO56" s="75" t="e">
        <f>'Background Data'!K81*Efficiency!#REF!</f>
        <v>#REF!</v>
      </c>
      <c r="AP56" s="75" t="e">
        <f>'Background Data'!L81*Efficiency!#REF!</f>
        <v>#REF!</v>
      </c>
      <c r="AQ56" s="75" t="e">
        <f>'Background Data'!M81*Efficiency!#REF!</f>
        <v>#REF!</v>
      </c>
      <c r="AR56" s="75" t="e">
        <f>'Background Data'!N81*Efficiency!#REF!</f>
        <v>#REF!</v>
      </c>
      <c r="AS56" s="75" t="e">
        <f>'Background Data'!O81*Efficiency!#REF!</f>
        <v>#REF!</v>
      </c>
      <c r="AT56" s="75" t="e">
        <f>'Background Data'!P81*Efficiency!#REF!</f>
        <v>#REF!</v>
      </c>
      <c r="AU56" s="75" t="e">
        <f>'Background Data'!Q81*Efficiency!#REF!</f>
        <v>#REF!</v>
      </c>
      <c r="AV56" s="75" t="e">
        <f>'Background Data'!R81*Efficiency!#REF!</f>
        <v>#REF!</v>
      </c>
      <c r="AW56" s="75" t="e">
        <f>'Background Data'!S81*Efficiency!#REF!</f>
        <v>#REF!</v>
      </c>
      <c r="AX56" s="75" t="e">
        <f>'Background Data'!T81*Efficiency!#REF!</f>
        <v>#REF!</v>
      </c>
      <c r="AY56" s="75" t="e">
        <f>'Background Data'!U81*Efficiency!#REF!</f>
        <v>#REF!</v>
      </c>
      <c r="AZ56" s="75" t="e">
        <f>'Background Data'!V81*Efficiency!#REF!</f>
        <v>#REF!</v>
      </c>
      <c r="BA56" s="75" t="e">
        <f>'Background Data'!W81*Efficiency!#REF!</f>
        <v>#REF!</v>
      </c>
      <c r="BB56" s="671" t="e">
        <f>'Background Data'!X81*Efficiency!#REF!</f>
        <v>#REF!</v>
      </c>
    </row>
    <row r="57" spans="33:81" x14ac:dyDescent="0.25">
      <c r="AJ57" s="45" t="s">
        <v>96</v>
      </c>
      <c r="AK57" s="853"/>
      <c r="AL57" s="853"/>
      <c r="AM57" s="853"/>
      <c r="AN57" s="853"/>
      <c r="AO57" s="75" t="e">
        <f>'Background Data'!K82*Efficiency!#REF!</f>
        <v>#REF!</v>
      </c>
      <c r="AP57" s="75" t="e">
        <f>'Background Data'!L82*Efficiency!#REF!</f>
        <v>#REF!</v>
      </c>
      <c r="AQ57" s="75" t="e">
        <f>'Background Data'!M82*Efficiency!#REF!</f>
        <v>#REF!</v>
      </c>
      <c r="AR57" s="75" t="e">
        <f>'Background Data'!N82*Efficiency!#REF!</f>
        <v>#REF!</v>
      </c>
      <c r="AS57" s="75" t="e">
        <f>'Background Data'!O82*Efficiency!#REF!</f>
        <v>#REF!</v>
      </c>
      <c r="AT57" s="75" t="e">
        <f>'Background Data'!P82*Efficiency!#REF!</f>
        <v>#REF!</v>
      </c>
      <c r="AU57" s="75" t="e">
        <f>'Background Data'!Q82*Efficiency!#REF!</f>
        <v>#REF!</v>
      </c>
      <c r="AV57" s="75" t="e">
        <f>'Background Data'!R82*Efficiency!#REF!</f>
        <v>#REF!</v>
      </c>
      <c r="AW57" s="75" t="e">
        <f>'Background Data'!S82*Efficiency!#REF!</f>
        <v>#REF!</v>
      </c>
      <c r="AX57" s="75" t="e">
        <f>'Background Data'!T82*Efficiency!#REF!</f>
        <v>#REF!</v>
      </c>
      <c r="AY57" s="75" t="e">
        <f>'Background Data'!U82*Efficiency!#REF!</f>
        <v>#REF!</v>
      </c>
      <c r="AZ57" s="75" t="e">
        <f>'Background Data'!V82*Efficiency!#REF!</f>
        <v>#REF!</v>
      </c>
      <c r="BA57" s="75" t="e">
        <f>'Background Data'!W82*Efficiency!#REF!</f>
        <v>#REF!</v>
      </c>
      <c r="BB57" s="671" t="e">
        <f>'Background Data'!X82*Efficiency!#REF!</f>
        <v>#REF!</v>
      </c>
    </row>
    <row r="58" spans="33:81" ht="15.75" thickBot="1" x14ac:dyDescent="0.3"/>
    <row r="59" spans="33:81" x14ac:dyDescent="0.25">
      <c r="AJ59" s="663" t="s">
        <v>2692</v>
      </c>
      <c r="AK59" s="665"/>
      <c r="AL59" s="664"/>
      <c r="AN59" s="259" t="s">
        <v>2697</v>
      </c>
      <c r="AO59" s="66"/>
      <c r="AP59" s="260"/>
      <c r="AR59" s="259" t="s">
        <v>2700</v>
      </c>
      <c r="AS59" s="66"/>
      <c r="AT59" s="66"/>
      <c r="AU59" s="260"/>
      <c r="AY59" s="259" t="s">
        <v>2702</v>
      </c>
      <c r="AZ59" s="66"/>
      <c r="BA59" s="260"/>
      <c r="BC59" s="259" t="s">
        <v>2705</v>
      </c>
      <c r="BD59" s="66"/>
      <c r="BE59" s="66"/>
      <c r="BF59" s="260"/>
    </row>
    <row r="60" spans="33:81" ht="15.75" thickBot="1" x14ac:dyDescent="0.3">
      <c r="AJ60" s="216" t="s">
        <v>2685</v>
      </c>
      <c r="AK60" s="83">
        <v>2021</v>
      </c>
      <c r="AL60" s="316" t="s">
        <v>2689</v>
      </c>
      <c r="AN60" s="216" t="s">
        <v>2685</v>
      </c>
      <c r="AO60" s="83" t="s">
        <v>2691</v>
      </c>
      <c r="AP60" s="316" t="s">
        <v>2696</v>
      </c>
      <c r="AR60" s="216" t="s">
        <v>2685</v>
      </c>
      <c r="AS60" s="83" t="s">
        <v>2701</v>
      </c>
      <c r="AT60" s="264" t="s">
        <v>2698</v>
      </c>
      <c r="AU60" s="316" t="s">
        <v>2699</v>
      </c>
      <c r="AX60" s="26"/>
      <c r="AY60" s="216" t="s">
        <v>2685</v>
      </c>
      <c r="AZ60" s="83" t="s">
        <v>2703</v>
      </c>
      <c r="BA60" s="316" t="s">
        <v>2704</v>
      </c>
      <c r="BC60" s="216" t="s">
        <v>2685</v>
      </c>
      <c r="BD60" s="83" t="s">
        <v>2701</v>
      </c>
      <c r="BE60" s="264" t="s">
        <v>2698</v>
      </c>
      <c r="BF60" s="316" t="s">
        <v>2699</v>
      </c>
    </row>
    <row r="61" spans="33:81" ht="15.75" thickTop="1" x14ac:dyDescent="0.25">
      <c r="AJ61" s="317" t="s">
        <v>8</v>
      </c>
      <c r="AL61" s="60"/>
      <c r="AN61" s="61" t="s">
        <v>8</v>
      </c>
      <c r="AO61" s="255">
        <f>MAX('Background Data'!C5:X5)</f>
        <v>368.36900000000003</v>
      </c>
      <c r="AP61" s="675">
        <f>AVERAGE('Background Data'!R5:V5)</f>
        <v>259.63039999999995</v>
      </c>
      <c r="AQ61" s="76">
        <f>AP61*0.001</f>
        <v>0.25963039999999998</v>
      </c>
      <c r="AR61" s="61" t="s">
        <v>8</v>
      </c>
      <c r="AS61" s="109" cm="1">
        <f t="array" ref="AS61">AVERAGE('Background Data'!N5:V5/'Background Data'!M5:U5)</f>
        <v>0.98656874763938085</v>
      </c>
      <c r="AT61" s="633">
        <f>(('Background Data'!V5*AS61)/'Background Data'!C5)^(1/4)</f>
        <v>0.88264625467309177</v>
      </c>
      <c r="AU61" s="325">
        <f>('Background Data'!V5/'Background Data'!G5)^(1/4)</f>
        <v>0.92705370263624731</v>
      </c>
      <c r="AX61" s="633"/>
      <c r="AY61" s="61" t="s">
        <v>8</v>
      </c>
      <c r="AZ61" s="255">
        <f>MAX('Background Data'!C11:X11)</f>
        <v>4689.1239999999998</v>
      </c>
      <c r="BA61" s="675">
        <f>AVERAGE('Background Data'!R11:W11)</f>
        <v>4527.7964999999995</v>
      </c>
      <c r="BB61" s="265">
        <f>BA61*0.001</f>
        <v>4.5277965</v>
      </c>
      <c r="BC61" s="61" t="s">
        <v>8</v>
      </c>
      <c r="BD61" s="109" cm="1">
        <f t="array" ref="BD61">AVERAGE('Background Data'!N11:V11/'Background Data'!M11:U11)</f>
        <v>1.0083267349501124</v>
      </c>
      <c r="BE61" s="633">
        <f>(('Background Data'!V11*BD61)/'Background Data'!C11)^(1/4)</f>
        <v>1.0311340518792274</v>
      </c>
      <c r="BF61" s="325">
        <f>('Background Data'!V11/'Background Data'!G11)^(1/4)</f>
        <v>1.0197584720244441</v>
      </c>
    </row>
    <row r="62" spans="33:81" x14ac:dyDescent="0.25">
      <c r="AJ62" s="319" t="s">
        <v>97</v>
      </c>
      <c r="AK62" s="76">
        <f>'Background Data'!$X$5*BD5</f>
        <v>128.85703869322188</v>
      </c>
      <c r="AL62" s="332">
        <f>ROUND(AK62, 1)</f>
        <v>128.9</v>
      </c>
      <c r="AN62" s="61" t="s">
        <v>178</v>
      </c>
      <c r="AO62" s="255">
        <f>MAX('Background Data'!C6:X6)</f>
        <v>413.91899999999998</v>
      </c>
      <c r="AP62" s="675">
        <f>AVERAGE('Background Data'!R6:V6)</f>
        <v>384.20079999999996</v>
      </c>
      <c r="AQ62" s="76">
        <f t="shared" ref="AQ62:AQ65" si="22">AP62*0.001</f>
        <v>0.38420079999999995</v>
      </c>
      <c r="AR62" s="61" t="s">
        <v>178</v>
      </c>
      <c r="AS62" s="109" cm="1">
        <f t="array" ref="AS62">AVERAGE('Background Data'!N6:V6/'Background Data'!M6:U6)</f>
        <v>1.0682485347400517</v>
      </c>
      <c r="AT62" s="680">
        <f>(('Background Data'!V6*AS62)/'Background Data'!C6)^(1/4)</f>
        <v>1.2085376537476755</v>
      </c>
      <c r="AU62" s="682">
        <f>('Background Data'!V6/'Background Data'!G6)^(1/4)</f>
        <v>1.1999695159714447</v>
      </c>
      <c r="AX62" s="633"/>
      <c r="AY62" s="61" t="s">
        <v>178</v>
      </c>
      <c r="AZ62" s="255">
        <f>MAX('Background Data'!C12:X12)</f>
        <v>4177.3249999999998</v>
      </c>
      <c r="BA62" s="675">
        <f>AVERAGE('Background Data'!R12:W12)</f>
        <v>3730.6113333333337</v>
      </c>
      <c r="BB62" s="265">
        <f t="shared" ref="BB62:BB65" si="23">BA62*0.001</f>
        <v>3.7306113333333339</v>
      </c>
      <c r="BC62" s="61" t="s">
        <v>178</v>
      </c>
      <c r="BD62" s="109" cm="1">
        <f t="array" ref="BD62">AVERAGE('Background Data'!N12:V12/'Background Data'!M12:U12)</f>
        <v>1.0585643581279791</v>
      </c>
      <c r="BE62" s="633">
        <f>(('Background Data'!V12*BD62)/'Background Data'!C12)^(1/4)</f>
        <v>1.2729968042080206</v>
      </c>
      <c r="BF62" s="325">
        <f>('Background Data'!V12/'Background Data'!G12)^(1/4)</f>
        <v>1.1990306390388221</v>
      </c>
    </row>
    <row r="63" spans="33:81" x14ac:dyDescent="0.25">
      <c r="AJ63" s="319" t="s">
        <v>96</v>
      </c>
      <c r="AK63" s="76">
        <f>'Background Data'!$X$5*BD6</f>
        <v>0</v>
      </c>
      <c r="AL63" s="332">
        <f t="shared" ref="AL63:AL82" si="24">ROUND(AK63, 1)</f>
        <v>0</v>
      </c>
      <c r="AN63" s="61" t="s">
        <v>179</v>
      </c>
      <c r="AO63" s="255">
        <f>MAX('Background Data'!C7:X7)</f>
        <v>115.151</v>
      </c>
      <c r="AP63" s="675">
        <f>AVERAGE('Background Data'!R7:V7)</f>
        <v>107.10940000000001</v>
      </c>
      <c r="AQ63" s="76">
        <f t="shared" si="22"/>
        <v>0.10710940000000001</v>
      </c>
      <c r="AR63" s="61" t="s">
        <v>179</v>
      </c>
      <c r="AS63" s="109" cm="1">
        <f t="array" ref="AS63">AVERAGE('Background Data'!N7:V7/'Background Data'!M7:U7)</f>
        <v>1.0680685382359225</v>
      </c>
      <c r="AT63" s="680">
        <f>(('Background Data'!V7*AS63)/'Background Data'!C7)^(1/4)</f>
        <v>1.2027669372278813</v>
      </c>
      <c r="AU63" s="682">
        <f>('Background Data'!V7/'Background Data'!G7)^(1/4)</f>
        <v>1.1991636986110046</v>
      </c>
      <c r="AX63" s="633"/>
      <c r="AY63" s="61" t="s">
        <v>179</v>
      </c>
      <c r="AZ63" s="255">
        <f>MAX('Background Data'!C13:X13)</f>
        <v>1161.2929999999999</v>
      </c>
      <c r="BA63" s="675">
        <f>AVERAGE('Background Data'!R13:W13)</f>
        <v>1039.4624999999999</v>
      </c>
      <c r="BB63" s="265">
        <f t="shared" si="23"/>
        <v>1.0394625</v>
      </c>
      <c r="BC63" s="61" t="s">
        <v>179</v>
      </c>
      <c r="BD63" s="109" cm="1">
        <f t="array" ref="BD63">AVERAGE('Background Data'!N13:V13/'Background Data'!M13:U13)</f>
        <v>1.0583621355018407</v>
      </c>
      <c r="BE63" s="633">
        <f>(('Background Data'!V13*BD63)/'Background Data'!C13)^(1/4)</f>
        <v>1.2669067932188689</v>
      </c>
      <c r="BF63" s="325">
        <f>('Background Data'!V13/'Background Data'!G13)^(1/4)</f>
        <v>1.1982254878950256</v>
      </c>
    </row>
    <row r="64" spans="33:81" x14ac:dyDescent="0.25">
      <c r="AJ64" s="319" t="s">
        <v>120</v>
      </c>
      <c r="AK64" s="76">
        <f>'Background Data'!$X$5*BD7</f>
        <v>14.716722852336245</v>
      </c>
      <c r="AL64" s="332">
        <f t="shared" si="24"/>
        <v>14.7</v>
      </c>
      <c r="AN64" s="61" t="s">
        <v>19</v>
      </c>
      <c r="AO64" s="255">
        <f>MAX('Background Data'!C8:X8)</f>
        <v>46.911999999999999</v>
      </c>
      <c r="AP64" s="675">
        <f>AVERAGE('Background Data'!R8:V8)</f>
        <v>40.601599999999998</v>
      </c>
      <c r="AQ64" s="76">
        <f t="shared" si="22"/>
        <v>4.0601600000000002E-2</v>
      </c>
      <c r="AR64" s="61" t="s">
        <v>19</v>
      </c>
      <c r="AS64" s="109" cm="1">
        <f t="array" ref="AS64">AVERAGE('Background Data'!N8:V8/'Background Data'!M8:U8)</f>
        <v>1.0612786300199297</v>
      </c>
      <c r="AT64" s="680">
        <f>(('Background Data'!V8*AS64)/'Background Data'!C8)^(1/4)</f>
        <v>1.1827206001153154</v>
      </c>
      <c r="AU64" s="682">
        <f>('Background Data'!V8/'Background Data'!G8)^(1/4)</f>
        <v>1.1879325695691261</v>
      </c>
      <c r="AX64" s="633"/>
      <c r="AY64" s="61" t="s">
        <v>19</v>
      </c>
      <c r="AZ64" s="255">
        <f>MAX('Background Data'!C14:X14)</f>
        <v>422.61799999999999</v>
      </c>
      <c r="BA64" s="675">
        <f>AVERAGE('Background Data'!R14:W14)</f>
        <v>390.9375</v>
      </c>
      <c r="BB64" s="265">
        <f t="shared" si="23"/>
        <v>0.39093749999999999</v>
      </c>
      <c r="BC64" s="61" t="s">
        <v>19</v>
      </c>
      <c r="BD64" s="109" cm="1">
        <f t="array" ref="BD64">AVERAGE('Background Data'!N14:V14/'Background Data'!M14:U14)</f>
        <v>1.0293658414483988</v>
      </c>
      <c r="BE64" s="633">
        <f>(('Background Data'!V14*BD64)/'Background Data'!C14)^(1/4)</f>
        <v>1.1983414303887756</v>
      </c>
      <c r="BF64" s="325">
        <f>('Background Data'!V14/'Background Data'!G14)^(1/4)</f>
        <v>1.1520928873027838</v>
      </c>
    </row>
    <row r="65" spans="36:58" ht="15.75" thickBot="1" x14ac:dyDescent="0.3">
      <c r="AJ65" s="319" t="s">
        <v>121</v>
      </c>
      <c r="AK65" s="76">
        <f>'Background Data'!$X$5*BD8</f>
        <v>15.175309419149436</v>
      </c>
      <c r="AL65" s="332">
        <f t="shared" si="24"/>
        <v>15.2</v>
      </c>
      <c r="AN65" s="64" t="s">
        <v>20</v>
      </c>
      <c r="AO65" s="677">
        <f>MAX('Background Data'!C9:X9)</f>
        <v>14.052</v>
      </c>
      <c r="AP65" s="676">
        <f>AVERAGE('Background Data'!R9:V9)</f>
        <v>11.939</v>
      </c>
      <c r="AQ65" s="76">
        <f t="shared" si="22"/>
        <v>1.1939E-2</v>
      </c>
      <c r="AR65" s="64" t="s">
        <v>20</v>
      </c>
      <c r="AS65" s="678" cm="1">
        <f t="array" ref="AS65">AVERAGE('Background Data'!N9:V9/'Background Data'!M9:U9)</f>
        <v>1.0942954149801651</v>
      </c>
      <c r="AT65" s="681">
        <f>(('Background Data'!V9*AS65)/'Background Data'!C9)^(1/4)</f>
        <v>1.0625145789048893</v>
      </c>
      <c r="AU65" s="683">
        <f>('Background Data'!V9/'Background Data'!G9)^(1/4)</f>
        <v>1.0481034326147007</v>
      </c>
      <c r="AX65" s="633"/>
      <c r="AY65" s="64" t="s">
        <v>20</v>
      </c>
      <c r="AZ65" s="677">
        <f>MAX('Background Data'!C15:X15)</f>
        <v>148.09800000000001</v>
      </c>
      <c r="BA65" s="676">
        <f>AVERAGE('Background Data'!R15:W15)</f>
        <v>128.21733333333333</v>
      </c>
      <c r="BB65" s="265">
        <f t="shared" si="23"/>
        <v>0.12821733333333332</v>
      </c>
      <c r="BC65" s="64" t="s">
        <v>20</v>
      </c>
      <c r="BD65" s="678" cm="1">
        <f t="array" ref="BD65">AVERAGE('Background Data'!N15:V15/'Background Data'!M15:U15)</f>
        <v>1.019772089707403</v>
      </c>
      <c r="BE65" s="679">
        <f>(('Background Data'!V15*BD65)/'Background Data'!C15)^(1/4)</f>
        <v>1.0801834871468274</v>
      </c>
      <c r="BF65" s="329">
        <f>('Background Data'!V15/'Background Data'!G15)^(1/4)</f>
        <v>1.0536093598788325</v>
      </c>
    </row>
    <row r="66" spans="36:58" x14ac:dyDescent="0.25">
      <c r="AJ66" s="319" t="s">
        <v>122</v>
      </c>
      <c r="AK66" s="76">
        <f>'Background Data'!$X$5*BD9</f>
        <v>1.1949290352924151</v>
      </c>
      <c r="AL66" s="332">
        <f t="shared" si="24"/>
        <v>1.2</v>
      </c>
      <c r="AX66" s="633"/>
    </row>
    <row r="67" spans="36:58" ht="15.75" thickBot="1" x14ac:dyDescent="0.3">
      <c r="AJ67" s="317" t="s">
        <v>178</v>
      </c>
      <c r="AL67" s="332"/>
    </row>
    <row r="68" spans="36:58" x14ac:dyDescent="0.25">
      <c r="AJ68" s="319" t="s">
        <v>97</v>
      </c>
      <c r="AK68" s="76">
        <f>'Background Data'!$X$6*BD32</f>
        <v>292.53147838497671</v>
      </c>
      <c r="AL68" s="332">
        <f t="shared" si="24"/>
        <v>292.5</v>
      </c>
      <c r="AN68" s="259" t="s">
        <v>2852</v>
      </c>
      <c r="AO68" s="66"/>
      <c r="AP68" s="66"/>
      <c r="AQ68" s="66"/>
      <c r="AR68" s="66"/>
      <c r="AS68" s="66"/>
      <c r="AT68" s="66"/>
      <c r="AU68" s="260"/>
    </row>
    <row r="69" spans="36:58" ht="15.75" thickBot="1" x14ac:dyDescent="0.3">
      <c r="AJ69" s="319" t="s">
        <v>96</v>
      </c>
      <c r="AK69" s="76">
        <f>'Background Data'!$X$6*BD33</f>
        <v>14.40319182991133</v>
      </c>
      <c r="AL69" s="332">
        <f t="shared" si="24"/>
        <v>14.4</v>
      </c>
      <c r="AN69" s="216" t="s">
        <v>2685</v>
      </c>
      <c r="AO69" s="83">
        <v>2021</v>
      </c>
      <c r="AP69" s="83">
        <v>2025</v>
      </c>
      <c r="AQ69" s="83">
        <v>2030</v>
      </c>
      <c r="AR69" s="83">
        <v>2035</v>
      </c>
      <c r="AS69" s="83">
        <v>2040</v>
      </c>
      <c r="AT69" s="83">
        <v>2045</v>
      </c>
      <c r="AU69" s="316">
        <v>2050</v>
      </c>
    </row>
    <row r="70" spans="36:58" ht="15.75" thickTop="1" x14ac:dyDescent="0.25">
      <c r="AJ70" s="319" t="s">
        <v>120</v>
      </c>
      <c r="AK70" s="76">
        <f>'Background Data'!$X$6*BD34</f>
        <v>18.160321756599075</v>
      </c>
      <c r="AL70" s="332">
        <f t="shared" si="24"/>
        <v>18.2</v>
      </c>
      <c r="AN70" s="61" t="s">
        <v>8</v>
      </c>
      <c r="AO70" s="419">
        <v>4271.4805627041596</v>
      </c>
      <c r="AP70" s="419">
        <v>5644.0667690287901</v>
      </c>
      <c r="AQ70" s="419">
        <v>5701.7852593191601</v>
      </c>
      <c r="AR70" s="419">
        <v>6157.3914058891396</v>
      </c>
      <c r="AS70" s="419">
        <v>6473.9098663525801</v>
      </c>
      <c r="AT70" s="419">
        <v>7120.6518344283104</v>
      </c>
      <c r="AU70" s="733">
        <v>7510.7558181288596</v>
      </c>
    </row>
    <row r="71" spans="36:58" x14ac:dyDescent="0.25">
      <c r="AJ71" s="319" t="s">
        <v>121</v>
      </c>
      <c r="AK71" s="76">
        <f>'Background Data'!$X$6*BD35</f>
        <v>33.588302718008201</v>
      </c>
      <c r="AL71" s="332">
        <f t="shared" si="24"/>
        <v>33.6</v>
      </c>
      <c r="AN71" s="61" t="s">
        <v>178</v>
      </c>
      <c r="AO71" s="419">
        <v>4112.37676407651</v>
      </c>
      <c r="AP71" s="419">
        <v>5461.9251114591498</v>
      </c>
      <c r="AQ71" s="419">
        <v>5930.8506886893401</v>
      </c>
      <c r="AR71" s="419">
        <v>6727.2119889187097</v>
      </c>
      <c r="AS71" s="419">
        <v>6689.3595588356102</v>
      </c>
      <c r="AT71" s="419">
        <v>7021.8978313594798</v>
      </c>
      <c r="AU71" s="733">
        <v>8114.6413598628396</v>
      </c>
    </row>
    <row r="72" spans="36:58" x14ac:dyDescent="0.25">
      <c r="AJ72" s="319" t="s">
        <v>122</v>
      </c>
      <c r="AK72" s="76">
        <f>'Background Data'!$X$6*BD36</f>
        <v>6.8857053105046777</v>
      </c>
      <c r="AL72" s="332">
        <f t="shared" si="24"/>
        <v>6.9</v>
      </c>
      <c r="AN72" s="61" t="s">
        <v>179</v>
      </c>
      <c r="AO72" s="419">
        <v>1149.22821584023</v>
      </c>
      <c r="AP72" s="419">
        <v>1500.6980084044101</v>
      </c>
      <c r="AQ72" s="419">
        <v>1579.01517215846</v>
      </c>
      <c r="AR72" s="419">
        <v>1927.7704782170699</v>
      </c>
      <c r="AS72" s="419">
        <v>1830.9602613310999</v>
      </c>
      <c r="AT72" s="419">
        <v>1892.85580104622</v>
      </c>
      <c r="AU72" s="733">
        <v>2285.3226711167099</v>
      </c>
    </row>
    <row r="73" spans="36:58" x14ac:dyDescent="0.25">
      <c r="AJ73" s="317" t="s">
        <v>179</v>
      </c>
      <c r="AL73" s="332"/>
      <c r="AN73" s="61" t="s">
        <v>19</v>
      </c>
      <c r="AO73" s="419">
        <v>432.74719892996501</v>
      </c>
      <c r="AP73" s="419">
        <v>494.75146665756898</v>
      </c>
      <c r="AQ73" s="419">
        <v>530.02353463390796</v>
      </c>
      <c r="AR73" s="419">
        <v>608.17328302444798</v>
      </c>
      <c r="AS73" s="419">
        <v>595.21845160441001</v>
      </c>
      <c r="AT73" s="419">
        <v>644.84678098421</v>
      </c>
      <c r="AU73" s="733">
        <v>714.80372829502198</v>
      </c>
    </row>
    <row r="74" spans="36:58" ht="15.75" thickBot="1" x14ac:dyDescent="0.3">
      <c r="AJ74" s="319" t="s">
        <v>97</v>
      </c>
      <c r="AK74" s="76">
        <f>'Background Data'!$X$7*BD38</f>
        <v>82.346008679880811</v>
      </c>
      <c r="AL74" s="332">
        <f>ROUND(AK74, 1)</f>
        <v>82.3</v>
      </c>
      <c r="AN74" s="64" t="s">
        <v>20</v>
      </c>
      <c r="AO74" s="729">
        <v>150.52779497867701</v>
      </c>
      <c r="AP74" s="729">
        <v>153.33293914699601</v>
      </c>
      <c r="AQ74" s="729">
        <v>159.612065537288</v>
      </c>
      <c r="AR74" s="729">
        <v>176.24471718107799</v>
      </c>
      <c r="AS74" s="729">
        <v>177.53503348585599</v>
      </c>
      <c r="AT74" s="729">
        <v>193.55122843763101</v>
      </c>
      <c r="AU74" s="734">
        <v>210.28769960909401</v>
      </c>
    </row>
    <row r="75" spans="36:58" x14ac:dyDescent="0.25">
      <c r="AJ75" s="319" t="s">
        <v>96</v>
      </c>
      <c r="AK75" s="76">
        <f>'Background Data'!$X$7*BD39</f>
        <v>13.56772975774064</v>
      </c>
      <c r="AL75" s="332">
        <f t="shared" si="24"/>
        <v>13.6</v>
      </c>
    </row>
    <row r="76" spans="36:58" x14ac:dyDescent="0.25">
      <c r="AJ76" s="319" t="s">
        <v>120</v>
      </c>
      <c r="AK76" s="76">
        <f>'Background Data'!$X$7*BD40</f>
        <v>1.5325235134084725</v>
      </c>
      <c r="AL76" s="332">
        <f t="shared" si="24"/>
        <v>1.5</v>
      </c>
      <c r="AQ76" s="80"/>
      <c r="AR76" s="80"/>
      <c r="AS76" s="80"/>
      <c r="AT76" s="80"/>
      <c r="AU76" s="80"/>
    </row>
    <row r="77" spans="36:58" x14ac:dyDescent="0.25">
      <c r="AJ77" s="319" t="s">
        <v>121</v>
      </c>
      <c r="AK77" s="76">
        <f>'Background Data'!$X$7*BD41</f>
        <v>4.2984770047933667</v>
      </c>
      <c r="AL77" s="332">
        <f t="shared" si="24"/>
        <v>4.3</v>
      </c>
    </row>
    <row r="78" spans="36:58" x14ac:dyDescent="0.25">
      <c r="AJ78" s="319" t="s">
        <v>122</v>
      </c>
      <c r="AK78" s="76">
        <f>'Background Data'!$X$7*BD42</f>
        <v>0.41026104417670678</v>
      </c>
      <c r="AL78" s="332">
        <f t="shared" si="24"/>
        <v>0.4</v>
      </c>
    </row>
    <row r="79" spans="36:58" x14ac:dyDescent="0.25">
      <c r="AJ79" s="317" t="s">
        <v>19</v>
      </c>
      <c r="AL79" s="332"/>
    </row>
    <row r="80" spans="36:58" x14ac:dyDescent="0.25">
      <c r="AJ80" s="319" t="s">
        <v>97</v>
      </c>
      <c r="AK80" s="76">
        <f>'Background Data'!$X$8*BB29</f>
        <v>18.059336524922557</v>
      </c>
      <c r="AL80" s="332">
        <f t="shared" si="24"/>
        <v>18.100000000000001</v>
      </c>
    </row>
    <row r="81" spans="36:48" x14ac:dyDescent="0.25">
      <c r="AJ81" s="319" t="s">
        <v>96</v>
      </c>
      <c r="AK81" s="76">
        <f>'Background Data'!$X$8*BB30</f>
        <v>28.849591166589168</v>
      </c>
      <c r="AL81" s="332">
        <f t="shared" si="24"/>
        <v>28.8</v>
      </c>
    </row>
    <row r="82" spans="36:48" ht="15.75" thickBot="1" x14ac:dyDescent="0.3">
      <c r="AJ82" s="335" t="s">
        <v>2686</v>
      </c>
      <c r="AK82" s="333">
        <f>'Background Data'!X9</f>
        <v>12.577</v>
      </c>
      <c r="AL82" s="334">
        <f t="shared" si="24"/>
        <v>12.6</v>
      </c>
    </row>
    <row r="83" spans="36:48" ht="15.75" thickBot="1" x14ac:dyDescent="0.3"/>
    <row r="84" spans="36:48" x14ac:dyDescent="0.25">
      <c r="AJ84" s="663" t="s">
        <v>2963</v>
      </c>
      <c r="AK84" s="665"/>
      <c r="AL84" s="664"/>
      <c r="AN84" s="663" t="s">
        <v>2964</v>
      </c>
      <c r="AO84" s="665"/>
      <c r="AP84" s="665"/>
      <c r="AR84" s="259" t="s">
        <v>2970</v>
      </c>
      <c r="AS84" s="66"/>
      <c r="AT84" s="66"/>
      <c r="AU84" s="260"/>
    </row>
    <row r="85" spans="36:48" ht="15.75" thickBot="1" x14ac:dyDescent="0.3">
      <c r="AJ85" s="216" t="s">
        <v>2685</v>
      </c>
      <c r="AK85" s="83" t="s">
        <v>2968</v>
      </c>
      <c r="AL85" s="316" t="s">
        <v>2690</v>
      </c>
      <c r="AN85" s="216" t="s">
        <v>2685</v>
      </c>
      <c r="AO85" s="83" t="s">
        <v>2968</v>
      </c>
      <c r="AP85" s="316" t="s">
        <v>2690</v>
      </c>
      <c r="AR85" s="216" t="s">
        <v>2969</v>
      </c>
      <c r="AS85" s="83" t="s">
        <v>2971</v>
      </c>
      <c r="AT85" s="83" t="s">
        <v>2972</v>
      </c>
      <c r="AU85" s="316" t="s">
        <v>2973</v>
      </c>
    </row>
    <row r="86" spans="36:48" ht="15.75" thickTop="1" x14ac:dyDescent="0.25">
      <c r="AJ86" s="317" t="s">
        <v>8</v>
      </c>
      <c r="AL86" s="60"/>
      <c r="AN86" s="317" t="s">
        <v>8</v>
      </c>
      <c r="AP86" s="60"/>
      <c r="AR86" s="773" t="s">
        <v>8</v>
      </c>
      <c r="AS86" s="777">
        <v>457.18333663659502</v>
      </c>
      <c r="AT86" s="701"/>
      <c r="AU86" s="774"/>
    </row>
    <row r="87" spans="36:48" x14ac:dyDescent="0.25">
      <c r="AJ87" s="319" t="s">
        <v>97</v>
      </c>
      <c r="AK87" s="28">
        <f>BD5</f>
        <v>0.80563846529549032</v>
      </c>
      <c r="AL87" s="667">
        <f>ROUND(AK87, 4)</f>
        <v>0.80559999999999998</v>
      </c>
      <c r="AN87" s="319" t="s">
        <v>97</v>
      </c>
      <c r="AO87" s="28">
        <f>'Background Data'!AX40/'Background Data'!AX$39</f>
        <v>0.94710332980006584</v>
      </c>
      <c r="AP87" s="667">
        <f>ROUND(AO87, 4)</f>
        <v>0.94710000000000005</v>
      </c>
      <c r="AR87" s="771">
        <v>3608.7539999999999</v>
      </c>
      <c r="AS87" s="57">
        <f>$AS$86*AT87</f>
        <v>420.60866970566741</v>
      </c>
      <c r="AT87" s="783">
        <v>0.92</v>
      </c>
      <c r="AU87" s="779">
        <f>(AR87+AS87)/SUM($AR$87:$AS$91)</f>
        <v>0.94304635630851219</v>
      </c>
      <c r="AV87" s="28">
        <f>AU87-AP87</f>
        <v>-4.0536436914878626E-3</v>
      </c>
    </row>
    <row r="88" spans="36:48" x14ac:dyDescent="0.25">
      <c r="AJ88" s="319" t="s">
        <v>96</v>
      </c>
      <c r="AK88" s="28">
        <f t="shared" ref="AK88:AK91" si="25">BD6</f>
        <v>0</v>
      </c>
      <c r="AL88" s="667">
        <f t="shared" ref="AL88:AL91" si="26">ROUND(AK88, 4)</f>
        <v>0</v>
      </c>
      <c r="AN88" s="319" t="s">
        <v>96</v>
      </c>
      <c r="AO88" s="28">
        <f>'Background Data'!AX41/'Background Data'!AX$39</f>
        <v>1.1792363490159462E-2</v>
      </c>
      <c r="AP88" s="667">
        <f>ROUND(AO88, 4)</f>
        <v>1.18E-2</v>
      </c>
      <c r="AR88" s="771">
        <v>62.314639999999997</v>
      </c>
      <c r="AS88" s="57">
        <f t="shared" ref="AS88:AS91" si="27">$AS$86*AT88</f>
        <v>0</v>
      </c>
      <c r="AT88" s="784">
        <v>0</v>
      </c>
      <c r="AU88" s="779">
        <f t="shared" ref="AU88:AU91" si="28">(AR88+AS88)/SUM($AR$87:$AS$91)</f>
        <v>1.4584339761347249E-2</v>
      </c>
      <c r="AV88" s="28">
        <f t="shared" ref="AV88:AV107" si="29">AU88-AP88</f>
        <v>2.7843397613472494E-3</v>
      </c>
    </row>
    <row r="89" spans="36:48" x14ac:dyDescent="0.25">
      <c r="AJ89" s="319" t="s">
        <v>120</v>
      </c>
      <c r="AK89" s="28">
        <f t="shared" si="25"/>
        <v>9.2011721929776955E-2</v>
      </c>
      <c r="AL89" s="667">
        <f t="shared" si="26"/>
        <v>9.1999999999999998E-2</v>
      </c>
      <c r="AN89" s="319" t="s">
        <v>2965</v>
      </c>
      <c r="AO89" s="28">
        <f>'Background Data'!AX42/'Background Data'!AX$39</f>
        <v>1.3570737899112475E-2</v>
      </c>
      <c r="AP89" s="667">
        <f>ROUND(AO89, 4)</f>
        <v>1.3599999999999999E-2</v>
      </c>
      <c r="AR89" s="771">
        <v>40.81691</v>
      </c>
      <c r="AS89" s="57">
        <f t="shared" si="27"/>
        <v>18.287333465463799</v>
      </c>
      <c r="AT89" s="784">
        <v>0.04</v>
      </c>
      <c r="AU89" s="779">
        <f t="shared" si="28"/>
        <v>1.3832967149255969E-2</v>
      </c>
      <c r="AV89" s="28">
        <f t="shared" si="29"/>
        <v>2.3296714925596929E-4</v>
      </c>
    </row>
    <row r="90" spans="36:48" x14ac:dyDescent="0.25">
      <c r="AJ90" s="319" t="s">
        <v>121</v>
      </c>
      <c r="AK90" s="28">
        <f t="shared" si="25"/>
        <v>9.4878891481702574E-2</v>
      </c>
      <c r="AL90" s="667">
        <f t="shared" si="26"/>
        <v>9.4899999999999998E-2</v>
      </c>
      <c r="AN90" s="319" t="s">
        <v>2967</v>
      </c>
      <c r="AO90" s="28">
        <f>'Background Data'!AX43/'Background Data'!AX$39</f>
        <v>2.2345646604574197E-2</v>
      </c>
      <c r="AP90" s="667">
        <f>ROUND(AO90, 4)</f>
        <v>2.23E-2</v>
      </c>
      <c r="AR90" s="771">
        <v>78.217399999999998</v>
      </c>
      <c r="AS90" s="57">
        <f t="shared" si="27"/>
        <v>18.287333465463799</v>
      </c>
      <c r="AT90" s="784">
        <v>0.04</v>
      </c>
      <c r="AU90" s="779">
        <f t="shared" si="28"/>
        <v>2.2586310719897959E-2</v>
      </c>
      <c r="AV90" s="28">
        <f t="shared" si="29"/>
        <v>2.8631071989795864E-4</v>
      </c>
    </row>
    <row r="91" spans="36:48" x14ac:dyDescent="0.25">
      <c r="AJ91" s="319" t="s">
        <v>122</v>
      </c>
      <c r="AK91" s="28">
        <f t="shared" si="25"/>
        <v>7.470921293030155E-3</v>
      </c>
      <c r="AL91" s="667">
        <f t="shared" si="26"/>
        <v>7.4999999999999997E-3</v>
      </c>
      <c r="AN91" s="319" t="s">
        <v>2966</v>
      </c>
      <c r="AO91" s="28">
        <f>'Background Data'!AX44/'Background Data'!AX$39</f>
        <v>5.1855962305905655E-3</v>
      </c>
      <c r="AP91" s="667">
        <f>ROUND(AO91, 4)</f>
        <v>5.1999999999999998E-3</v>
      </c>
      <c r="AR91" s="771">
        <v>25.422730000000001</v>
      </c>
      <c r="AS91" s="57">
        <f t="shared" si="27"/>
        <v>0</v>
      </c>
      <c r="AT91" s="784">
        <v>0</v>
      </c>
      <c r="AU91" s="779">
        <f t="shared" si="28"/>
        <v>5.950026060986561E-3</v>
      </c>
      <c r="AV91" s="28">
        <f t="shared" si="29"/>
        <v>7.5002606098656128E-4</v>
      </c>
    </row>
    <row r="92" spans="36:48" x14ac:dyDescent="0.25">
      <c r="AJ92" s="317" t="s">
        <v>178</v>
      </c>
      <c r="AL92" s="669"/>
      <c r="AN92" s="317" t="s">
        <v>178</v>
      </c>
      <c r="AP92" s="669"/>
      <c r="AR92" s="775" t="s">
        <v>178</v>
      </c>
      <c r="AS92" s="778">
        <v>301.14760207166597</v>
      </c>
      <c r="AT92" s="781">
        <f>SUM(AT87:AT91)</f>
        <v>1</v>
      </c>
      <c r="AU92" s="776"/>
      <c r="AV92" s="782" cm="1">
        <f t="array" ref="AV92">SUM(ABS(AV87:AV91))</f>
        <v>8.1072873829756004E-3</v>
      </c>
    </row>
    <row r="93" spans="36:48" x14ac:dyDescent="0.25">
      <c r="AJ93" s="319" t="s">
        <v>97</v>
      </c>
      <c r="AK93" s="28">
        <f>BD32</f>
        <v>0.8002086566010157</v>
      </c>
      <c r="AL93" s="667">
        <f>ROUND(AK93, 4)</f>
        <v>0.80020000000000002</v>
      </c>
      <c r="AM93" s="76"/>
      <c r="AN93" s="319" t="s">
        <v>97</v>
      </c>
      <c r="AO93" s="28">
        <f>('Background Data'!AX33-'Background Data'!AX40)/('Background Data'!AX$32-'Background Data'!AX$39)</f>
        <v>0.94046614141362039</v>
      </c>
      <c r="AP93" s="667">
        <f>ROUND(AO93, 4)</f>
        <v>0.9405</v>
      </c>
      <c r="AR93" s="771">
        <v>3641.76289</v>
      </c>
      <c r="AS93" s="57">
        <f>$AS$92*AT93</f>
        <v>216.82627349159949</v>
      </c>
      <c r="AT93" s="784">
        <v>0.72</v>
      </c>
      <c r="AU93" s="779">
        <f>(AR93+AS93)/SUM($AR$93:$AS$97)</f>
        <v>0.93826717686110805</v>
      </c>
      <c r="AV93" s="28">
        <f t="shared" si="29"/>
        <v>-2.2328231388919484E-3</v>
      </c>
    </row>
    <row r="94" spans="36:48" x14ac:dyDescent="0.25">
      <c r="AJ94" s="319" t="s">
        <v>96</v>
      </c>
      <c r="AK94" s="28">
        <f t="shared" ref="AK94:AK97" si="30">BD33</f>
        <v>3.9399379679106623E-2</v>
      </c>
      <c r="AL94" s="667">
        <f t="shared" ref="AL94:AL97" si="31">ROUND(AK94, 4)</f>
        <v>3.9399999999999998E-2</v>
      </c>
      <c r="AM94" s="76"/>
      <c r="AN94" s="319" t="s">
        <v>96</v>
      </c>
      <c r="AO94" s="28">
        <f>('Background Data'!AX34-'Background Data'!AX41)/('Background Data'!AX$32-'Background Data'!AX$39)</f>
        <v>2.750149035509632E-2</v>
      </c>
      <c r="AP94" s="667">
        <f>ROUND(AO94, 4)</f>
        <v>2.75E-2</v>
      </c>
      <c r="AR94" s="771">
        <v>139.43601000000001</v>
      </c>
      <c r="AS94" s="57">
        <f t="shared" ref="AS94:AS97" si="32">$AS$92*AT94</f>
        <v>0</v>
      </c>
      <c r="AT94" s="784">
        <v>0</v>
      </c>
      <c r="AU94" s="779">
        <f t="shared" ref="AU94:AU97" si="33">(AR94+AS94)/SUM($AR$93:$AS$97)</f>
        <v>3.3905716807925743E-2</v>
      </c>
      <c r="AV94" s="28">
        <f t="shared" si="29"/>
        <v>6.4057168079257425E-3</v>
      </c>
    </row>
    <row r="95" spans="36:48" x14ac:dyDescent="0.25">
      <c r="AJ95" s="319" t="s">
        <v>120</v>
      </c>
      <c r="AK95" s="28">
        <f t="shared" si="30"/>
        <v>4.9676864713909204E-2</v>
      </c>
      <c r="AL95" s="667">
        <f t="shared" si="31"/>
        <v>4.9700000000000001E-2</v>
      </c>
      <c r="AN95" s="319" t="s">
        <v>2965</v>
      </c>
      <c r="AO95" s="28">
        <f>('Background Data'!AX35-'Background Data'!AX42)/('Background Data'!AX$32-'Background Data'!AX$39)</f>
        <v>8.5068774556142004E-3</v>
      </c>
      <c r="AP95" s="667">
        <f>ROUND(AO95, 4)</f>
        <v>8.5000000000000006E-3</v>
      </c>
      <c r="AR95" s="771">
        <v>4.4483800000000002</v>
      </c>
      <c r="AS95" s="57">
        <f t="shared" si="32"/>
        <v>24.09180816573328</v>
      </c>
      <c r="AT95" s="784">
        <v>0.08</v>
      </c>
      <c r="AU95" s="779">
        <f t="shared" si="33"/>
        <v>6.9399256160031127E-3</v>
      </c>
      <c r="AV95" s="28">
        <f t="shared" si="29"/>
        <v>-1.5600743839968879E-3</v>
      </c>
    </row>
    <row r="96" spans="36:48" x14ac:dyDescent="0.25">
      <c r="AJ96" s="319" t="s">
        <v>121</v>
      </c>
      <c r="AK96" s="28">
        <f t="shared" si="30"/>
        <v>9.1879515817829729E-2</v>
      </c>
      <c r="AL96" s="667">
        <f t="shared" si="31"/>
        <v>9.1899999999999996E-2</v>
      </c>
      <c r="AN96" s="319" t="s">
        <v>2967</v>
      </c>
      <c r="AO96" s="28">
        <f>('Background Data'!AX36-'Background Data'!AX43)/('Background Data'!AX$32-'Background Data'!AX$39)</f>
        <v>2.0096830924793856E-2</v>
      </c>
      <c r="AP96" s="667">
        <f>ROUND(AO96, 4)</f>
        <v>2.01E-2</v>
      </c>
      <c r="AR96" s="771">
        <v>21.15926</v>
      </c>
      <c r="AS96" s="57">
        <f t="shared" si="32"/>
        <v>54.206568372899874</v>
      </c>
      <c r="AT96" s="784">
        <v>0.18</v>
      </c>
      <c r="AU96" s="779">
        <f t="shared" si="33"/>
        <v>1.832620163045599E-2</v>
      </c>
      <c r="AV96" s="28">
        <f t="shared" si="29"/>
        <v>-1.77379836954401E-3</v>
      </c>
    </row>
    <row r="97" spans="36:48" x14ac:dyDescent="0.25">
      <c r="AJ97" s="319" t="s">
        <v>122</v>
      </c>
      <c r="AK97" s="28">
        <f t="shared" si="30"/>
        <v>1.8835583188138702E-2</v>
      </c>
      <c r="AL97" s="667">
        <f t="shared" si="31"/>
        <v>1.8800000000000001E-2</v>
      </c>
      <c r="AN97" s="319" t="s">
        <v>2966</v>
      </c>
      <c r="AO97" s="28">
        <f>('Background Data'!AX37-'Background Data'!AX44)/('Background Data'!AX$32-'Background Data'!AX$39)</f>
        <v>3.3992991115400599E-3</v>
      </c>
      <c r="AP97" s="667">
        <f>ROUND(AO97, 4)</f>
        <v>3.3999999999999998E-3</v>
      </c>
      <c r="AR97" s="771">
        <v>4.5089800000000002</v>
      </c>
      <c r="AS97" s="57">
        <f t="shared" si="32"/>
        <v>6.02295204143332</v>
      </c>
      <c r="AT97" s="784">
        <v>0.02</v>
      </c>
      <c r="AU97" s="779">
        <f t="shared" si="33"/>
        <v>2.5609790845073474E-3</v>
      </c>
      <c r="AV97" s="28">
        <f t="shared" si="29"/>
        <v>-8.3902091549265239E-4</v>
      </c>
    </row>
    <row r="98" spans="36:48" x14ac:dyDescent="0.25">
      <c r="AJ98" s="317" t="s">
        <v>179</v>
      </c>
      <c r="AL98" s="669"/>
      <c r="AN98" s="317" t="s">
        <v>179</v>
      </c>
      <c r="AP98" s="669"/>
      <c r="AR98" s="775" t="s">
        <v>179</v>
      </c>
      <c r="AS98" s="778">
        <v>114.754858085929</v>
      </c>
      <c r="AT98" s="781">
        <f>SUM(AT93:AT97)</f>
        <v>1</v>
      </c>
      <c r="AU98" s="776"/>
      <c r="AV98" s="782" cm="1">
        <f t="array" ref="AV98">SUM(ABS(AV93:AV97))</f>
        <v>1.2811433615851242E-2</v>
      </c>
    </row>
    <row r="99" spans="36:48" x14ac:dyDescent="0.25">
      <c r="AJ99" s="319" t="s">
        <v>97</v>
      </c>
      <c r="AK99" s="28">
        <f>BD38</f>
        <v>0.80608887161549425</v>
      </c>
      <c r="AL99" s="667">
        <f>ROUND(AK99, 4)</f>
        <v>0.80610000000000004</v>
      </c>
      <c r="AN99" s="319" t="s">
        <v>97</v>
      </c>
      <c r="AO99" s="28">
        <f>('Background Data'!AX54+'Background Data'!AX61)/('Background Data'!AX$53+'Background Data'!AX$60)</f>
        <v>0.9289702133152612</v>
      </c>
      <c r="AP99" s="667">
        <f>ROUND(AO99, 4)</f>
        <v>0.92900000000000005</v>
      </c>
      <c r="AR99" s="771">
        <v>959.82560000000001</v>
      </c>
      <c r="AS99" s="57">
        <f>$AS$98*AT99</f>
        <v>103.85314656776575</v>
      </c>
      <c r="AT99" s="784">
        <v>0.90500000000000003</v>
      </c>
      <c r="AU99" s="779">
        <f>(AR99+AS99)/SUM($AR$99:$AS$103)</f>
        <v>0.92558567835769556</v>
      </c>
      <c r="AV99" s="28">
        <f t="shared" si="29"/>
        <v>-3.4143216423044853E-3</v>
      </c>
    </row>
    <row r="100" spans="36:48" x14ac:dyDescent="0.25">
      <c r="AJ100" s="319" t="s">
        <v>96</v>
      </c>
      <c r="AK100" s="28">
        <f t="shared" ref="AK100:AK103" si="34">BD39</f>
        <v>0.13281513149371679</v>
      </c>
      <c r="AL100" s="667">
        <f t="shared" ref="AL100:AL107" si="35">ROUND(AK100, 4)</f>
        <v>0.1328</v>
      </c>
      <c r="AN100" s="319" t="s">
        <v>96</v>
      </c>
      <c r="AO100" s="28">
        <f>('Background Data'!AX55+'Background Data'!AX62)/('Background Data'!AX$53+'Background Data'!AX$60)</f>
        <v>6.0252833299594848E-2</v>
      </c>
      <c r="AP100" s="667">
        <f>ROUND(AO100, 4)</f>
        <v>6.0299999999999999E-2</v>
      </c>
      <c r="AR100" s="771">
        <v>73.652060000000006</v>
      </c>
      <c r="AS100" s="57">
        <f t="shared" ref="AS100:AS103" si="36">$AS$98*AT100</f>
        <v>0</v>
      </c>
      <c r="AT100" s="784">
        <v>0</v>
      </c>
      <c r="AU100" s="779">
        <f t="shared" ref="AU100:AU103" si="37">(AR100+AS100)/SUM($AR$99:$AS$103)</f>
        <v>6.4090113803170354E-2</v>
      </c>
      <c r="AV100" s="28">
        <f t="shared" si="29"/>
        <v>3.7901138031703543E-3</v>
      </c>
    </row>
    <row r="101" spans="36:48" x14ac:dyDescent="0.25">
      <c r="AJ101" s="319" t="s">
        <v>120</v>
      </c>
      <c r="AK101" s="28">
        <f t="shared" si="34"/>
        <v>1.5001943256898562E-2</v>
      </c>
      <c r="AL101" s="667">
        <f t="shared" si="35"/>
        <v>1.4999999999999999E-2</v>
      </c>
      <c r="AN101" s="319" t="s">
        <v>2965</v>
      </c>
      <c r="AO101" s="28">
        <f>('Background Data'!AX56+'Background Data'!AX63)/('Background Data'!AX$53+'Background Data'!AX$60)</f>
        <v>1.0925402734871222E-3</v>
      </c>
      <c r="AP101" s="667">
        <f>ROUND(AO101, 4)</f>
        <v>1.1000000000000001E-3</v>
      </c>
      <c r="AR101" s="771">
        <v>0</v>
      </c>
      <c r="AS101" s="57">
        <f t="shared" si="36"/>
        <v>1.14754858085929</v>
      </c>
      <c r="AT101" s="784">
        <v>0.01</v>
      </c>
      <c r="AU101" s="779">
        <f t="shared" si="37"/>
        <v>9.9856703453967918E-4</v>
      </c>
      <c r="AV101" s="28">
        <f t="shared" si="29"/>
        <v>-1.0143296546032089E-4</v>
      </c>
    </row>
    <row r="102" spans="36:48" x14ac:dyDescent="0.25">
      <c r="AJ102" s="319" t="s">
        <v>121</v>
      </c>
      <c r="AK102" s="28">
        <f t="shared" si="34"/>
        <v>4.2077989376862288E-2</v>
      </c>
      <c r="AL102" s="667">
        <f t="shared" si="35"/>
        <v>4.2099999999999999E-2</v>
      </c>
      <c r="AN102" s="319" t="s">
        <v>2967</v>
      </c>
      <c r="AO102" s="28">
        <f>('Background Data'!AX57+'Background Data'!AX64)/('Background Data'!AX$53+'Background Data'!AX$60)</f>
        <v>8.333700056035228E-3</v>
      </c>
      <c r="AP102" s="667">
        <f>ROUND(AO102, 4)</f>
        <v>8.3000000000000001E-3</v>
      </c>
      <c r="AR102" s="771">
        <v>6.5820000000000004E-2</v>
      </c>
      <c r="AS102" s="57">
        <f t="shared" si="36"/>
        <v>9.1803886468743201</v>
      </c>
      <c r="AT102" s="784">
        <v>0.08</v>
      </c>
      <c r="AU102" s="779">
        <f t="shared" si="37"/>
        <v>8.0458111344887413E-3</v>
      </c>
      <c r="AV102" s="28">
        <f t="shared" si="29"/>
        <v>-2.5418886551125883E-4</v>
      </c>
    </row>
    <row r="103" spans="36:48" x14ac:dyDescent="0.25">
      <c r="AJ103" s="319" t="s">
        <v>122</v>
      </c>
      <c r="AK103" s="28">
        <f t="shared" si="34"/>
        <v>4.0160642570281121E-3</v>
      </c>
      <c r="AL103" s="667">
        <f t="shared" si="35"/>
        <v>4.0000000000000001E-3</v>
      </c>
      <c r="AN103" s="319" t="s">
        <v>2966</v>
      </c>
      <c r="AO103" s="28">
        <f>('Background Data'!AX58+'Background Data'!AX65)/('Background Data'!AX$53+'Background Data'!AX$60)</f>
        <v>1.2750214899503311E-3</v>
      </c>
      <c r="AP103" s="667">
        <f>ROUND(AO103, 4)</f>
        <v>1.2999999999999999E-3</v>
      </c>
      <c r="AR103" s="771">
        <v>0.89700000000000002</v>
      </c>
      <c r="AS103" s="57">
        <f t="shared" si="36"/>
        <v>0.57377429042964501</v>
      </c>
      <c r="AT103" s="784">
        <v>5.0000000000000001E-3</v>
      </c>
      <c r="AU103" s="779">
        <f t="shared" si="37"/>
        <v>1.2798296701058065E-3</v>
      </c>
      <c r="AV103" s="28">
        <f t="shared" si="29"/>
        <v>-2.017032989419347E-5</v>
      </c>
    </row>
    <row r="104" spans="36:48" x14ac:dyDescent="0.25">
      <c r="AJ104" s="317" t="s">
        <v>19</v>
      </c>
      <c r="AL104" s="669"/>
      <c r="AN104" s="317" t="s">
        <v>19</v>
      </c>
      <c r="AP104" s="669"/>
      <c r="AR104" s="775" t="s">
        <v>19</v>
      </c>
      <c r="AS104" s="778">
        <v>37.654479516917</v>
      </c>
      <c r="AT104" s="781">
        <f>SUM(AT99:AT103)</f>
        <v>1</v>
      </c>
      <c r="AU104" s="776"/>
      <c r="AV104" s="782" cm="1">
        <f t="array" ref="AV104">SUM(ABS(AV99:AV103))</f>
        <v>7.5802276063406133E-3</v>
      </c>
    </row>
    <row r="105" spans="36:48" x14ac:dyDescent="0.25">
      <c r="AJ105" s="319" t="s">
        <v>97</v>
      </c>
      <c r="AK105" s="28">
        <f>BB29</f>
        <v>0.38496198254012953</v>
      </c>
      <c r="AL105" s="667">
        <f t="shared" si="35"/>
        <v>0.38500000000000001</v>
      </c>
      <c r="AN105" s="319" t="s">
        <v>97</v>
      </c>
      <c r="AO105" s="28">
        <f>'Background Data'!AX75/'Background Data'!AX$74</f>
        <v>0.40317086220091158</v>
      </c>
      <c r="AP105" s="667">
        <f>ROUND(AO105, 4)</f>
        <v>0.4032</v>
      </c>
      <c r="AR105" s="771">
        <v>149.65428</v>
      </c>
      <c r="AS105" s="57">
        <f>$AS$104*AT105</f>
        <v>19.930516008304167</v>
      </c>
      <c r="AT105" s="784">
        <v>0.52929999999999999</v>
      </c>
      <c r="AU105" s="779">
        <f>(AR105+AS105)/SUM($AR$105:$AS$107)</f>
        <v>0.4029502695849787</v>
      </c>
      <c r="AV105" s="28">
        <f t="shared" si="29"/>
        <v>-2.4973041502129867E-4</v>
      </c>
    </row>
    <row r="106" spans="36:48" x14ac:dyDescent="0.25">
      <c r="AJ106" s="319" t="s">
        <v>96</v>
      </c>
      <c r="AK106" s="28">
        <f>BB30</f>
        <v>0.61497252657292734</v>
      </c>
      <c r="AL106" s="667">
        <f t="shared" si="35"/>
        <v>0.61499999999999999</v>
      </c>
      <c r="AN106" s="319" t="s">
        <v>96</v>
      </c>
      <c r="AO106" s="28">
        <f>'Background Data'!AX76/'Background Data'!AX$74</f>
        <v>0.59662596422790659</v>
      </c>
      <c r="AP106" s="667">
        <f>ROUND(AO106, 4)</f>
        <v>0.59660000000000002</v>
      </c>
      <c r="AR106" s="771">
        <v>233.54911999999999</v>
      </c>
      <c r="AS106" s="57">
        <f t="shared" ref="AS106:AS107" si="38">$AS$104*AT106</f>
        <v>17.697605372950989</v>
      </c>
      <c r="AT106" s="784">
        <v>0.47</v>
      </c>
      <c r="AU106" s="779">
        <f t="shared" ref="AU106:AU107" si="39">(AR106+AS106)/SUM($AR$105:$AS$107)</f>
        <v>0.5969871008743981</v>
      </c>
      <c r="AV106" s="28">
        <f t="shared" si="29"/>
        <v>3.8710087439808305E-4</v>
      </c>
    </row>
    <row r="107" spans="36:48" ht="15.75" thickBot="1" x14ac:dyDescent="0.3">
      <c r="AJ107" s="335" t="s">
        <v>2686</v>
      </c>
      <c r="AK107" s="666">
        <v>1</v>
      </c>
      <c r="AL107" s="668">
        <f t="shared" si="35"/>
        <v>1</v>
      </c>
      <c r="AN107" s="319" t="s">
        <v>2965</v>
      </c>
      <c r="AO107" s="28">
        <f>'Background Data'!AX77/'Background Data'!AX74</f>
        <v>1.3544904745457377E-4</v>
      </c>
      <c r="AP107" s="667">
        <f>ROUND(AO107, 4)</f>
        <v>1E-4</v>
      </c>
      <c r="AR107" s="772">
        <v>0</v>
      </c>
      <c r="AS107" s="741">
        <f t="shared" si="38"/>
        <v>2.6358135661841899E-2</v>
      </c>
      <c r="AT107" s="785">
        <v>6.9999999999999999E-4</v>
      </c>
      <c r="AU107" s="780">
        <f t="shared" si="39"/>
        <v>6.2629540623302974E-5</v>
      </c>
      <c r="AV107" s="28">
        <f t="shared" si="29"/>
        <v>-3.7370459376697031E-5</v>
      </c>
    </row>
    <row r="108" spans="36:48" ht="15.75" thickBot="1" x14ac:dyDescent="0.3">
      <c r="AN108" s="335" t="s">
        <v>2686</v>
      </c>
      <c r="AO108" s="666">
        <v>1</v>
      </c>
      <c r="AP108" s="668">
        <f>ROUND(AO108, 4)</f>
        <v>1</v>
      </c>
      <c r="AT108" s="28">
        <f>SUM(AT105:AT107)</f>
        <v>1</v>
      </c>
      <c r="AV108" s="782" cm="1">
        <f t="array" ref="AV108">SUM(ABS(AV103:AV107))</f>
        <v>8.274599685030885E-3</v>
      </c>
    </row>
    <row r="109" spans="36:48" x14ac:dyDescent="0.25">
      <c r="AJ109" s="663" t="s">
        <v>2694</v>
      </c>
      <c r="AK109" s="66"/>
      <c r="AL109" s="260"/>
    </row>
    <row r="110" spans="36:48" ht="15.75" thickBot="1" x14ac:dyDescent="0.3">
      <c r="AJ110" s="216" t="s">
        <v>2685</v>
      </c>
      <c r="AK110" s="83">
        <v>2021</v>
      </c>
      <c r="AL110" s="316" t="s">
        <v>2689</v>
      </c>
    </row>
    <row r="111" spans="36:48" ht="15.75" thickTop="1" x14ac:dyDescent="0.25">
      <c r="AJ111" s="317" t="s">
        <v>38</v>
      </c>
      <c r="AL111" s="60"/>
    </row>
    <row r="112" spans="36:48" x14ac:dyDescent="0.25">
      <c r="AJ112" s="319" t="s">
        <v>97</v>
      </c>
      <c r="AK112" s="37" t="e">
        <f>BB47/BB$46</f>
        <v>#REF!</v>
      </c>
      <c r="AL112" s="672" t="e">
        <f>ROUNDDOWN(AK112, 1)</f>
        <v>#REF!</v>
      </c>
    </row>
    <row r="113" spans="36:38" x14ac:dyDescent="0.25">
      <c r="AJ113" s="319" t="s">
        <v>96</v>
      </c>
      <c r="AK113" s="37" t="e">
        <f t="shared" ref="AK113:AK114" si="40">BB48/BB$46</f>
        <v>#REF!</v>
      </c>
      <c r="AL113" s="672" t="e">
        <f t="shared" ref="AL113:AL114" si="41">ROUNDDOWN(AK113, 1)</f>
        <v>#REF!</v>
      </c>
    </row>
    <row r="114" spans="36:38" x14ac:dyDescent="0.25">
      <c r="AJ114" s="319" t="s">
        <v>224</v>
      </c>
      <c r="AK114" s="37" t="e">
        <f t="shared" si="40"/>
        <v>#REF!</v>
      </c>
      <c r="AL114" s="672" t="e">
        <f t="shared" si="41"/>
        <v>#REF!</v>
      </c>
    </row>
    <row r="115" spans="36:38" x14ac:dyDescent="0.25">
      <c r="AJ115" s="317" t="s">
        <v>252</v>
      </c>
      <c r="AL115" s="673"/>
    </row>
    <row r="116" spans="36:38" x14ac:dyDescent="0.25">
      <c r="AJ116" s="319" t="s">
        <v>97</v>
      </c>
      <c r="AK116" s="37" t="e">
        <f>BB51/BB$50</f>
        <v>#REF!</v>
      </c>
      <c r="AL116" s="672" t="e">
        <f t="shared" ref="AL116:AL122" si="42">ROUNDDOWN(AK116, 1)</f>
        <v>#REF!</v>
      </c>
    </row>
    <row r="117" spans="36:38" x14ac:dyDescent="0.25">
      <c r="AJ117" s="319" t="s">
        <v>96</v>
      </c>
      <c r="AK117" s="37" t="e">
        <f t="shared" ref="AK117:AK119" si="43">BB52/BB$50</f>
        <v>#REF!</v>
      </c>
      <c r="AL117" s="672" t="e">
        <f t="shared" si="42"/>
        <v>#REF!</v>
      </c>
    </row>
    <row r="118" spans="36:38" x14ac:dyDescent="0.25">
      <c r="AJ118" s="319" t="s">
        <v>224</v>
      </c>
      <c r="AK118" s="37" t="e">
        <f t="shared" si="43"/>
        <v>#REF!</v>
      </c>
      <c r="AL118" s="672" t="e">
        <f t="shared" si="42"/>
        <v>#REF!</v>
      </c>
    </row>
    <row r="119" spans="36:38" x14ac:dyDescent="0.25">
      <c r="AJ119" s="319" t="s">
        <v>44</v>
      </c>
      <c r="AK119" s="37" t="e">
        <f t="shared" si="43"/>
        <v>#REF!</v>
      </c>
      <c r="AL119" s="672" t="e">
        <f t="shared" si="42"/>
        <v>#REF!</v>
      </c>
    </row>
    <row r="120" spans="36:38" x14ac:dyDescent="0.25">
      <c r="AJ120" s="317" t="s">
        <v>266</v>
      </c>
      <c r="AL120" s="673"/>
    </row>
    <row r="121" spans="36:38" x14ac:dyDescent="0.25">
      <c r="AJ121" s="319" t="s">
        <v>97</v>
      </c>
      <c r="AK121" s="37" t="e">
        <f>BB56/BB$55</f>
        <v>#REF!</v>
      </c>
      <c r="AL121" s="672" t="e">
        <f t="shared" si="42"/>
        <v>#REF!</v>
      </c>
    </row>
    <row r="122" spans="36:38" ht="15.75" thickBot="1" x14ac:dyDescent="0.3">
      <c r="AJ122" s="321" t="s">
        <v>96</v>
      </c>
      <c r="AK122" s="666" t="e">
        <f>BB57/BB$55</f>
        <v>#REF!</v>
      </c>
      <c r="AL122" s="674" t="e">
        <f t="shared" si="42"/>
        <v>#REF!</v>
      </c>
    </row>
    <row r="150" spans="38:39" x14ac:dyDescent="0.25">
      <c r="AL150" s="109"/>
      <c r="AM150" s="109"/>
    </row>
    <row r="151" spans="38:39" x14ac:dyDescent="0.25">
      <c r="AL151" s="109"/>
      <c r="AM151" s="109"/>
    </row>
    <row r="152" spans="38:39" x14ac:dyDescent="0.25">
      <c r="AL152" s="109"/>
      <c r="AM152" s="109"/>
    </row>
    <row r="153" spans="38:39" x14ac:dyDescent="0.25">
      <c r="AL153" s="109"/>
      <c r="AM153" s="109"/>
    </row>
    <row r="154" spans="38:39" x14ac:dyDescent="0.25">
      <c r="AL154" s="109"/>
      <c r="AM154" s="109"/>
    </row>
  </sheetData>
  <mergeCells count="14">
    <mergeCell ref="BG26:CB26"/>
    <mergeCell ref="AJ44:BA44"/>
    <mergeCell ref="F1:Z1"/>
    <mergeCell ref="AG1:AG51"/>
    <mergeCell ref="BG1:BY1"/>
    <mergeCell ref="AK46:AK57"/>
    <mergeCell ref="AL46:AN57"/>
    <mergeCell ref="AB1:AF1"/>
    <mergeCell ref="AI1:AI51"/>
    <mergeCell ref="AJ1:BD1"/>
    <mergeCell ref="AL11:AQ27"/>
    <mergeCell ref="AK31:AK42"/>
    <mergeCell ref="AK28:AK30"/>
    <mergeCell ref="AK4:AK27"/>
  </mergeCells>
  <conditionalFormatting sqref="F3:J4 L3:O4 Q3:T4 V3:Y4 F7:J7 L7 N7:O7 Q7:T7 V7:Y7 F8:Z19 F21:Z39">
    <cfRule type="cellIs" dxfId="24" priority="24" operator="between">
      <formula>0.000000001</formula>
      <formula>0.0001</formula>
    </cfRule>
    <cfRule type="cellIs" dxfId="23" priority="25" operator="lessThan">
      <formula>0</formula>
    </cfRule>
  </conditionalFormatting>
  <conditionalFormatting sqref="BH29:CB51">
    <cfRule type="cellIs" dxfId="22" priority="3" operator="lessThan">
      <formula>0</formula>
    </cfRule>
  </conditionalFormatting>
  <hyperlinks>
    <hyperlink ref="BG1:BY1" r:id="rId1" display="ON Ministry of Transportation - 2020 fleet registration data by class" xr:uid="{776A26B1-5E1E-4E99-9F1D-3B0C773F2168}"/>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999723A9-AE1E-400C-8A5C-0345E97704DD}">
          <x14:formula1>
            <xm:f>References!$A:$A</xm:f>
          </x14:formula1>
          <xm:sqref>C21:C151 C3:C4 C7:C19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DA871-AD09-46EE-BC55-FE1356A9C54E}">
  <sheetPr codeName="Sheet4">
    <tabColor theme="9" tint="0.59999389629810485"/>
  </sheetPr>
  <dimension ref="A1:AL92"/>
  <sheetViews>
    <sheetView zoomScaleNormal="100" workbookViewId="0">
      <selection activeCell="A4" sqref="A4"/>
    </sheetView>
  </sheetViews>
  <sheetFormatPr defaultRowHeight="15" x14ac:dyDescent="0.25"/>
  <cols>
    <col min="1" max="1" width="20.42578125" bestFit="1" customWidth="1"/>
    <col min="2" max="2" width="4.7109375" bestFit="1" customWidth="1"/>
    <col min="3" max="3" width="21.28515625" customWidth="1"/>
    <col min="4" max="4" width="6.42578125" customWidth="1"/>
    <col min="5" max="5" width="5.85546875" bestFit="1" customWidth="1"/>
    <col min="6" max="6" width="8.85546875" style="68" customWidth="1"/>
    <col min="7" max="8" width="8.85546875" customWidth="1"/>
    <col min="9" max="9" width="9.5703125" style="68" bestFit="1" customWidth="1"/>
    <col min="10" max="10" width="10.140625" bestFit="1" customWidth="1"/>
    <col min="11" max="11" width="8.140625" bestFit="1" customWidth="1"/>
    <col min="12" max="12" width="8.85546875" customWidth="1"/>
    <col min="13" max="13" width="11" bestFit="1" customWidth="1"/>
    <col min="14" max="14" width="8.85546875" customWidth="1"/>
    <col min="15" max="15" width="8.85546875" style="49" customWidth="1"/>
    <col min="16" max="16" width="103.7109375" customWidth="1"/>
    <col min="17" max="17" width="4.42578125" style="615" customWidth="1"/>
    <col min="18" max="21" width="4.42578125" style="315" customWidth="1"/>
    <col min="23" max="23" width="1.7109375" style="48" customWidth="1"/>
    <col min="25" max="25" width="41" customWidth="1"/>
    <col min="26" max="26" width="12" bestFit="1" customWidth="1"/>
    <col min="33" max="33" width="12" customWidth="1"/>
    <col min="34" max="34" width="21.5703125" bestFit="1" customWidth="1"/>
    <col min="35" max="35" width="10.42578125" bestFit="1" customWidth="1"/>
    <col min="36" max="36" width="17.7109375" customWidth="1"/>
    <col min="37" max="37" width="12" bestFit="1" customWidth="1"/>
    <col min="38" max="38" width="11.5703125" customWidth="1"/>
    <col min="39" max="39" width="19.7109375" customWidth="1"/>
    <col min="40" max="40" width="15.42578125" customWidth="1"/>
  </cols>
  <sheetData>
    <row r="1" spans="1:34" ht="15.6" customHeight="1" x14ac:dyDescent="0.25">
      <c r="F1" s="860" t="s">
        <v>2687</v>
      </c>
      <c r="G1" s="867" t="s">
        <v>2745</v>
      </c>
      <c r="H1" s="865" t="s">
        <v>2684</v>
      </c>
      <c r="I1" s="862" t="s">
        <v>3047</v>
      </c>
      <c r="J1" s="863"/>
      <c r="K1" s="863"/>
      <c r="L1" s="863"/>
      <c r="M1" s="863"/>
      <c r="N1" s="863"/>
      <c r="O1" s="864"/>
      <c r="P1" s="1"/>
      <c r="Q1" s="848" t="s">
        <v>134</v>
      </c>
      <c r="R1" s="848"/>
      <c r="S1" s="848"/>
      <c r="T1" s="848"/>
      <c r="U1" s="848"/>
      <c r="V1" s="850" t="s">
        <v>1657</v>
      </c>
      <c r="X1" s="850" t="s">
        <v>1658</v>
      </c>
      <c r="Y1" s="154"/>
      <c r="Z1" s="26"/>
      <c r="AA1" s="26"/>
      <c r="AB1" s="26"/>
      <c r="AC1" s="26"/>
      <c r="AD1" s="26"/>
      <c r="AE1" s="26"/>
      <c r="AF1" s="26"/>
    </row>
    <row r="2" spans="1:34" s="101" customFormat="1" ht="99.75" thickBot="1" x14ac:dyDescent="0.3">
      <c r="A2" s="621" t="s">
        <v>3046</v>
      </c>
      <c r="B2" s="621" t="s">
        <v>3037</v>
      </c>
      <c r="C2" s="621" t="s">
        <v>3040</v>
      </c>
      <c r="D2" s="621" t="s">
        <v>3041</v>
      </c>
      <c r="E2" s="621" t="s">
        <v>3044</v>
      </c>
      <c r="F2" s="861"/>
      <c r="G2" s="868"/>
      <c r="H2" s="866"/>
      <c r="I2" s="623">
        <v>2021</v>
      </c>
      <c r="J2" s="621">
        <v>2025</v>
      </c>
      <c r="K2" s="621">
        <v>2030</v>
      </c>
      <c r="L2" s="621">
        <v>2035</v>
      </c>
      <c r="M2" s="621">
        <v>2040</v>
      </c>
      <c r="N2" s="621">
        <v>2045</v>
      </c>
      <c r="O2" s="622">
        <v>2050</v>
      </c>
      <c r="P2" s="621" t="s">
        <v>3039</v>
      </c>
      <c r="Q2" s="624" t="s">
        <v>135</v>
      </c>
      <c r="R2" s="620" t="s">
        <v>139</v>
      </c>
      <c r="S2" s="620" t="s">
        <v>136</v>
      </c>
      <c r="T2" s="620" t="s">
        <v>137</v>
      </c>
      <c r="U2" s="620" t="s">
        <v>138</v>
      </c>
      <c r="V2" s="850"/>
      <c r="W2" s="627"/>
      <c r="X2" s="850"/>
      <c r="Y2" s="789"/>
      <c r="Z2" s="789"/>
      <c r="AA2" s="789"/>
      <c r="AB2" s="789"/>
      <c r="AC2" s="789"/>
      <c r="AD2" s="789"/>
      <c r="AE2" s="789"/>
      <c r="AF2" s="789"/>
      <c r="AH2" s="789"/>
    </row>
    <row r="3" spans="1:34" ht="15.75" thickTop="1" x14ac:dyDescent="0.25">
      <c r="A3" t="s">
        <v>1227</v>
      </c>
      <c r="B3" t="s">
        <v>84</v>
      </c>
      <c r="C3" t="s">
        <v>148</v>
      </c>
      <c r="D3">
        <v>2023</v>
      </c>
      <c r="E3" t="s">
        <v>133</v>
      </c>
      <c r="F3" s="788">
        <f>(1-CFAF!$E$4)*'Background Data'!V26/1000</f>
        <v>21.925632136868998</v>
      </c>
      <c r="G3" s="265">
        <f>(1-CFAF!$E$4)*'Background Data'!W26/1000</f>
        <v>19.760977783316996</v>
      </c>
      <c r="H3" s="265">
        <f>(1-CFAF!$E$4)*'Background Data'!X26/1000</f>
        <v>22.165594661511999</v>
      </c>
      <c r="I3" s="788">
        <f>H3</f>
        <v>22.165594661511999</v>
      </c>
      <c r="J3" s="265">
        <f>$I3*Z$31</f>
        <v>24.087223349910396</v>
      </c>
      <c r="K3" s="265">
        <f t="shared" ref="K3:O3" si="0">$I3*AA$31</f>
        <v>26.811785745970742</v>
      </c>
      <c r="L3" s="265">
        <f t="shared" si="0"/>
        <v>28.880590408677932</v>
      </c>
      <c r="M3" s="265">
        <f t="shared" si="0"/>
        <v>30.961234280738871</v>
      </c>
      <c r="N3" s="265">
        <f t="shared" si="0"/>
        <v>33.01129790574678</v>
      </c>
      <c r="O3" s="265">
        <f t="shared" si="0"/>
        <v>35.348359933189819</v>
      </c>
      <c r="P3" t="s">
        <v>3064</v>
      </c>
      <c r="Q3" s="615">
        <v>2</v>
      </c>
      <c r="R3" s="315">
        <v>1</v>
      </c>
      <c r="S3" s="315">
        <v>1</v>
      </c>
      <c r="T3" s="315">
        <v>1</v>
      </c>
      <c r="U3" s="315">
        <v>1</v>
      </c>
      <c r="V3" s="850"/>
      <c r="X3" s="850"/>
      <c r="Z3" s="57"/>
      <c r="AA3" s="57"/>
      <c r="AB3" s="57"/>
      <c r="AC3" s="57"/>
      <c r="AD3" s="57"/>
      <c r="AE3" s="57"/>
      <c r="AF3" s="57"/>
    </row>
    <row r="4" spans="1:34" x14ac:dyDescent="0.25">
      <c r="A4" t="s">
        <v>3011</v>
      </c>
      <c r="B4" t="s">
        <v>84</v>
      </c>
      <c r="C4" t="s">
        <v>148</v>
      </c>
      <c r="D4">
        <v>2023</v>
      </c>
      <c r="E4" t="s">
        <v>133</v>
      </c>
      <c r="F4" s="788">
        <f>(CFAF!$E$4)*'Background Data'!V26/1000</f>
        <v>69.052094572130997</v>
      </c>
      <c r="G4" s="265">
        <f>(CFAF!$E$4)*'Background Data'!W26/1000</f>
        <v>62.234780653682996</v>
      </c>
      <c r="H4" s="265">
        <f>(CFAF!$E$4)*'Background Data'!X26/1000</f>
        <v>69.807827170487997</v>
      </c>
      <c r="I4" s="788">
        <f>H4</f>
        <v>69.807827170487997</v>
      </c>
      <c r="J4" s="265">
        <f>$I4*Z$31</f>
        <v>75.859761504489583</v>
      </c>
      <c r="K4" s="265">
        <f t="shared" ref="K4" si="1">$I4*AA$31</f>
        <v>84.440437266355985</v>
      </c>
      <c r="L4" s="265">
        <f t="shared" ref="L4" si="2">$I4*AB$31</f>
        <v>90.95588431612677</v>
      </c>
      <c r="M4" s="265">
        <f t="shared" ref="M4" si="3">$I4*AC$31</f>
        <v>97.508617506559347</v>
      </c>
      <c r="N4" s="265">
        <f t="shared" ref="N4" si="4">$I4*AD$31</f>
        <v>103.96504195212367</v>
      </c>
      <c r="O4" s="265">
        <f t="shared" ref="O4" si="5">$I4*AE$31</f>
        <v>111.32533273564761</v>
      </c>
      <c r="P4" t="s">
        <v>3064</v>
      </c>
      <c r="Q4" s="615">
        <v>2</v>
      </c>
      <c r="R4" s="315">
        <v>1</v>
      </c>
      <c r="S4" s="315">
        <v>1</v>
      </c>
      <c r="T4" s="315">
        <v>1</v>
      </c>
      <c r="U4" s="315">
        <v>1</v>
      </c>
      <c r="V4" s="850"/>
      <c r="X4" s="850"/>
      <c r="Z4" s="57"/>
      <c r="AA4" s="57"/>
      <c r="AB4" s="57"/>
      <c r="AC4" s="57"/>
      <c r="AD4" s="57"/>
      <c r="AE4" s="57"/>
      <c r="AF4" s="57"/>
    </row>
    <row r="5" spans="1:34" x14ac:dyDescent="0.25">
      <c r="F5" s="788"/>
      <c r="G5" s="265"/>
      <c r="H5" s="265"/>
      <c r="I5" s="788"/>
      <c r="J5" s="788"/>
      <c r="K5" s="788"/>
      <c r="L5" s="788"/>
      <c r="M5" s="788"/>
      <c r="N5" s="788"/>
      <c r="O5" s="788"/>
      <c r="V5" s="850"/>
      <c r="X5" s="850"/>
    </row>
    <row r="6" spans="1:34" ht="15.75" x14ac:dyDescent="0.25">
      <c r="F6" s="222"/>
      <c r="G6" s="56"/>
      <c r="H6" s="56"/>
      <c r="I6" s="222"/>
      <c r="J6" s="222"/>
      <c r="K6" s="222"/>
      <c r="L6" s="222"/>
      <c r="M6" s="222"/>
      <c r="N6" s="222"/>
      <c r="O6" s="222"/>
      <c r="V6" s="850"/>
      <c r="X6" s="850"/>
      <c r="Y6" s="154"/>
      <c r="Z6" s="26"/>
      <c r="AA6" s="26"/>
      <c r="AB6" s="26"/>
      <c r="AC6" s="26"/>
      <c r="AD6" s="26"/>
      <c r="AE6" s="26"/>
      <c r="AF6" s="26"/>
    </row>
    <row r="7" spans="1:34" x14ac:dyDescent="0.25">
      <c r="V7" s="850"/>
      <c r="X7" s="850"/>
      <c r="Y7" s="789"/>
      <c r="Z7" s="26"/>
      <c r="AA7" s="26"/>
      <c r="AB7" s="26"/>
      <c r="AC7" s="26"/>
      <c r="AD7" s="26"/>
      <c r="AE7" s="26"/>
    </row>
    <row r="8" spans="1:34" x14ac:dyDescent="0.25">
      <c r="F8" s="222"/>
      <c r="G8" s="56"/>
      <c r="H8" s="56"/>
      <c r="I8" s="222"/>
      <c r="J8" s="56"/>
      <c r="K8" s="56"/>
      <c r="L8" s="56"/>
      <c r="M8" s="56"/>
      <c r="N8" s="56"/>
      <c r="O8" s="724"/>
      <c r="V8" s="850"/>
      <c r="X8" s="850"/>
      <c r="Z8" s="57"/>
      <c r="AA8" s="57"/>
      <c r="AB8" s="57"/>
      <c r="AC8" s="57"/>
      <c r="AD8" s="57"/>
      <c r="AE8" s="57"/>
    </row>
    <row r="9" spans="1:34" x14ac:dyDescent="0.25">
      <c r="F9" s="222"/>
      <c r="G9" s="56"/>
      <c r="H9" s="56"/>
      <c r="I9" s="222"/>
      <c r="J9" s="56"/>
      <c r="K9" s="56"/>
      <c r="L9" s="56"/>
      <c r="M9" s="56"/>
      <c r="N9" s="56"/>
      <c r="O9" s="724"/>
      <c r="V9" s="850"/>
      <c r="X9" s="850"/>
      <c r="Z9" s="57"/>
      <c r="AA9" s="57"/>
      <c r="AB9" s="57"/>
      <c r="AC9" s="57"/>
      <c r="AD9" s="57"/>
      <c r="AE9" s="57"/>
    </row>
    <row r="10" spans="1:34" x14ac:dyDescent="0.25">
      <c r="F10" s="222"/>
      <c r="G10" s="56"/>
      <c r="H10" s="56"/>
      <c r="I10" s="222"/>
      <c r="J10" s="56"/>
      <c r="K10" s="56"/>
      <c r="L10" s="56"/>
      <c r="M10" s="56"/>
      <c r="N10" s="56"/>
      <c r="O10" s="724"/>
      <c r="V10" s="850"/>
      <c r="X10" s="850"/>
    </row>
    <row r="11" spans="1:34" ht="15.75" x14ac:dyDescent="0.25">
      <c r="F11" s="222"/>
      <c r="G11" s="56"/>
      <c r="H11" s="56"/>
      <c r="I11" s="222"/>
      <c r="J11" s="56"/>
      <c r="K11" s="56"/>
      <c r="L11" s="56"/>
      <c r="M11" s="56"/>
      <c r="N11" s="56"/>
      <c r="O11" s="724"/>
      <c r="V11" s="850"/>
      <c r="X11" s="850"/>
      <c r="Y11" s="657" t="s">
        <v>2724</v>
      </c>
    </row>
    <row r="12" spans="1:34" ht="15.75" thickBot="1" x14ac:dyDescent="0.3">
      <c r="F12" s="222"/>
      <c r="G12" s="56"/>
      <c r="H12" s="56"/>
      <c r="I12" s="222"/>
      <c r="J12" s="56"/>
      <c r="K12" s="56"/>
      <c r="L12" s="56"/>
      <c r="M12" s="56"/>
      <c r="N12" s="56"/>
      <c r="O12" s="724"/>
      <c r="V12" s="850"/>
      <c r="X12" s="850"/>
      <c r="Y12" s="83" t="s">
        <v>2723</v>
      </c>
      <c r="Z12" s="723">
        <v>2019</v>
      </c>
      <c r="AA12" s="696" t="s">
        <v>1013</v>
      </c>
      <c r="AB12" s="696" t="s">
        <v>1688</v>
      </c>
      <c r="AC12" s="696" t="s">
        <v>1014</v>
      </c>
      <c r="AD12" s="696" t="s">
        <v>1015</v>
      </c>
      <c r="AE12" s="696" t="s">
        <v>1016</v>
      </c>
      <c r="AF12" s="696" t="s">
        <v>1017</v>
      </c>
      <c r="AG12" s="696" t="s">
        <v>1018</v>
      </c>
      <c r="AH12" s="696" t="s">
        <v>1019</v>
      </c>
    </row>
    <row r="13" spans="1:34" ht="15.75" thickTop="1" x14ac:dyDescent="0.25">
      <c r="F13" s="222"/>
      <c r="G13" s="56"/>
      <c r="H13" s="56"/>
      <c r="I13" s="222"/>
      <c r="J13" s="56"/>
      <c r="K13" s="56"/>
      <c r="L13" s="56"/>
      <c r="M13" s="56"/>
      <c r="N13" s="56"/>
      <c r="O13" s="724"/>
      <c r="V13" s="850"/>
      <c r="X13" s="850"/>
      <c r="Y13" t="s">
        <v>1020</v>
      </c>
      <c r="Z13">
        <v>2109991</v>
      </c>
      <c r="AA13">
        <v>2002923</v>
      </c>
      <c r="AB13">
        <v>2103305</v>
      </c>
      <c r="AC13">
        <v>2292915</v>
      </c>
      <c r="AD13">
        <v>2552272</v>
      </c>
      <c r="AE13">
        <v>2749206</v>
      </c>
      <c r="AF13">
        <v>2947267</v>
      </c>
      <c r="AG13">
        <v>3142417</v>
      </c>
      <c r="AH13">
        <v>3364887</v>
      </c>
    </row>
    <row r="14" spans="1:34" x14ac:dyDescent="0.25">
      <c r="F14" s="222"/>
      <c r="G14" s="56"/>
      <c r="H14" s="56"/>
      <c r="I14" s="222"/>
      <c r="J14" s="56"/>
      <c r="K14" s="56"/>
      <c r="L14" s="56"/>
      <c r="M14" s="56"/>
      <c r="N14" s="56"/>
      <c r="O14" s="724"/>
      <c r="V14" s="850"/>
      <c r="X14" s="850"/>
      <c r="Y14" t="s">
        <v>1021</v>
      </c>
      <c r="Z14">
        <v>37601.199999999997</v>
      </c>
      <c r="AA14">
        <v>38007.199999999997</v>
      </c>
      <c r="AB14">
        <v>38226.5</v>
      </c>
      <c r="AC14">
        <v>40909.9</v>
      </c>
      <c r="AD14">
        <v>43353.599999999999</v>
      </c>
      <c r="AE14">
        <v>45341.8</v>
      </c>
      <c r="AF14">
        <v>46928.7</v>
      </c>
      <c r="AG14">
        <v>48323.3</v>
      </c>
      <c r="AH14">
        <v>49635.1</v>
      </c>
    </row>
    <row r="15" spans="1:34" x14ac:dyDescent="0.25">
      <c r="F15" s="222"/>
      <c r="G15" s="56"/>
      <c r="H15" s="56"/>
      <c r="I15" s="222"/>
      <c r="J15" s="56"/>
      <c r="K15" s="56"/>
      <c r="L15" s="56"/>
      <c r="M15" s="56"/>
      <c r="N15" s="56"/>
      <c r="O15" s="724"/>
      <c r="V15" s="850"/>
      <c r="X15" s="850"/>
      <c r="Y15" t="s">
        <v>2722</v>
      </c>
      <c r="Z15">
        <v>109.6</v>
      </c>
      <c r="AA15">
        <v>110.3</v>
      </c>
      <c r="AB15">
        <v>119.3</v>
      </c>
      <c r="AC15">
        <v>138.4</v>
      </c>
      <c r="AD15">
        <v>154.6</v>
      </c>
      <c r="AE15">
        <v>170.5</v>
      </c>
      <c r="AF15">
        <v>187.6</v>
      </c>
      <c r="AG15">
        <v>206.4</v>
      </c>
      <c r="AH15">
        <v>227.3</v>
      </c>
    </row>
    <row r="16" spans="1:34" x14ac:dyDescent="0.25">
      <c r="F16" s="222"/>
      <c r="G16" s="56"/>
      <c r="H16" s="56"/>
      <c r="I16" s="222"/>
      <c r="J16" s="56"/>
      <c r="K16" s="56"/>
      <c r="L16" s="56"/>
      <c r="M16" s="56"/>
      <c r="N16" s="56"/>
      <c r="O16" s="724"/>
      <c r="V16" s="850"/>
      <c r="X16" s="850"/>
      <c r="Y16" t="s">
        <v>1023</v>
      </c>
      <c r="Z16">
        <v>136</v>
      </c>
      <c r="AA16">
        <v>137</v>
      </c>
      <c r="AB16">
        <v>141.6</v>
      </c>
      <c r="AC16">
        <v>164.7</v>
      </c>
      <c r="AD16">
        <v>184</v>
      </c>
      <c r="AE16">
        <v>203.1</v>
      </c>
      <c r="AF16">
        <v>223.8</v>
      </c>
      <c r="AG16">
        <v>246.5</v>
      </c>
      <c r="AH16">
        <v>271.2</v>
      </c>
    </row>
    <row r="17" spans="6:34" x14ac:dyDescent="0.25">
      <c r="F17" s="222"/>
      <c r="G17" s="56"/>
      <c r="H17" s="56"/>
      <c r="I17" s="222"/>
      <c r="J17" s="56"/>
      <c r="K17" s="56"/>
      <c r="L17" s="56"/>
      <c r="M17" s="56"/>
      <c r="N17" s="56"/>
      <c r="O17" s="724"/>
      <c r="V17" s="850"/>
      <c r="X17" s="850"/>
      <c r="Y17" t="s">
        <v>1685</v>
      </c>
      <c r="Z17">
        <v>1.33</v>
      </c>
      <c r="AA17">
        <v>1.34</v>
      </c>
      <c r="AB17">
        <v>1.25</v>
      </c>
      <c r="AC17">
        <v>1.3</v>
      </c>
      <c r="AD17">
        <v>1.27</v>
      </c>
      <c r="AE17">
        <v>1.27</v>
      </c>
      <c r="AF17">
        <v>1.29</v>
      </c>
      <c r="AG17">
        <v>1.3</v>
      </c>
      <c r="AH17">
        <v>1.28</v>
      </c>
    </row>
    <row r="18" spans="6:34" x14ac:dyDescent="0.25">
      <c r="V18" s="850"/>
      <c r="X18" s="850"/>
    </row>
    <row r="19" spans="6:34" ht="15.75" x14ac:dyDescent="0.25">
      <c r="I19" s="222"/>
      <c r="V19" s="850"/>
      <c r="X19" s="850"/>
      <c r="Y19" s="154" t="s">
        <v>2750</v>
      </c>
      <c r="Z19" s="26"/>
      <c r="AA19" s="26"/>
      <c r="AB19" s="26"/>
      <c r="AC19" s="26"/>
      <c r="AD19" s="26"/>
      <c r="AE19" s="26"/>
    </row>
    <row r="20" spans="6:34" ht="15.75" thickBot="1" x14ac:dyDescent="0.3">
      <c r="V20" s="850"/>
      <c r="X20" s="850"/>
      <c r="Y20" s="250" t="s">
        <v>1024</v>
      </c>
      <c r="Z20" s="83">
        <v>2021</v>
      </c>
      <c r="AA20" s="83">
        <v>2025</v>
      </c>
      <c r="AB20" s="83">
        <v>2030</v>
      </c>
      <c r="AC20" s="83">
        <v>2035</v>
      </c>
      <c r="AD20" s="83">
        <v>2040</v>
      </c>
      <c r="AE20" s="83">
        <v>2045</v>
      </c>
      <c r="AF20" s="83">
        <v>2050</v>
      </c>
    </row>
    <row r="21" spans="6:34" ht="15.75" thickTop="1" x14ac:dyDescent="0.25">
      <c r="V21" s="850"/>
      <c r="X21" s="850"/>
      <c r="Y21" t="s">
        <v>1039</v>
      </c>
      <c r="Z21" s="57">
        <f>AB13/$AA13</f>
        <v>1.0501177529041306</v>
      </c>
      <c r="AA21" s="57">
        <f t="shared" ref="AA21:AF21" si="6">AC13/$AA13</f>
        <v>1.1447843976029033</v>
      </c>
      <c r="AB21" s="57">
        <f t="shared" si="6"/>
        <v>1.274273649061896</v>
      </c>
      <c r="AC21" s="57">
        <f t="shared" si="6"/>
        <v>1.3725969495582206</v>
      </c>
      <c r="AD21" s="57">
        <f t="shared" si="6"/>
        <v>1.4714829277011647</v>
      </c>
      <c r="AE21" s="57">
        <f t="shared" si="6"/>
        <v>1.5689155299529738</v>
      </c>
      <c r="AF21" s="57">
        <f t="shared" si="6"/>
        <v>1.6799881972497195</v>
      </c>
    </row>
    <row r="22" spans="6:34" x14ac:dyDescent="0.25">
      <c r="V22" s="850"/>
      <c r="X22" s="850"/>
      <c r="Y22" t="s">
        <v>1040</v>
      </c>
      <c r="Z22" s="57">
        <f>AB14/$AA14</f>
        <v>1.0057699593761182</v>
      </c>
      <c r="AA22" s="57">
        <f t="shared" ref="AA22:AF22" si="7">AC14/$AA14</f>
        <v>1.0763723715506537</v>
      </c>
      <c r="AB22" s="57">
        <f t="shared" si="7"/>
        <v>1.14066808394199</v>
      </c>
      <c r="AC22" s="57">
        <f t="shared" si="7"/>
        <v>1.1929792249889497</v>
      </c>
      <c r="AD22" s="57">
        <f t="shared" si="7"/>
        <v>1.2347318402828937</v>
      </c>
      <c r="AE22" s="57">
        <f t="shared" si="7"/>
        <v>1.271424887915974</v>
      </c>
      <c r="AF22" s="57">
        <f t="shared" si="7"/>
        <v>1.3059394009556085</v>
      </c>
    </row>
    <row r="23" spans="6:34" x14ac:dyDescent="0.25">
      <c r="V23" s="850"/>
      <c r="X23" s="850"/>
    </row>
    <row r="24" spans="6:34" ht="15.75" x14ac:dyDescent="0.25">
      <c r="V24" s="850"/>
      <c r="X24" s="850"/>
      <c r="Y24" s="154" t="s">
        <v>2744</v>
      </c>
      <c r="Z24" s="26"/>
      <c r="AA24" s="26"/>
      <c r="AB24" s="26"/>
      <c r="AC24" s="26"/>
      <c r="AD24" s="26"/>
      <c r="AE24" s="26"/>
    </row>
    <row r="25" spans="6:34" ht="15.75" thickBot="1" x14ac:dyDescent="0.3">
      <c r="V25" s="850"/>
      <c r="X25" s="850"/>
      <c r="Y25" s="250" t="s">
        <v>1024</v>
      </c>
      <c r="Z25" s="83">
        <v>2025</v>
      </c>
      <c r="AA25" s="83">
        <v>2030</v>
      </c>
      <c r="AB25" s="83">
        <v>2035</v>
      </c>
      <c r="AC25" s="83">
        <v>2040</v>
      </c>
      <c r="AD25" s="83">
        <v>2045</v>
      </c>
      <c r="AE25" s="83">
        <v>2050</v>
      </c>
    </row>
    <row r="26" spans="6:34" ht="15.75" thickTop="1" x14ac:dyDescent="0.25">
      <c r="V26" s="850"/>
      <c r="X26" s="850"/>
      <c r="Y26" t="s">
        <v>1039</v>
      </c>
      <c r="Z26" s="57">
        <f t="shared" ref="Z26:AE27" si="8">AC13/$AB13</f>
        <v>1.0901485994660784</v>
      </c>
      <c r="AA26" s="57">
        <f t="shared" si="8"/>
        <v>1.2134578674990075</v>
      </c>
      <c r="AB26" s="57">
        <f t="shared" si="8"/>
        <v>1.30708860578946</v>
      </c>
      <c r="AC26" s="57">
        <f t="shared" si="8"/>
        <v>1.4012551674626361</v>
      </c>
      <c r="AD26" s="57">
        <f t="shared" si="8"/>
        <v>1.4940377168313679</v>
      </c>
      <c r="AE26" s="57">
        <f t="shared" si="8"/>
        <v>1.599809347669501</v>
      </c>
    </row>
    <row r="27" spans="6:34" x14ac:dyDescent="0.25">
      <c r="V27" s="850"/>
      <c r="X27" s="850"/>
      <c r="Y27" t="s">
        <v>1040</v>
      </c>
      <c r="Z27" s="57">
        <f t="shared" si="8"/>
        <v>1.0701973761657488</v>
      </c>
      <c r="AA27" s="57">
        <f t="shared" si="8"/>
        <v>1.134124233189018</v>
      </c>
      <c r="AB27" s="57">
        <f t="shared" si="8"/>
        <v>1.1861352726511714</v>
      </c>
      <c r="AC27" s="57">
        <f t="shared" si="8"/>
        <v>1.2276483591225982</v>
      </c>
      <c r="AD27" s="57">
        <f t="shared" si="8"/>
        <v>1.2641309039540634</v>
      </c>
      <c r="AE27" s="57">
        <f t="shared" si="8"/>
        <v>1.2984474121355605</v>
      </c>
    </row>
    <row r="28" spans="6:34" x14ac:dyDescent="0.25">
      <c r="V28" s="850"/>
      <c r="X28" s="850"/>
    </row>
    <row r="29" spans="6:34" ht="15.75" x14ac:dyDescent="0.25">
      <c r="V29" s="850"/>
      <c r="X29" s="850"/>
      <c r="Y29" s="154" t="s">
        <v>2751</v>
      </c>
      <c r="Z29" s="26"/>
      <c r="AA29" s="26"/>
      <c r="AB29" s="26"/>
      <c r="AC29" s="26"/>
      <c r="AD29" s="26"/>
      <c r="AE29" s="26"/>
    </row>
    <row r="30" spans="6:34" ht="15.75" thickBot="1" x14ac:dyDescent="0.3">
      <c r="V30" s="850"/>
      <c r="X30" s="850"/>
      <c r="Y30" s="250" t="s">
        <v>1024</v>
      </c>
      <c r="Z30" s="83">
        <v>2025</v>
      </c>
      <c r="AA30" s="83">
        <v>2030</v>
      </c>
      <c r="AB30" s="83">
        <v>2035</v>
      </c>
      <c r="AC30" s="83">
        <v>2040</v>
      </c>
      <c r="AD30" s="83">
        <v>2045</v>
      </c>
      <c r="AE30" s="83">
        <v>2050</v>
      </c>
    </row>
    <row r="31" spans="6:34" ht="15.75" thickTop="1" x14ac:dyDescent="0.25">
      <c r="V31" s="850"/>
      <c r="X31" s="850"/>
      <c r="Y31" t="s">
        <v>1039</v>
      </c>
      <c r="Z31" s="57">
        <f>AC13/$Z13</f>
        <v>1.0866942086482834</v>
      </c>
      <c r="AA31" s="57">
        <f t="shared" ref="AA31:AE31" si="9">AD13/$Z13</f>
        <v>1.2096127424240197</v>
      </c>
      <c r="AB31" s="57">
        <f t="shared" si="9"/>
        <v>1.3029467898204306</v>
      </c>
      <c r="AC31" s="57">
        <f t="shared" si="9"/>
        <v>1.3968149627178506</v>
      </c>
      <c r="AD31" s="57">
        <f t="shared" si="9"/>
        <v>1.4893035088775259</v>
      </c>
      <c r="AE31" s="57">
        <f t="shared" si="9"/>
        <v>1.5947399775638853</v>
      </c>
    </row>
    <row r="32" spans="6:34" x14ac:dyDescent="0.25">
      <c r="V32" s="850"/>
      <c r="X32" s="850"/>
      <c r="Y32" t="s">
        <v>1040</v>
      </c>
      <c r="Z32" s="57">
        <f>AC14/$Z14</f>
        <v>1.0879945320894016</v>
      </c>
      <c r="AA32" s="57">
        <f t="shared" ref="AA32:AE32" si="10">AD14/$Z14</f>
        <v>1.1529844792187485</v>
      </c>
      <c r="AB32" s="57">
        <f t="shared" si="10"/>
        <v>1.205860451262194</v>
      </c>
      <c r="AC32" s="57">
        <f t="shared" si="10"/>
        <v>1.2480638915779283</v>
      </c>
      <c r="AD32" s="57">
        <f t="shared" si="10"/>
        <v>1.2851531334106361</v>
      </c>
      <c r="AE32" s="57">
        <f t="shared" si="10"/>
        <v>1.320040317862196</v>
      </c>
    </row>
    <row r="33" spans="22:32" x14ac:dyDescent="0.25">
      <c r="V33" s="850"/>
      <c r="X33" s="850"/>
    </row>
    <row r="34" spans="22:32" ht="15.75" x14ac:dyDescent="0.25">
      <c r="V34" s="850"/>
      <c r="X34" s="850"/>
      <c r="Y34" s="154"/>
    </row>
    <row r="35" spans="22:32" x14ac:dyDescent="0.25">
      <c r="V35" s="850"/>
      <c r="X35" s="850"/>
      <c r="Y35" s="26"/>
      <c r="Z35" s="26"/>
      <c r="AA35" s="789"/>
      <c r="AB35" s="789"/>
      <c r="AC35" s="789"/>
      <c r="AD35" s="789"/>
      <c r="AE35" s="789"/>
      <c r="AF35" s="789"/>
    </row>
    <row r="36" spans="22:32" x14ac:dyDescent="0.25">
      <c r="V36" s="850"/>
      <c r="X36" s="850"/>
      <c r="Z36" s="57"/>
      <c r="AA36" s="57"/>
      <c r="AB36" s="57"/>
      <c r="AC36" s="57"/>
      <c r="AD36" s="57"/>
      <c r="AE36" s="57"/>
      <c r="AF36" s="57"/>
    </row>
    <row r="37" spans="22:32" x14ac:dyDescent="0.25">
      <c r="V37" s="850"/>
      <c r="X37" s="850"/>
      <c r="Z37" s="57"/>
      <c r="AA37" s="57"/>
      <c r="AB37" s="57"/>
      <c r="AC37" s="57"/>
      <c r="AD37" s="57"/>
      <c r="AE37" s="57"/>
      <c r="AF37" s="57"/>
    </row>
    <row r="38" spans="22:32" x14ac:dyDescent="0.25">
      <c r="V38" s="850"/>
      <c r="X38" s="850"/>
    </row>
    <row r="39" spans="22:32" x14ac:dyDescent="0.25">
      <c r="V39" s="850"/>
      <c r="X39" s="850"/>
    </row>
    <row r="40" spans="22:32" x14ac:dyDescent="0.25">
      <c r="V40" s="850"/>
      <c r="X40" s="850"/>
    </row>
    <row r="41" spans="22:32" x14ac:dyDescent="0.25">
      <c r="V41" s="850"/>
      <c r="X41" s="850"/>
    </row>
    <row r="42" spans="22:32" x14ac:dyDescent="0.25">
      <c r="V42" s="850"/>
      <c r="X42" s="850"/>
    </row>
    <row r="43" spans="22:32" x14ac:dyDescent="0.25">
      <c r="V43" s="850"/>
      <c r="X43" s="850"/>
    </row>
    <row r="44" spans="22:32" x14ac:dyDescent="0.25">
      <c r="V44" s="850"/>
      <c r="X44" s="850"/>
    </row>
    <row r="45" spans="22:32" x14ac:dyDescent="0.25">
      <c r="V45" s="850"/>
      <c r="X45" s="850"/>
    </row>
    <row r="46" spans="22:32" x14ac:dyDescent="0.25">
      <c r="V46" s="850"/>
      <c r="X46" s="850"/>
    </row>
    <row r="47" spans="22:32" x14ac:dyDescent="0.25">
      <c r="V47" s="850"/>
      <c r="X47" s="850"/>
    </row>
    <row r="48" spans="22:32" x14ac:dyDescent="0.25">
      <c r="V48" s="850"/>
      <c r="X48" s="850"/>
    </row>
    <row r="49" spans="22:35" x14ac:dyDescent="0.25">
      <c r="V49" s="850"/>
      <c r="X49" s="850"/>
    </row>
    <row r="50" spans="22:35" x14ac:dyDescent="0.25">
      <c r="V50" s="850"/>
      <c r="X50" s="850"/>
    </row>
    <row r="59" spans="22:35" x14ac:dyDescent="0.25">
      <c r="AI59" s="790"/>
    </row>
    <row r="60" spans="22:35" x14ac:dyDescent="0.25">
      <c r="AI60" s="62"/>
    </row>
    <row r="61" spans="22:35" x14ac:dyDescent="0.25">
      <c r="AI61" s="62"/>
    </row>
    <row r="62" spans="22:35" x14ac:dyDescent="0.25">
      <c r="AI62" s="62"/>
    </row>
    <row r="89" spans="35:38" x14ac:dyDescent="0.25">
      <c r="AI89" s="790"/>
      <c r="AJ89" s="26"/>
      <c r="AK89" s="26"/>
      <c r="AL89" s="26"/>
    </row>
    <row r="90" spans="35:38" x14ac:dyDescent="0.25">
      <c r="AI90" s="62"/>
      <c r="AJ90" s="37"/>
      <c r="AK90" s="109"/>
      <c r="AL90" s="109"/>
    </row>
    <row r="91" spans="35:38" x14ac:dyDescent="0.25">
      <c r="AI91" s="62"/>
      <c r="AJ91" s="37"/>
      <c r="AK91" s="109"/>
      <c r="AL91" s="109"/>
    </row>
    <row r="92" spans="35:38" x14ac:dyDescent="0.25">
      <c r="AI92" s="12"/>
      <c r="AJ92" s="27"/>
      <c r="AK92" s="81"/>
      <c r="AL92" s="81"/>
    </row>
  </sheetData>
  <mergeCells count="7">
    <mergeCell ref="F1:F2"/>
    <mergeCell ref="I1:O1"/>
    <mergeCell ref="Q1:U1"/>
    <mergeCell ref="V1:V50"/>
    <mergeCell ref="X1:X50"/>
    <mergeCell ref="H1:H2"/>
    <mergeCell ref="G1:G2"/>
  </mergeCells>
  <hyperlinks>
    <hyperlink ref="Y11" r:id="rId1" display="Canada Energy Regulator - Canada's Energy Future 2021 Data Appendices, Macro Indicators from ON, Current Policies Scenario" xr:uid="{3320EF5E-09FD-4244-8B4D-63AAD77B6857}"/>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7E6F8742-F796-4F8E-B213-3E8532C271E3}">
          <x14:formula1>
            <xm:f>References!$A:$A</xm:f>
          </x14:formula1>
          <xm:sqref>C8:C1048576 C1 C3:C6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6F364-83C2-42D4-9E7A-2A3A18CA065D}">
  <sheetPr codeName="Sheet5">
    <tabColor theme="9" tint="0.59999389629810485"/>
  </sheetPr>
  <dimension ref="A1:F19"/>
  <sheetViews>
    <sheetView zoomScale="55" zoomScaleNormal="55" workbookViewId="0">
      <selection activeCell="D15" sqref="D15"/>
    </sheetView>
  </sheetViews>
  <sheetFormatPr defaultRowHeight="15" x14ac:dyDescent="0.25"/>
  <cols>
    <col min="2" max="2" width="34.28515625" bestFit="1" customWidth="1"/>
    <col min="3" max="3" width="8.140625" bestFit="1" customWidth="1"/>
    <col min="4" max="4" width="64.42578125" customWidth="1"/>
    <col min="5" max="5" width="52.85546875" customWidth="1"/>
    <col min="6" max="6" width="9.140625" style="315"/>
  </cols>
  <sheetData>
    <row r="1" spans="1:6" x14ac:dyDescent="0.25">
      <c r="A1" t="s">
        <v>3037</v>
      </c>
      <c r="B1" t="s">
        <v>2974</v>
      </c>
      <c r="C1" t="s">
        <v>3038</v>
      </c>
      <c r="D1" t="s">
        <v>3039</v>
      </c>
      <c r="E1" t="s">
        <v>3040</v>
      </c>
      <c r="F1" s="315" t="s">
        <v>3041</v>
      </c>
    </row>
    <row r="2" spans="1:6" x14ac:dyDescent="0.25">
      <c r="A2" t="s">
        <v>84</v>
      </c>
      <c r="B2" t="s">
        <v>2997</v>
      </c>
      <c r="C2">
        <v>15</v>
      </c>
      <c r="D2" t="s">
        <v>1160</v>
      </c>
      <c r="E2" t="s">
        <v>3036</v>
      </c>
      <c r="F2" s="315">
        <v>2022</v>
      </c>
    </row>
    <row r="3" spans="1:6" x14ac:dyDescent="0.25">
      <c r="A3" t="s">
        <v>84</v>
      </c>
      <c r="B3" t="s">
        <v>2998</v>
      </c>
      <c r="C3">
        <v>15</v>
      </c>
      <c r="D3" t="s">
        <v>1160</v>
      </c>
      <c r="E3" t="s">
        <v>3036</v>
      </c>
      <c r="F3" s="315">
        <v>2022</v>
      </c>
    </row>
    <row r="4" spans="1:6" x14ac:dyDescent="0.25">
      <c r="A4" t="s">
        <v>84</v>
      </c>
      <c r="B4" t="s">
        <v>2999</v>
      </c>
      <c r="C4">
        <v>20</v>
      </c>
      <c r="D4" t="s">
        <v>3042</v>
      </c>
    </row>
    <row r="5" spans="1:6" x14ac:dyDescent="0.25">
      <c r="A5" t="s">
        <v>84</v>
      </c>
      <c r="B5" t="s">
        <v>3000</v>
      </c>
      <c r="C5">
        <v>20</v>
      </c>
      <c r="D5" t="s">
        <v>3042</v>
      </c>
    </row>
    <row r="6" spans="1:6" x14ac:dyDescent="0.25">
      <c r="A6" t="s">
        <v>84</v>
      </c>
      <c r="B6" t="s">
        <v>3001</v>
      </c>
      <c r="C6">
        <v>20</v>
      </c>
      <c r="D6" t="s">
        <v>3042</v>
      </c>
    </row>
    <row r="7" spans="1:6" x14ac:dyDescent="0.25">
      <c r="A7" t="s">
        <v>84</v>
      </c>
      <c r="B7" t="s">
        <v>3002</v>
      </c>
      <c r="C7">
        <v>20</v>
      </c>
      <c r="D7" t="s">
        <v>3042</v>
      </c>
    </row>
    <row r="8" spans="1:6" x14ac:dyDescent="0.25">
      <c r="A8" t="s">
        <v>84</v>
      </c>
      <c r="B8" t="s">
        <v>3003</v>
      </c>
      <c r="C8">
        <v>20</v>
      </c>
      <c r="D8" t="s">
        <v>3042</v>
      </c>
    </row>
    <row r="9" spans="1:6" x14ac:dyDescent="0.25">
      <c r="A9" t="s">
        <v>84</v>
      </c>
      <c r="B9" t="s">
        <v>2996</v>
      </c>
      <c r="C9">
        <v>10</v>
      </c>
      <c r="D9" t="s">
        <v>3115</v>
      </c>
      <c r="E9" t="s">
        <v>1168</v>
      </c>
      <c r="F9" s="315">
        <v>2022</v>
      </c>
    </row>
    <row r="10" spans="1:6" x14ac:dyDescent="0.25">
      <c r="A10" t="s">
        <v>84</v>
      </c>
      <c r="B10" t="s">
        <v>2975</v>
      </c>
      <c r="C10">
        <v>19</v>
      </c>
      <c r="D10" t="s">
        <v>698</v>
      </c>
      <c r="E10" t="s">
        <v>696</v>
      </c>
      <c r="F10" s="315">
        <v>2023</v>
      </c>
    </row>
    <row r="11" spans="1:6" x14ac:dyDescent="0.25">
      <c r="A11" t="s">
        <v>84</v>
      </c>
      <c r="B11" t="s">
        <v>2976</v>
      </c>
      <c r="C11">
        <v>19</v>
      </c>
      <c r="D11" t="s">
        <v>698</v>
      </c>
      <c r="E11" t="s">
        <v>696</v>
      </c>
      <c r="F11" s="315">
        <v>2023</v>
      </c>
    </row>
    <row r="12" spans="1:6" x14ac:dyDescent="0.25">
      <c r="A12" t="s">
        <v>84</v>
      </c>
      <c r="B12" t="s">
        <v>2977</v>
      </c>
      <c r="C12">
        <v>19</v>
      </c>
      <c r="D12" t="s">
        <v>698</v>
      </c>
      <c r="E12" t="s">
        <v>696</v>
      </c>
      <c r="F12" s="315">
        <v>2023</v>
      </c>
    </row>
    <row r="13" spans="1:6" x14ac:dyDescent="0.25">
      <c r="A13" t="s">
        <v>84</v>
      </c>
      <c r="B13" t="s">
        <v>2981</v>
      </c>
      <c r="C13">
        <v>19</v>
      </c>
      <c r="D13" t="s">
        <v>698</v>
      </c>
      <c r="E13" t="s">
        <v>696</v>
      </c>
      <c r="F13" s="315">
        <v>2023</v>
      </c>
    </row>
    <row r="14" spans="1:6" x14ac:dyDescent="0.25">
      <c r="A14" t="s">
        <v>84</v>
      </c>
      <c r="B14" t="s">
        <v>2982</v>
      </c>
      <c r="C14">
        <v>19</v>
      </c>
      <c r="D14" t="s">
        <v>698</v>
      </c>
      <c r="E14" t="s">
        <v>696</v>
      </c>
      <c r="F14" s="315">
        <v>2023</v>
      </c>
    </row>
    <row r="15" spans="1:6" x14ac:dyDescent="0.25">
      <c r="A15" t="s">
        <v>84</v>
      </c>
      <c r="B15" t="s">
        <v>2983</v>
      </c>
      <c r="C15">
        <v>19</v>
      </c>
      <c r="D15" t="s">
        <v>698</v>
      </c>
      <c r="E15" t="s">
        <v>696</v>
      </c>
      <c r="F15" s="315">
        <v>2023</v>
      </c>
    </row>
    <row r="16" spans="1:6" x14ac:dyDescent="0.25">
      <c r="A16" t="s">
        <v>84</v>
      </c>
      <c r="B16" t="s">
        <v>2984</v>
      </c>
      <c r="C16">
        <v>19</v>
      </c>
      <c r="D16" t="s">
        <v>698</v>
      </c>
      <c r="E16" t="s">
        <v>696</v>
      </c>
      <c r="F16" s="315">
        <v>2023</v>
      </c>
    </row>
    <row r="17" spans="1:6" x14ac:dyDescent="0.25">
      <c r="A17" t="s">
        <v>84</v>
      </c>
      <c r="B17" t="s">
        <v>2985</v>
      </c>
      <c r="C17">
        <v>19</v>
      </c>
      <c r="D17" t="s">
        <v>698</v>
      </c>
      <c r="E17" t="s">
        <v>696</v>
      </c>
      <c r="F17" s="315">
        <v>2023</v>
      </c>
    </row>
    <row r="18" spans="1:6" x14ac:dyDescent="0.25">
      <c r="A18" t="s">
        <v>84</v>
      </c>
      <c r="B18" t="s">
        <v>2986</v>
      </c>
      <c r="C18">
        <v>19</v>
      </c>
      <c r="D18" t="s">
        <v>698</v>
      </c>
      <c r="E18" t="s">
        <v>696</v>
      </c>
      <c r="F18" s="315">
        <v>2023</v>
      </c>
    </row>
    <row r="19" spans="1:6" x14ac:dyDescent="0.25">
      <c r="A19" t="s">
        <v>84</v>
      </c>
      <c r="B19" t="s">
        <v>2987</v>
      </c>
      <c r="C19">
        <v>19</v>
      </c>
      <c r="D19" t="s">
        <v>698</v>
      </c>
      <c r="E19" t="s">
        <v>696</v>
      </c>
      <c r="F19" s="315">
        <v>2023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FD630-2737-4164-A72A-30AC64DF1F13}">
  <sheetPr codeName="Sheet9">
    <tabColor theme="9" tint="0.59999389629810485"/>
    <pageSetUpPr autoPageBreaks="0"/>
  </sheetPr>
  <dimension ref="A1:CK183"/>
  <sheetViews>
    <sheetView zoomScale="70" zoomScaleNormal="70" workbookViewId="0">
      <pane xSplit="1" ySplit="2" topLeftCell="U3" activePane="bottomRight" state="frozen"/>
      <selection pane="topRight" activeCell="B1" sqref="B1"/>
      <selection pane="bottomLeft" activeCell="A3" sqref="A3"/>
      <selection pane="bottomRight" activeCell="AJ27" sqref="AJ27"/>
    </sheetView>
  </sheetViews>
  <sheetFormatPr defaultRowHeight="15" x14ac:dyDescent="0.25"/>
  <cols>
    <col min="1" max="1" width="27.28515625" customWidth="1"/>
    <col min="2" max="2" width="19.7109375" bestFit="1" customWidth="1"/>
    <col min="3" max="3" width="20.7109375" customWidth="1"/>
    <col min="4" max="4" width="5" bestFit="1" customWidth="1"/>
    <col min="5" max="5" width="34.28515625" customWidth="1"/>
    <col min="6" max="6" width="7.140625" style="49" bestFit="1" customWidth="1"/>
    <col min="7" max="27" width="7.28515625" customWidth="1"/>
    <col min="28" max="28" width="7.85546875" style="68" bestFit="1" customWidth="1"/>
    <col min="29" max="34" width="7.5703125" customWidth="1"/>
    <col min="35" max="35" width="7.140625" style="289" customWidth="1"/>
    <col min="36" max="36" width="122.140625" style="51" customWidth="1"/>
    <col min="37" max="41" width="4.5703125" style="315" customWidth="1"/>
    <col min="43" max="43" width="2.28515625" style="48" customWidth="1"/>
    <col min="44" max="44" width="9.140625" style="49"/>
    <col min="45" max="45" width="32.5703125" customWidth="1"/>
    <col min="46" max="64" width="12.85546875" customWidth="1"/>
    <col min="65" max="65" width="8.85546875" customWidth="1"/>
    <col min="66" max="66" width="8.7109375" customWidth="1"/>
    <col min="67" max="67" width="11.5703125" customWidth="1"/>
    <col min="68" max="69" width="8.7109375" customWidth="1"/>
    <col min="70" max="70" width="1.7109375" bestFit="1" customWidth="1"/>
    <col min="71" max="71" width="32.7109375" bestFit="1" customWidth="1"/>
    <col min="72" max="77" width="8.7109375" customWidth="1"/>
    <col min="78" max="78" width="12.28515625" customWidth="1"/>
    <col min="79" max="80" width="8.7109375" customWidth="1"/>
    <col min="82" max="82" width="30.85546875" customWidth="1"/>
  </cols>
  <sheetData>
    <row r="1" spans="1:89" ht="21" customHeight="1" x14ac:dyDescent="0.35">
      <c r="A1" s="670" t="s">
        <v>2693</v>
      </c>
      <c r="B1" s="1"/>
      <c r="C1" s="1"/>
      <c r="D1" s="1"/>
      <c r="E1" s="1"/>
      <c r="F1" s="104"/>
      <c r="G1" s="862" t="s">
        <v>3045</v>
      </c>
      <c r="H1" s="863"/>
      <c r="I1" s="863"/>
      <c r="J1" s="863"/>
      <c r="K1" s="863"/>
      <c r="L1" s="863"/>
      <c r="M1" s="863"/>
      <c r="N1" s="863"/>
      <c r="O1" s="863"/>
      <c r="P1" s="863"/>
      <c r="Q1" s="863"/>
      <c r="R1" s="863"/>
      <c r="S1" s="863"/>
      <c r="T1" s="863"/>
      <c r="U1" s="863"/>
      <c r="V1" s="863"/>
      <c r="W1" s="863"/>
      <c r="X1" s="863"/>
      <c r="Y1" s="863"/>
      <c r="Z1" s="863"/>
      <c r="AA1" s="863"/>
      <c r="AB1" s="863"/>
      <c r="AC1" s="863"/>
      <c r="AD1" s="863"/>
      <c r="AE1" s="863"/>
      <c r="AF1" s="863"/>
      <c r="AG1" s="863"/>
      <c r="AH1" s="864"/>
      <c r="AJ1" s="50"/>
      <c r="AK1" s="848" t="s">
        <v>134</v>
      </c>
      <c r="AL1" s="848"/>
      <c r="AM1" s="848"/>
      <c r="AN1" s="848"/>
      <c r="AO1" s="848"/>
      <c r="AP1" s="850" t="s">
        <v>1657</v>
      </c>
      <c r="AR1" s="871" t="s">
        <v>1658</v>
      </c>
      <c r="AS1" s="808"/>
      <c r="AT1" s="808"/>
      <c r="AU1" s="808"/>
      <c r="AV1" s="808"/>
      <c r="AW1" s="808"/>
      <c r="AX1" s="808"/>
    </row>
    <row r="2" spans="1:89" s="101" customFormat="1" ht="100.5" customHeight="1" thickBot="1" x14ac:dyDescent="0.3">
      <c r="A2" s="621" t="s">
        <v>2974</v>
      </c>
      <c r="B2" s="621" t="s">
        <v>3048</v>
      </c>
      <c r="C2" s="621" t="s">
        <v>3049</v>
      </c>
      <c r="D2" s="621" t="s">
        <v>3037</v>
      </c>
      <c r="E2" s="621" t="s">
        <v>3040</v>
      </c>
      <c r="F2" s="622" t="s">
        <v>3041</v>
      </c>
      <c r="G2" s="621">
        <v>2000</v>
      </c>
      <c r="H2" s="621">
        <v>2001</v>
      </c>
      <c r="I2" s="621">
        <v>2002</v>
      </c>
      <c r="J2" s="621">
        <v>2003</v>
      </c>
      <c r="K2" s="621">
        <v>2004</v>
      </c>
      <c r="L2" s="621">
        <v>2005</v>
      </c>
      <c r="M2" s="621">
        <v>2006</v>
      </c>
      <c r="N2" s="621">
        <v>2007</v>
      </c>
      <c r="O2" s="621">
        <v>2008</v>
      </c>
      <c r="P2" s="621">
        <v>2009</v>
      </c>
      <c r="Q2" s="621">
        <v>2010</v>
      </c>
      <c r="R2" s="621">
        <v>2011</v>
      </c>
      <c r="S2" s="621">
        <v>2012</v>
      </c>
      <c r="T2" s="621">
        <v>2013</v>
      </c>
      <c r="U2" s="621">
        <v>2014</v>
      </c>
      <c r="V2" s="621">
        <v>2015</v>
      </c>
      <c r="W2" s="621">
        <v>2016</v>
      </c>
      <c r="X2" s="621">
        <v>2017</v>
      </c>
      <c r="Y2" s="621">
        <v>2018</v>
      </c>
      <c r="Z2" s="621">
        <v>2019</v>
      </c>
      <c r="AA2" s="621">
        <v>2020</v>
      </c>
      <c r="AB2" s="623">
        <v>2021</v>
      </c>
      <c r="AC2" s="621">
        <v>2025</v>
      </c>
      <c r="AD2" s="621">
        <v>2030</v>
      </c>
      <c r="AE2" s="621">
        <v>2035</v>
      </c>
      <c r="AF2" s="621">
        <v>2040</v>
      </c>
      <c r="AG2" s="621">
        <v>2045</v>
      </c>
      <c r="AH2" s="621">
        <v>2050</v>
      </c>
      <c r="AI2" s="787" t="s">
        <v>2759</v>
      </c>
      <c r="AJ2" s="625" t="s">
        <v>3039</v>
      </c>
      <c r="AK2" s="620" t="s">
        <v>135</v>
      </c>
      <c r="AL2" s="620" t="s">
        <v>139</v>
      </c>
      <c r="AM2" s="620" t="s">
        <v>136</v>
      </c>
      <c r="AN2" s="620" t="s">
        <v>137</v>
      </c>
      <c r="AO2" s="620" t="s">
        <v>138</v>
      </c>
      <c r="AP2" s="850"/>
      <c r="AQ2" s="627"/>
      <c r="AR2" s="871"/>
      <c r="AS2" s="628"/>
      <c r="AT2" s="628"/>
      <c r="AU2" s="628"/>
      <c r="AV2" s="628"/>
      <c r="AW2" s="628"/>
      <c r="AX2" s="628"/>
      <c r="AZ2" s="628"/>
      <c r="BA2" s="628"/>
      <c r="BB2" s="628"/>
      <c r="BC2" s="628"/>
      <c r="BD2" s="628"/>
      <c r="BE2" s="628"/>
      <c r="BF2" s="628"/>
      <c r="BG2" s="628"/>
      <c r="BH2" s="628"/>
      <c r="BI2" s="628"/>
      <c r="BK2" s="628"/>
      <c r="BL2" s="628"/>
      <c r="BM2" s="628"/>
      <c r="BN2" s="628"/>
      <c r="BO2" s="628"/>
      <c r="BP2" s="628"/>
      <c r="BQ2" s="628"/>
      <c r="BR2" s="628"/>
      <c r="CA2" s="628"/>
      <c r="CB2" s="628"/>
      <c r="CD2" s="869"/>
      <c r="CE2" s="869"/>
      <c r="CF2" s="869"/>
      <c r="CG2" s="869"/>
      <c r="CH2" s="869"/>
      <c r="CI2" s="869"/>
      <c r="CJ2" s="869"/>
      <c r="CK2" s="869"/>
    </row>
    <row r="3" spans="1:89" ht="38.25" customHeight="1" thickTop="1" x14ac:dyDescent="0.35">
      <c r="A3" t="s">
        <v>2997</v>
      </c>
      <c r="B3" t="s">
        <v>1715</v>
      </c>
      <c r="C3" t="s">
        <v>3015</v>
      </c>
      <c r="D3" t="s">
        <v>84</v>
      </c>
      <c r="E3" t="s">
        <v>1157</v>
      </c>
      <c r="F3" s="49">
        <v>2022</v>
      </c>
      <c r="P3" s="56"/>
      <c r="Q3" s="56"/>
      <c r="R3" s="56"/>
      <c r="S3" s="56"/>
      <c r="T3" s="56"/>
      <c r="U3" s="56"/>
      <c r="V3" s="56"/>
      <c r="W3" s="56"/>
      <c r="X3" s="56"/>
      <c r="Y3" s="56"/>
      <c r="Z3" s="56"/>
      <c r="AA3" s="56"/>
      <c r="AB3" s="222">
        <v>0.9</v>
      </c>
      <c r="AC3" s="56">
        <v>0.9</v>
      </c>
      <c r="AD3" s="56">
        <v>0.9</v>
      </c>
      <c r="AE3" s="56">
        <v>0.9</v>
      </c>
      <c r="AF3" s="56">
        <v>0.9</v>
      </c>
      <c r="AG3" s="56">
        <v>0.9</v>
      </c>
      <c r="AH3" s="56">
        <v>0.9</v>
      </c>
      <c r="AI3" s="287"/>
      <c r="AJ3" s="51" t="s">
        <v>1154</v>
      </c>
      <c r="AP3" s="850"/>
      <c r="AR3" s="871"/>
      <c r="AT3" s="870" t="s">
        <v>1730</v>
      </c>
      <c r="AU3" s="870"/>
      <c r="AV3" s="870"/>
      <c r="AW3" s="870"/>
      <c r="AX3" s="870"/>
      <c r="AY3" s="870"/>
      <c r="AZ3" s="870"/>
      <c r="BA3" s="870"/>
      <c r="BB3" s="81"/>
      <c r="BE3" s="872" t="s">
        <v>1236</v>
      </c>
      <c r="BF3" s="873"/>
      <c r="BG3" s="873"/>
      <c r="BH3" s="873"/>
      <c r="BI3" s="873"/>
      <c r="BJ3" s="873"/>
      <c r="BK3" s="873"/>
      <c r="BL3" s="874"/>
      <c r="BM3" s="26"/>
      <c r="BN3" s="26"/>
      <c r="BO3" s="26"/>
      <c r="BP3" s="26"/>
      <c r="BQ3" s="809"/>
      <c r="CD3" s="26"/>
      <c r="CE3" s="26"/>
      <c r="CF3" s="26"/>
      <c r="CG3" s="26"/>
      <c r="CH3" s="26"/>
      <c r="CI3" s="809"/>
      <c r="CJ3" s="809"/>
      <c r="CK3" s="26"/>
    </row>
    <row r="4" spans="1:89" ht="15.75" x14ac:dyDescent="0.25">
      <c r="A4" t="s">
        <v>2998</v>
      </c>
      <c r="B4" t="s">
        <v>1715</v>
      </c>
      <c r="C4" t="s">
        <v>3016</v>
      </c>
      <c r="D4" t="s">
        <v>84</v>
      </c>
      <c r="E4" t="s">
        <v>1157</v>
      </c>
      <c r="F4" s="49">
        <v>2022</v>
      </c>
      <c r="P4" s="56"/>
      <c r="Q4" s="56"/>
      <c r="R4" s="56"/>
      <c r="S4" s="56"/>
      <c r="T4" s="56"/>
      <c r="U4" s="56"/>
      <c r="V4" s="56"/>
      <c r="W4" s="56"/>
      <c r="X4" s="56"/>
      <c r="Y4" s="56"/>
      <c r="Z4" s="56"/>
      <c r="AA4" s="56"/>
      <c r="AB4" s="222">
        <v>0.9</v>
      </c>
      <c r="AC4" s="56">
        <v>0.9</v>
      </c>
      <c r="AD4" s="56">
        <v>0.9</v>
      </c>
      <c r="AE4" s="56">
        <v>0.9</v>
      </c>
      <c r="AF4" s="56">
        <v>0.9</v>
      </c>
      <c r="AG4" s="56">
        <v>0.9</v>
      </c>
      <c r="AH4" s="56">
        <v>0.9</v>
      </c>
      <c r="AI4" s="287"/>
      <c r="AJ4" s="51" t="s">
        <v>1154</v>
      </c>
      <c r="AP4" s="850"/>
      <c r="AR4" s="871"/>
      <c r="AT4" s="320" t="s">
        <v>1183</v>
      </c>
      <c r="AU4" s="309"/>
      <c r="AV4" s="309"/>
      <c r="AW4" s="309"/>
      <c r="AX4" s="309"/>
      <c r="AY4" s="309"/>
      <c r="AZ4" s="309"/>
      <c r="BA4" s="309"/>
      <c r="BE4" s="877" t="s">
        <v>2671</v>
      </c>
      <c r="BF4" s="846"/>
      <c r="BG4" s="846"/>
      <c r="BH4" s="846"/>
      <c r="BI4" s="846"/>
      <c r="BJ4" s="846"/>
      <c r="BK4" s="846"/>
      <c r="BL4" s="878"/>
      <c r="BS4" s="26"/>
      <c r="CD4" s="26"/>
    </row>
    <row r="5" spans="1:89" ht="15.75" thickBot="1" x14ac:dyDescent="0.3">
      <c r="A5" t="s">
        <v>2999</v>
      </c>
      <c r="B5" t="s">
        <v>1715</v>
      </c>
      <c r="C5" t="s">
        <v>3017</v>
      </c>
      <c r="D5" t="s">
        <v>84</v>
      </c>
      <c r="E5" t="s">
        <v>1157</v>
      </c>
      <c r="F5" s="49">
        <v>2022</v>
      </c>
      <c r="P5" s="56"/>
      <c r="Q5" s="56"/>
      <c r="R5" s="56"/>
      <c r="S5" s="56"/>
      <c r="T5" s="56"/>
      <c r="U5" s="56"/>
      <c r="V5" s="56"/>
      <c r="W5" s="56"/>
      <c r="X5" s="56"/>
      <c r="Y5" s="56"/>
      <c r="Z5" s="56"/>
      <c r="AA5" s="56"/>
      <c r="AB5" s="222">
        <v>0.9</v>
      </c>
      <c r="AC5" s="56">
        <v>0.9</v>
      </c>
      <c r="AD5" s="56">
        <v>0.9</v>
      </c>
      <c r="AE5" s="56">
        <v>0.9</v>
      </c>
      <c r="AF5" s="56">
        <v>0.9</v>
      </c>
      <c r="AG5" s="56">
        <v>0.9</v>
      </c>
      <c r="AH5" s="56">
        <v>0.9</v>
      </c>
      <c r="AI5" s="287"/>
      <c r="AJ5" s="51" t="s">
        <v>1154</v>
      </c>
      <c r="AP5" s="850"/>
      <c r="AR5" s="871"/>
      <c r="AT5" s="26" t="s">
        <v>229</v>
      </c>
      <c r="AU5" s="26">
        <v>2023</v>
      </c>
      <c r="AV5" s="26">
        <v>2025</v>
      </c>
      <c r="AW5" s="26">
        <v>2030</v>
      </c>
      <c r="AX5" s="26">
        <v>2035</v>
      </c>
      <c r="AY5" s="809" t="s">
        <v>822</v>
      </c>
      <c r="AZ5" s="809" t="s">
        <v>823</v>
      </c>
      <c r="BA5" s="26">
        <v>2050</v>
      </c>
      <c r="BB5" s="26" t="s">
        <v>1729</v>
      </c>
      <c r="BE5" s="216" t="s">
        <v>229</v>
      </c>
      <c r="BF5" s="79">
        <v>2021</v>
      </c>
      <c r="BG5" s="83">
        <v>2025</v>
      </c>
      <c r="BH5" s="83">
        <v>2030</v>
      </c>
      <c r="BI5" s="83">
        <v>2035</v>
      </c>
      <c r="BJ5" s="83">
        <v>2040</v>
      </c>
      <c r="BK5" s="83">
        <v>2045</v>
      </c>
      <c r="BL5" s="316">
        <v>2050</v>
      </c>
      <c r="BM5" s="69"/>
      <c r="BN5" s="69"/>
      <c r="BO5" s="69"/>
      <c r="BP5" s="69"/>
      <c r="BQ5" s="69"/>
    </row>
    <row r="6" spans="1:89" ht="15.75" thickTop="1" x14ac:dyDescent="0.25">
      <c r="A6" t="s">
        <v>3000</v>
      </c>
      <c r="B6" t="s">
        <v>1715</v>
      </c>
      <c r="C6" t="s">
        <v>3018</v>
      </c>
      <c r="D6" t="s">
        <v>84</v>
      </c>
      <c r="E6" t="s">
        <v>1157</v>
      </c>
      <c r="F6" s="49">
        <v>2022</v>
      </c>
      <c r="P6" s="56"/>
      <c r="Q6" s="56"/>
      <c r="R6" s="56"/>
      <c r="S6" s="56"/>
      <c r="T6" s="56"/>
      <c r="U6" s="56"/>
      <c r="V6" s="56"/>
      <c r="W6" s="56"/>
      <c r="X6" s="56"/>
      <c r="Y6" s="56"/>
      <c r="Z6" s="56"/>
      <c r="AA6" s="56"/>
      <c r="AB6" s="222">
        <v>0.9</v>
      </c>
      <c r="AC6" s="56">
        <v>0.9</v>
      </c>
      <c r="AD6" s="56">
        <v>0.9</v>
      </c>
      <c r="AE6" s="56">
        <v>0.9</v>
      </c>
      <c r="AF6" s="56">
        <v>0.9</v>
      </c>
      <c r="AG6" s="56">
        <v>0.9</v>
      </c>
      <c r="AH6" s="56">
        <v>0.9</v>
      </c>
      <c r="AI6" s="287"/>
      <c r="AJ6" s="51" t="s">
        <v>1154</v>
      </c>
      <c r="AP6" s="850"/>
      <c r="AR6" s="871"/>
      <c r="AS6">
        <v>8</v>
      </c>
      <c r="AT6" s="26" t="s">
        <v>1176</v>
      </c>
      <c r="AV6" s="26"/>
      <c r="BE6" s="317" t="s">
        <v>3091</v>
      </c>
      <c r="BL6" s="60"/>
      <c r="BM6" s="69"/>
      <c r="BN6" s="69"/>
      <c r="BO6" s="69"/>
      <c r="BP6" s="69"/>
      <c r="BQ6" s="69"/>
    </row>
    <row r="7" spans="1:89" x14ac:dyDescent="0.25">
      <c r="A7" t="s">
        <v>3001</v>
      </c>
      <c r="B7" t="s">
        <v>1715</v>
      </c>
      <c r="C7" t="s">
        <v>3019</v>
      </c>
      <c r="D7" t="s">
        <v>84</v>
      </c>
      <c r="E7" t="s">
        <v>1157</v>
      </c>
      <c r="F7" s="49">
        <v>2022</v>
      </c>
      <c r="P7" s="56"/>
      <c r="Q7" s="56"/>
      <c r="R7" s="56"/>
      <c r="S7" s="56"/>
      <c r="T7" s="56"/>
      <c r="U7" s="56"/>
      <c r="V7" s="56"/>
      <c r="W7" s="56"/>
      <c r="X7" s="56"/>
      <c r="Y7" s="56"/>
      <c r="Z7" s="56"/>
      <c r="AA7" s="56"/>
      <c r="AB7" s="222">
        <v>0.9</v>
      </c>
      <c r="AC7" s="56">
        <v>0.9</v>
      </c>
      <c r="AD7" s="56">
        <v>0.9</v>
      </c>
      <c r="AE7" s="56">
        <v>0.9</v>
      </c>
      <c r="AF7" s="56">
        <v>0.9</v>
      </c>
      <c r="AG7" s="56">
        <v>0.9</v>
      </c>
      <c r="AH7" s="56">
        <v>0.9</v>
      </c>
      <c r="AI7" s="287"/>
      <c r="AJ7" s="51" t="s">
        <v>1154</v>
      </c>
      <c r="AP7" s="850"/>
      <c r="AR7" s="871"/>
      <c r="AS7">
        <v>8</v>
      </c>
      <c r="AT7" s="15" t="s">
        <v>795</v>
      </c>
      <c r="AU7" s="57" cm="1">
        <f t="array" ref="AU7">1/AVERAGE(_xlfn._xlws.FILTER('Autonomie 2023 MHDV'!$AR:$AR,(NOT(ISERROR(SEARCH("_ci_", 'Autonomie 2023 MHDV'!$G:$G))))*('Autonomie 2023 MHDV'!$A:$A="Conv")*('Autonomie 2023 MHDV'!$B:$B=AU$5)*('Autonomie 2023 MHDV'!$F:$F=$AS7)*('Autonomie 2023 MHDV'!$E:$E="DayCab")))</f>
        <v>7.274771878360109E-2</v>
      </c>
      <c r="AV7" s="57" cm="1">
        <f t="array" ref="AV7">1/AVERAGE(_xlfn._xlws.FILTER('Autonomie 2023 MHDV'!$AR:$AR,(NOT(ISERROR(SEARCH("_ci_", 'Autonomie 2023 MHDV'!$G:$G))))*('Autonomie 2023 MHDV'!$A:$A="Conv")*('Autonomie 2023 MHDV'!$B:$B=AV$5)*('Autonomie 2023 MHDV'!$F:$F=$AS7)*('Autonomie 2023 MHDV'!$E:$E="DayCab")))</f>
        <v>7.953635885255958E-2</v>
      </c>
      <c r="AW7" s="57" cm="1">
        <f t="array" ref="AW7">1/AVERAGE(_xlfn._xlws.FILTER('Autonomie 2023 MHDV'!$AR:$AR,(NOT(ISERROR(SEARCH("_ci_", 'Autonomie 2023 MHDV'!$G:$G))))*('Autonomie 2023 MHDV'!$A:$A="Conv")*('Autonomie 2023 MHDV'!$B:$B=AW$5)*('Autonomie 2023 MHDV'!$F:$F=$AS7)*('Autonomie 2023 MHDV'!$E:$E="DayCab")))</f>
        <v>8.602565454079128E-2</v>
      </c>
      <c r="AX7" s="57" cm="1">
        <f t="array" ref="AX7">1/AVERAGE(_xlfn._xlws.FILTER('Autonomie 2023 MHDV'!$AR:$AR,(NOT(ISERROR(SEARCH("_ci_", 'Autonomie 2023 MHDV'!$G:$G))))*('Autonomie 2023 MHDV'!$A:$A="Conv")*('Autonomie 2023 MHDV'!$B:$B=AX$5)*('Autonomie 2023 MHDV'!$F:$F=$AS7)*('Autonomie 2023 MHDV'!$E:$E="DayCab")))</f>
        <v>9.2192876174568866E-2</v>
      </c>
      <c r="AY7" s="297">
        <f t="shared" ref="AY7:AZ12" si="0">($BA7-$AX7)/3 + AX7</f>
        <v>9.4622379719649957E-2</v>
      </c>
      <c r="AZ7" s="297">
        <f t="shared" si="0"/>
        <v>9.7051883264731048E-2</v>
      </c>
      <c r="BA7" s="57" cm="1">
        <f t="array" ref="BA7">1/AVERAGE(_xlfn._xlws.FILTER('Autonomie 2023 MHDV'!$AR:$AR,(NOT(ISERROR(SEARCH("_ci_", 'Autonomie 2023 MHDV'!$G:$G))))*('Autonomie 2023 MHDV'!$A:$A="Conv")*('Autonomie 2023 MHDV'!$B:$B=BA$5)*('Autonomie 2023 MHDV'!$F:$F=$AS7)*('Autonomie 2023 MHDV'!$E:$E="DayCab")))</f>
        <v>9.9481386809812153E-2</v>
      </c>
      <c r="BB7" s="81">
        <f t="shared" ref="BB7:BB12" si="1">(BA7-AU7)/AU7</f>
        <v>0.36748462320494663</v>
      </c>
      <c r="BE7" s="319" t="s">
        <v>1077</v>
      </c>
      <c r="BF7" s="57">
        <f t="shared" ref="BF7:BL7" si="2">AU7/$AU7</f>
        <v>1</v>
      </c>
      <c r="BG7" s="57">
        <f t="shared" si="2"/>
        <v>1.0933175662752026</v>
      </c>
      <c r="BH7" s="57">
        <f t="shared" si="2"/>
        <v>1.1825203041305994</v>
      </c>
      <c r="BI7" s="57">
        <f t="shared" si="2"/>
        <v>1.2672957683911752</v>
      </c>
      <c r="BJ7" s="57">
        <f t="shared" si="2"/>
        <v>1.3006920533290989</v>
      </c>
      <c r="BK7" s="57">
        <f t="shared" si="2"/>
        <v>1.3340883382670226</v>
      </c>
      <c r="BL7" s="63">
        <f t="shared" si="2"/>
        <v>1.3674846232049467</v>
      </c>
      <c r="BM7" s="69"/>
      <c r="BN7" s="69"/>
      <c r="BO7" s="69"/>
      <c r="BP7" s="69"/>
      <c r="BQ7" s="69"/>
    </row>
    <row r="8" spans="1:89" x14ac:dyDescent="0.25">
      <c r="A8" t="s">
        <v>3002</v>
      </c>
      <c r="B8" t="s">
        <v>1715</v>
      </c>
      <c r="C8" t="s">
        <v>3020</v>
      </c>
      <c r="D8" t="s">
        <v>84</v>
      </c>
      <c r="E8" t="s">
        <v>1157</v>
      </c>
      <c r="F8" s="49">
        <v>2022</v>
      </c>
      <c r="G8" s="56"/>
      <c r="H8" s="56"/>
      <c r="I8" s="56"/>
      <c r="J8" s="56"/>
      <c r="K8" s="56"/>
      <c r="L8" s="56"/>
      <c r="M8" s="56"/>
      <c r="N8" s="56"/>
      <c r="O8" s="56"/>
      <c r="P8" s="56"/>
      <c r="Q8" s="56"/>
      <c r="R8" s="56"/>
      <c r="S8" s="56"/>
      <c r="T8" s="56"/>
      <c r="U8" s="56"/>
      <c r="V8" s="56"/>
      <c r="W8" s="56"/>
      <c r="X8" s="56"/>
      <c r="Y8" s="56"/>
      <c r="Z8" s="56"/>
      <c r="AA8" s="56"/>
      <c r="AB8" s="222">
        <v>0.9</v>
      </c>
      <c r="AC8" s="56">
        <v>0.9</v>
      </c>
      <c r="AD8" s="56">
        <v>0.9</v>
      </c>
      <c r="AE8" s="56">
        <v>0.9</v>
      </c>
      <c r="AF8" s="56">
        <v>0.9</v>
      </c>
      <c r="AG8" s="56">
        <v>0.9</v>
      </c>
      <c r="AH8" s="56">
        <v>0.9</v>
      </c>
      <c r="AI8" s="287"/>
      <c r="AJ8" s="51" t="s">
        <v>1154</v>
      </c>
      <c r="AP8" s="850"/>
      <c r="AR8" s="871"/>
      <c r="AS8">
        <v>8</v>
      </c>
      <c r="AT8" s="15" t="s">
        <v>807</v>
      </c>
      <c r="AU8" s="57" cm="1">
        <f t="array" ref="AU8">1/AVERAGE(_xlfn._xlws.FILTER('Autonomie 2023 MHDV'!$AR:$AR,(NOT(ISERROR(SEARCH("_ci_", 'Autonomie 2023 MHDV'!$G:$G))))*('Autonomie 2023 MHDV'!$A:$A=$AT8)*('Autonomie 2023 MHDV'!$B:$B=AU$5)*('Autonomie 2023 MHDV'!$F:$F=$AS8)*('Autonomie 2023 MHDV'!$E:$E="DayCab")))</f>
        <v>7.6500978752085752E-2</v>
      </c>
      <c r="AV8" s="57" cm="1">
        <f t="array" ref="AV8">1/AVERAGE(_xlfn._xlws.FILTER('Autonomie 2023 MHDV'!$AR:$AR,(NOT(ISERROR(SEARCH("_ci_", 'Autonomie 2023 MHDV'!$G:$G))))*('Autonomie 2023 MHDV'!$A:$A=$AT8)*('Autonomie 2023 MHDV'!$B:$B=AV$5)*('Autonomie 2023 MHDV'!$F:$F=$AS8)*('Autonomie 2023 MHDV'!$E:$E="DayCab")))</f>
        <v>8.5097105851314053E-2</v>
      </c>
      <c r="AW8" s="57" cm="1">
        <f t="array" ref="AW8">1/AVERAGE(_xlfn._xlws.FILTER('Autonomie 2023 MHDV'!$AR:$AR,(NOT(ISERROR(SEARCH("_ci_", 'Autonomie 2023 MHDV'!$G:$G))))*('Autonomie 2023 MHDV'!$A:$A=$AT8)*('Autonomie 2023 MHDV'!$B:$B=AW$5)*('Autonomie 2023 MHDV'!$F:$F=$AS8)*('Autonomie 2023 MHDV'!$E:$E="DayCab")))</f>
        <v>9.3110823122859968E-2</v>
      </c>
      <c r="AX8" s="57" cm="1">
        <f t="array" ref="AX8">1/AVERAGE(_xlfn._xlws.FILTER('Autonomie 2023 MHDV'!$AR:$AR,(NOT(ISERROR(SEARCH("_ci_", 'Autonomie 2023 MHDV'!$G:$G))))*('Autonomie 2023 MHDV'!$A:$A=$AT8)*('Autonomie 2023 MHDV'!$B:$B=AX$5)*('Autonomie 2023 MHDV'!$F:$F=$AS8)*('Autonomie 2023 MHDV'!$E:$E="DayCab")))</f>
        <v>0.10152450138910546</v>
      </c>
      <c r="AY8" s="297">
        <f t="shared" si="0"/>
        <v>0.10502594432914289</v>
      </c>
      <c r="AZ8" s="297">
        <f t="shared" si="0"/>
        <v>0.10852738726918032</v>
      </c>
      <c r="BA8" s="57" cm="1">
        <f t="array" ref="BA8">1/AVERAGE(_xlfn._xlws.FILTER('Autonomie 2023 MHDV'!$AR:$AR,(NOT(ISERROR(SEARCH("_ci_", 'Autonomie 2023 MHDV'!$G:$G))))*('Autonomie 2023 MHDV'!$A:$A=$AT8)*('Autonomie 2023 MHDV'!$B:$B=BA$5)*('Autonomie 2023 MHDV'!$F:$F=$AS8)*('Autonomie 2023 MHDV'!$E:$E="DayCab")))</f>
        <v>0.11202883020921776</v>
      </c>
      <c r="BB8" s="81">
        <f t="shared" si="1"/>
        <v>0.46441041718258236</v>
      </c>
      <c r="BE8" s="323" t="s">
        <v>1196</v>
      </c>
      <c r="BF8" s="815">
        <f t="shared" ref="BF8:BL12" si="3">AU8/AU$7</f>
        <v>1.0515928201082057</v>
      </c>
      <c r="BG8" s="815">
        <f t="shared" si="3"/>
        <v>1.069914528135022</v>
      </c>
      <c r="BH8" s="815">
        <f t="shared" si="3"/>
        <v>1.0823611121576422</v>
      </c>
      <c r="BI8" s="815">
        <f t="shared" si="3"/>
        <v>1.1012185062636184</v>
      </c>
      <c r="BJ8" s="815">
        <f t="shared" si="3"/>
        <v>1.1099482452282106</v>
      </c>
      <c r="BK8" s="815">
        <f t="shared" si="3"/>
        <v>1.1182409204069459</v>
      </c>
      <c r="BL8" s="322">
        <f t="shared" si="3"/>
        <v>1.1261285533081051</v>
      </c>
      <c r="BM8" s="69"/>
      <c r="BN8" s="69"/>
      <c r="BO8" s="69"/>
      <c r="BP8" s="69"/>
      <c r="BQ8" s="69"/>
    </row>
    <row r="9" spans="1:89" x14ac:dyDescent="0.25">
      <c r="A9" t="s">
        <v>3003</v>
      </c>
      <c r="B9" t="s">
        <v>1715</v>
      </c>
      <c r="C9" t="s">
        <v>3021</v>
      </c>
      <c r="D9" t="s">
        <v>84</v>
      </c>
      <c r="E9" t="s">
        <v>1157</v>
      </c>
      <c r="F9" s="49">
        <v>2022</v>
      </c>
      <c r="P9" s="56"/>
      <c r="Q9" s="56"/>
      <c r="R9" s="56"/>
      <c r="S9" s="56"/>
      <c r="T9" s="56"/>
      <c r="U9" s="56"/>
      <c r="V9" s="56"/>
      <c r="W9" s="56"/>
      <c r="X9" s="56"/>
      <c r="Y9" s="56"/>
      <c r="Z9" s="56"/>
      <c r="AA9" s="56"/>
      <c r="AB9" s="222">
        <v>0.9</v>
      </c>
      <c r="AC9" s="56">
        <v>0.9</v>
      </c>
      <c r="AD9" s="56">
        <v>0.9</v>
      </c>
      <c r="AE9" s="56">
        <v>0.9</v>
      </c>
      <c r="AF9" s="56">
        <v>0.9</v>
      </c>
      <c r="AG9" s="56">
        <v>0.9</v>
      </c>
      <c r="AH9" s="56">
        <v>0.9</v>
      </c>
      <c r="AJ9" s="51" t="s">
        <v>1154</v>
      </c>
      <c r="AP9" s="850"/>
      <c r="AR9" s="871"/>
      <c r="AS9">
        <v>8</v>
      </c>
      <c r="AT9" s="15" t="s">
        <v>808</v>
      </c>
      <c r="AU9" s="57" cm="1">
        <f t="array" ref="AU9">1/AVERAGE(_xlfn._xlws.FILTER('Autonomie 2023 MHDV'!$AR:$AR,(NOT(ISERROR(SEARCH("_ci_", 'Autonomie 2023 MHDV'!$G:$G))))*('Autonomie 2023 MHDV'!$A:$A=$AT9)*('Autonomie 2023 MHDV'!$B:$B=AU$5)*('Autonomie 2023 MHDV'!$F:$F=$AS9)*('Autonomie 2023 MHDV'!$E:$E="DayCab")))</f>
        <v>0.1279824038740536</v>
      </c>
      <c r="AV9" s="57" cm="1">
        <f t="array" ref="AV9">1/AVERAGE(_xlfn._xlws.FILTER('Autonomie 2023 MHDV'!$AR:$AR,(NOT(ISERROR(SEARCH("_ci_", 'Autonomie 2023 MHDV'!$G:$G))))*('Autonomie 2023 MHDV'!$A:$A=$AT9)*('Autonomie 2023 MHDV'!$B:$B=AV$5)*('Autonomie 2023 MHDV'!$F:$F=$AS9)*('Autonomie 2023 MHDV'!$E:$E="DayCab")))</f>
        <v>0.14175711803962834</v>
      </c>
      <c r="AW9" s="57" cm="1">
        <f t="array" ref="AW9">1/AVERAGE(_xlfn._xlws.FILTER('Autonomie 2023 MHDV'!$AR:$AR,(NOT(ISERROR(SEARCH("_ci_", 'Autonomie 2023 MHDV'!$G:$G))))*('Autonomie 2023 MHDV'!$A:$A=$AT9)*('Autonomie 2023 MHDV'!$B:$B=AW$5)*('Autonomie 2023 MHDV'!$F:$F=$AS9)*('Autonomie 2023 MHDV'!$E:$E="DayCab")))</f>
        <v>0.15516338031252416</v>
      </c>
      <c r="AX9" s="57" cm="1">
        <f t="array" ref="AX9">1/AVERAGE(_xlfn._xlws.FILTER('Autonomie 2023 MHDV'!$AR:$AR,(NOT(ISERROR(SEARCH("_ci_", 'Autonomie 2023 MHDV'!$G:$G))))*('Autonomie 2023 MHDV'!$A:$A=$AT9)*('Autonomie 2023 MHDV'!$B:$B=AX$5)*('Autonomie 2023 MHDV'!$F:$F=$AS9)*('Autonomie 2023 MHDV'!$E:$E="DayCab")))</f>
        <v>0.17125469114362732</v>
      </c>
      <c r="AY9" s="297">
        <f t="shared" si="0"/>
        <v>0.17826792751213669</v>
      </c>
      <c r="AZ9" s="297">
        <f t="shared" si="0"/>
        <v>0.18528116388064605</v>
      </c>
      <c r="BA9" s="57" cm="1">
        <f t="array" ref="BA9">1/AVERAGE(_xlfn._xlws.FILTER('Autonomie 2023 MHDV'!$AR:$AR,(NOT(ISERROR(SEARCH("_ci_", 'Autonomie 2023 MHDV'!$G:$G))))*('Autonomie 2023 MHDV'!$A:$A=$AT9)*('Autonomie 2023 MHDV'!$B:$B=BA$5)*('Autonomie 2023 MHDV'!$F:$F=$AS9)*('Autonomie 2023 MHDV'!$E:$E="DayCab")))</f>
        <v>0.19229440024915542</v>
      </c>
      <c r="BB9" s="81">
        <f t="shared" si="1"/>
        <v>0.50250655112237708</v>
      </c>
      <c r="BE9" s="323" t="s">
        <v>1197</v>
      </c>
      <c r="BF9" s="815">
        <f t="shared" si="3"/>
        <v>1.7592634657693706</v>
      </c>
      <c r="BG9" s="815">
        <f t="shared" si="3"/>
        <v>1.7822932817733135</v>
      </c>
      <c r="BH9" s="815">
        <f t="shared" si="3"/>
        <v>1.8036872970138165</v>
      </c>
      <c r="BI9" s="815">
        <f t="shared" si="3"/>
        <v>1.8575696762009408</v>
      </c>
      <c r="BJ9" s="815">
        <f t="shared" si="3"/>
        <v>1.8839932798172514</v>
      </c>
      <c r="BK9" s="815">
        <f t="shared" si="3"/>
        <v>1.9090939572522216</v>
      </c>
      <c r="BL9" s="322">
        <f t="shared" si="3"/>
        <v>1.9329686327833624</v>
      </c>
      <c r="BM9" s="69"/>
      <c r="BN9" s="69"/>
      <c r="BO9" s="69"/>
      <c r="BP9" s="69"/>
      <c r="BQ9" s="69"/>
    </row>
    <row r="10" spans="1:89" x14ac:dyDescent="0.25">
      <c r="A10" t="s">
        <v>2996</v>
      </c>
      <c r="B10" t="s">
        <v>1226</v>
      </c>
      <c r="C10" t="s">
        <v>3013</v>
      </c>
      <c r="D10" t="s">
        <v>84</v>
      </c>
      <c r="E10" t="s">
        <v>1123</v>
      </c>
      <c r="F10" s="49">
        <v>2022</v>
      </c>
      <c r="G10" s="56"/>
      <c r="H10" s="56"/>
      <c r="I10" s="56"/>
      <c r="J10" s="56"/>
      <c r="K10" s="56"/>
      <c r="L10" s="56"/>
      <c r="M10" s="56"/>
      <c r="N10" s="56"/>
      <c r="O10" s="56"/>
      <c r="P10" s="56"/>
      <c r="Q10" s="56"/>
      <c r="R10" s="56"/>
      <c r="S10" s="56"/>
      <c r="T10" s="56"/>
      <c r="U10" s="56"/>
      <c r="V10" s="56"/>
      <c r="W10" s="56"/>
      <c r="X10" s="56"/>
      <c r="Y10" s="56"/>
      <c r="Z10" s="56"/>
      <c r="AA10" s="56"/>
      <c r="AB10" s="222">
        <v>0.995</v>
      </c>
      <c r="AC10" s="56">
        <v>0.995</v>
      </c>
      <c r="AD10" s="56">
        <v>0.995</v>
      </c>
      <c r="AE10" s="56">
        <v>0.995</v>
      </c>
      <c r="AF10" s="56">
        <v>0.995</v>
      </c>
      <c r="AG10" s="56">
        <v>0.995</v>
      </c>
      <c r="AH10" s="56">
        <v>0.995</v>
      </c>
      <c r="AI10" s="287"/>
      <c r="AJ10" s="51" t="s">
        <v>1154</v>
      </c>
      <c r="AP10" s="850"/>
      <c r="AR10" s="871"/>
      <c r="AS10">
        <v>8</v>
      </c>
      <c r="AT10" s="15" t="s">
        <v>230</v>
      </c>
      <c r="AU10" s="57" cm="1">
        <f t="array" ref="AU10">1/AVERAGE(_xlfn._xlws.FILTER('Autonomie 2023 MHDV'!$AR:$AR,('Autonomie 2023 MHDV'!$A:$A=$AT10)*('Autonomie 2023 MHDV'!$B:$B=AU$5)*('Autonomie 2023 MHDV'!$F:$F=$AS10)*('Autonomie 2023 MHDV'!$E:$E="DayCab")))</f>
        <v>0.18934302790719562</v>
      </c>
      <c r="AV10" s="57" cm="1">
        <f t="array" ref="AV10">1/AVERAGE(_xlfn._xlws.FILTER('Autonomie 2023 MHDV'!$AR:$AR,('Autonomie 2023 MHDV'!$A:$A=$AT10)*('Autonomie 2023 MHDV'!$B:$B=AV$5)*('Autonomie 2023 MHDV'!$F:$F=$AS10)*('Autonomie 2023 MHDV'!$E:$E="DayCab")))</f>
        <v>0.20894386842303433</v>
      </c>
      <c r="AW10" s="57" cm="1">
        <f t="array" ref="AW10">1/AVERAGE(_xlfn._xlws.FILTER('Autonomie 2023 MHDV'!$AR:$AR,('Autonomie 2023 MHDV'!$A:$A=$AT10)*('Autonomie 2023 MHDV'!$B:$B=AW$5)*('Autonomie 2023 MHDV'!$F:$F=$AS10)*('Autonomie 2023 MHDV'!$E:$E="DayCab")))</f>
        <v>0.22948097777884247</v>
      </c>
      <c r="AX10" s="57" cm="1">
        <f t="array" ref="AX10">1/AVERAGE(_xlfn._xlws.FILTER('Autonomie 2023 MHDV'!$AR:$AR,('Autonomie 2023 MHDV'!$A:$A=$AT10)*('Autonomie 2023 MHDV'!$B:$B=AX$5)*('Autonomie 2023 MHDV'!$F:$F=$AS10)*('Autonomie 2023 MHDV'!$E:$E="DayCab")))</f>
        <v>0.25431196047161508</v>
      </c>
      <c r="AY10" s="297">
        <f t="shared" si="0"/>
        <v>0.2652358322937991</v>
      </c>
      <c r="AZ10" s="297">
        <f t="shared" si="0"/>
        <v>0.27615970411598312</v>
      </c>
      <c r="BA10" s="57" cm="1">
        <f t="array" ref="BA10">1/AVERAGE(_xlfn._xlws.FILTER('Autonomie 2023 MHDV'!$AR:$AR,('Autonomie 2023 MHDV'!$A:$A=$AT10)*('Autonomie 2023 MHDV'!$B:$B=BA$5)*('Autonomie 2023 MHDV'!$F:$F=$AS10)*('Autonomie 2023 MHDV'!$E:$E="DayCab")))</f>
        <v>0.28708357593816719</v>
      </c>
      <c r="BB10" s="81">
        <f t="shared" si="1"/>
        <v>0.51620885707435715</v>
      </c>
      <c r="BE10" s="323" t="s">
        <v>1198</v>
      </c>
      <c r="BF10" s="815">
        <f t="shared" si="3"/>
        <v>2.6027349183336543</v>
      </c>
      <c r="BG10" s="815">
        <f t="shared" si="3"/>
        <v>2.627023306540393</v>
      </c>
      <c r="BH10" s="815">
        <f t="shared" si="3"/>
        <v>2.667587698156114</v>
      </c>
      <c r="BI10" s="815">
        <f t="shared" si="3"/>
        <v>2.7584773468838395</v>
      </c>
      <c r="BJ10" s="815">
        <f t="shared" si="3"/>
        <v>2.8030983059150261</v>
      </c>
      <c r="BK10" s="815">
        <f t="shared" si="3"/>
        <v>2.8454852685619176</v>
      </c>
      <c r="BL10" s="322">
        <f t="shared" si="3"/>
        <v>2.885801908723002</v>
      </c>
      <c r="BM10" s="69"/>
      <c r="BN10" s="69"/>
      <c r="BO10" s="69"/>
      <c r="BP10" s="69"/>
      <c r="BQ10" s="69"/>
    </row>
    <row r="11" spans="1:89" x14ac:dyDescent="0.25">
      <c r="A11" t="s">
        <v>2975</v>
      </c>
      <c r="B11" t="s">
        <v>1228</v>
      </c>
      <c r="C11" t="s">
        <v>3011</v>
      </c>
      <c r="D11" t="s">
        <v>84</v>
      </c>
      <c r="E11" t="s">
        <v>148</v>
      </c>
      <c r="F11" s="49">
        <v>2023</v>
      </c>
      <c r="G11" s="56"/>
      <c r="H11" s="56"/>
      <c r="I11" s="56"/>
      <c r="J11" s="56"/>
      <c r="K11" s="56"/>
      <c r="L11" s="56">
        <f>AY$31/('Background Data'!H$118*GSL_PJ_ML*10)</f>
        <v>0.60223669413278536</v>
      </c>
      <c r="M11" s="56"/>
      <c r="N11" s="56"/>
      <c r="O11" s="56"/>
      <c r="P11" s="56"/>
      <c r="Q11" s="56">
        <f>BD$31/('Background Data'!M$118*GSL_PJ_ML*10)</f>
        <v>0.55452089172071861</v>
      </c>
      <c r="R11" s="56"/>
      <c r="S11" s="56"/>
      <c r="T11" s="56"/>
      <c r="U11" s="56"/>
      <c r="V11" s="56">
        <f>BI$31/('Background Data'!R$118*GSL_PJ_ML*10)</f>
        <v>0.70119500167018745</v>
      </c>
      <c r="W11" s="56"/>
      <c r="X11" s="56"/>
      <c r="Y11" s="56"/>
      <c r="Z11" s="56"/>
      <c r="AA11" s="56">
        <f>BN$31/('Background Data'!Y$118*GSL_PJ_ML*10)</f>
        <v>0.66666253038506951</v>
      </c>
      <c r="AB11" s="222"/>
      <c r="AD11" s="56"/>
      <c r="AE11" s="56"/>
      <c r="AF11" s="56"/>
      <c r="AG11" s="56"/>
      <c r="AH11" s="56"/>
      <c r="AI11" s="287"/>
      <c r="AJ11" s="51" t="s">
        <v>3050</v>
      </c>
      <c r="AP11" s="850"/>
      <c r="AR11" s="871"/>
      <c r="AS11">
        <v>8</v>
      </c>
      <c r="AT11" s="15" t="s">
        <v>496</v>
      </c>
      <c r="AU11" s="57" cm="1">
        <f t="array" ref="AU11">1/AVERAGE(_xlfn._xlws.FILTER('Autonomie 2023 MHDV'!$AR:$AR,('Autonomie 2023 MHDV'!$A:$A=$AT11)*('Autonomie 2023 MHDV'!$B:$B=AU$5)*('Autonomie 2023 MHDV'!$F:$F=$AS11)*('Autonomie 2023 MHDV'!$E:$E="DayCab")))</f>
        <v>8.9161606342433336E-2</v>
      </c>
      <c r="AV11" s="57" cm="1">
        <f t="array" ref="AV11">1/AVERAGE(_xlfn._xlws.FILTER('Autonomie 2023 MHDV'!$AR:$AR,('Autonomie 2023 MHDV'!$A:$A=$AT11)*('Autonomie 2023 MHDV'!$B:$B=AV$5)*('Autonomie 2023 MHDV'!$F:$F=$AS11)*('Autonomie 2023 MHDV'!$E:$E="DayCab")))</f>
        <v>0.10130028063841105</v>
      </c>
      <c r="AW11" s="57" cm="1">
        <f t="array" ref="AW11">1/AVERAGE(_xlfn._xlws.FILTER('Autonomie 2023 MHDV'!$AR:$AR,('Autonomie 2023 MHDV'!$A:$A=$AT11)*('Autonomie 2023 MHDV'!$B:$B=AW$5)*('Autonomie 2023 MHDV'!$F:$F=$AS11)*('Autonomie 2023 MHDV'!$E:$E="DayCab")))</f>
        <v>0.11373726242601866</v>
      </c>
      <c r="AX11" s="57" cm="1">
        <f t="array" ref="AX11">1/AVERAGE(_xlfn._xlws.FILTER('Autonomie 2023 MHDV'!$AR:$AR,('Autonomie 2023 MHDV'!$A:$A=$AT11)*('Autonomie 2023 MHDV'!$B:$B=AX$5)*('Autonomie 2023 MHDV'!$F:$F=$AS11)*('Autonomie 2023 MHDV'!$E:$E="DayCab")))</f>
        <v>0.1267245785590714</v>
      </c>
      <c r="AY11" s="297">
        <f t="shared" si="0"/>
        <v>0.13361956825458993</v>
      </c>
      <c r="AZ11" s="297">
        <f t="shared" si="0"/>
        <v>0.14051455795010845</v>
      </c>
      <c r="BA11" s="57" cm="1">
        <f t="array" ref="BA11">1/AVERAGE(_xlfn._xlws.FILTER('Autonomie 2023 MHDV'!$AR:$AR,('Autonomie 2023 MHDV'!$A:$A=$AT11)*('Autonomie 2023 MHDV'!$B:$B=BA$5)*('Autonomie 2023 MHDV'!$F:$F=$AS11)*('Autonomie 2023 MHDV'!$E:$E="DayCab")))</f>
        <v>0.14740954764562697</v>
      </c>
      <c r="BB11" s="81">
        <f t="shared" si="1"/>
        <v>0.65328501462262878</v>
      </c>
      <c r="BE11" s="323" t="s">
        <v>1199</v>
      </c>
      <c r="BF11" s="815">
        <f t="shared" si="3"/>
        <v>1.225627522529714</v>
      </c>
      <c r="BG11" s="815">
        <f t="shared" si="3"/>
        <v>1.2736348771785784</v>
      </c>
      <c r="BH11" s="815">
        <f t="shared" si="3"/>
        <v>1.3221319039436916</v>
      </c>
      <c r="BI11" s="815">
        <f t="shared" si="3"/>
        <v>1.3745593349221055</v>
      </c>
      <c r="BJ11" s="815">
        <f t="shared" si="3"/>
        <v>1.412134937321192</v>
      </c>
      <c r="BK11" s="815">
        <f t="shared" si="3"/>
        <v>1.4478292767057708</v>
      </c>
      <c r="BL11" s="322">
        <f t="shared" si="3"/>
        <v>1.4817801839397711</v>
      </c>
      <c r="BM11" s="69"/>
      <c r="BN11" s="69"/>
      <c r="BO11" s="69"/>
      <c r="BP11" s="69"/>
      <c r="BQ11" s="69"/>
      <c r="BS11" t="s">
        <v>3110</v>
      </c>
    </row>
    <row r="12" spans="1:89" x14ac:dyDescent="0.25">
      <c r="A12" t="s">
        <v>2976</v>
      </c>
      <c r="B12" t="s">
        <v>1228</v>
      </c>
      <c r="C12" t="s">
        <v>3011</v>
      </c>
      <c r="D12" t="s">
        <v>84</v>
      </c>
      <c r="E12" t="s">
        <v>2679</v>
      </c>
      <c r="F12" s="49">
        <v>2023</v>
      </c>
      <c r="G12" s="56"/>
      <c r="H12" s="56"/>
      <c r="I12" s="56"/>
      <c r="J12" s="56"/>
      <c r="K12" s="56"/>
      <c r="L12" s="56"/>
      <c r="M12" s="56"/>
      <c r="N12" s="56"/>
      <c r="O12" s="56"/>
      <c r="P12" s="56"/>
      <c r="Q12" s="56"/>
      <c r="R12" s="56"/>
      <c r="S12" s="56"/>
      <c r="T12" s="56"/>
      <c r="U12" s="56"/>
      <c r="V12" s="56"/>
      <c r="W12" s="56"/>
      <c r="X12" s="56"/>
      <c r="Y12" s="56"/>
      <c r="Z12" s="56"/>
      <c r="AA12" s="56"/>
      <c r="AB12" s="222">
        <f t="shared" ref="AB12:AH12" si="4">$AA$11*BF$14</f>
        <v>0.66666253038506951</v>
      </c>
      <c r="AC12" s="222">
        <f t="shared" si="4"/>
        <v>0.73396574287040073</v>
      </c>
      <c r="AD12" s="222">
        <f t="shared" si="4"/>
        <v>0.80695034558134104</v>
      </c>
      <c r="AE12" s="222">
        <f t="shared" si="4"/>
        <v>0.87156327199975625</v>
      </c>
      <c r="AF12" s="222">
        <f t="shared" si="4"/>
        <v>0.90825718249195964</v>
      </c>
      <c r="AG12" s="222">
        <f t="shared" si="4"/>
        <v>0.94495109298416302</v>
      </c>
      <c r="AH12" s="222">
        <f t="shared" si="4"/>
        <v>0.98164500347636663</v>
      </c>
      <c r="AI12" s="290"/>
      <c r="AJ12" s="51" t="s">
        <v>3051</v>
      </c>
      <c r="AK12" s="315">
        <v>3</v>
      </c>
      <c r="AL12" s="315">
        <v>1</v>
      </c>
      <c r="AM12" s="315">
        <v>1</v>
      </c>
      <c r="AN12" s="315">
        <v>3</v>
      </c>
      <c r="AO12" s="315">
        <v>1</v>
      </c>
      <c r="AP12" s="850"/>
      <c r="AR12" s="871"/>
      <c r="AS12">
        <v>8</v>
      </c>
      <c r="AT12" s="15" t="s">
        <v>828</v>
      </c>
      <c r="AU12" s="57" cm="1">
        <f t="array" ref="AU12">1/AVERAGE(_xlfn._xlws.FILTER('Autonomie 2023 MHDV'!$AR:$AR,('Autonomie 2023 MHDV'!$A:$A=$AT12)*('Autonomie 2023 MHDV'!$B:$B=AU$5)*('Autonomie 2023 MHDV'!$F:$F=$AS12)*('Autonomie 2023 MHDV'!$E:$E="DayCab")))</f>
        <v>8.6660183963833348E-2</v>
      </c>
      <c r="AV12" s="57" cm="1">
        <f t="array" ref="AV12">1/AVERAGE(_xlfn._xlws.FILTER('Autonomie 2023 MHDV'!$AR:$AR,('Autonomie 2023 MHDV'!$A:$A=$AT12)*('Autonomie 2023 MHDV'!$B:$B=AV$5)*('Autonomie 2023 MHDV'!$F:$F=$AS12)*('Autonomie 2023 MHDV'!$E:$E="DayCab")))</f>
        <v>9.8110614619204423E-2</v>
      </c>
      <c r="AW12" s="57" cm="1">
        <f t="array" ref="AW12">1/AVERAGE(_xlfn._xlws.FILTER('Autonomie 2023 MHDV'!$AR:$AR,('Autonomie 2023 MHDV'!$A:$A=$AT12)*('Autonomie 2023 MHDV'!$B:$B=AW$5)*('Autonomie 2023 MHDV'!$F:$F=$AS12)*('Autonomie 2023 MHDV'!$E:$E="DayCab")))</f>
        <v>0.11003870359938916</v>
      </c>
      <c r="AX12" s="57" cm="1">
        <f t="array" ref="AX12">1/AVERAGE(_xlfn._xlws.FILTER('Autonomie 2023 MHDV'!$AR:$AR,('Autonomie 2023 MHDV'!$A:$A=$AT12)*('Autonomie 2023 MHDV'!$B:$B=AX$5)*('Autonomie 2023 MHDV'!$F:$F=$AS12)*('Autonomie 2023 MHDV'!$E:$E="DayCab")))</f>
        <v>0.12562335065947403</v>
      </c>
      <c r="AY12" s="297">
        <f t="shared" si="0"/>
        <v>0.13262013894212143</v>
      </c>
      <c r="AZ12" s="297">
        <f t="shared" si="0"/>
        <v>0.13961692722476884</v>
      </c>
      <c r="BA12" s="57" cm="1">
        <f t="array" ref="BA12">1/AVERAGE(_xlfn._xlws.FILTER('Autonomie 2023 MHDV'!$AR:$AR,('Autonomie 2023 MHDV'!$A:$A=$AT12)*('Autonomie 2023 MHDV'!$B:$B=BA$5)*('Autonomie 2023 MHDV'!$F:$F=$AS12)*('Autonomie 2023 MHDV'!$E:$E="DayCab")))</f>
        <v>0.14661371550741623</v>
      </c>
      <c r="BB12" s="81">
        <f t="shared" si="1"/>
        <v>0.69182326647960735</v>
      </c>
      <c r="BC12" s="76"/>
      <c r="BE12" s="323" t="s">
        <v>1200</v>
      </c>
      <c r="BF12" s="815">
        <f t="shared" si="3"/>
        <v>1.1912426315609559</v>
      </c>
      <c r="BG12" s="815">
        <f t="shared" si="3"/>
        <v>1.2335316330117254</v>
      </c>
      <c r="BH12" s="815">
        <f t="shared" si="3"/>
        <v>1.2791382313425059</v>
      </c>
      <c r="BI12" s="815">
        <f t="shared" si="3"/>
        <v>1.3626145085397265</v>
      </c>
      <c r="BJ12" s="815">
        <f t="shared" si="3"/>
        <v>1.4015726441783898</v>
      </c>
      <c r="BK12" s="815">
        <f t="shared" si="3"/>
        <v>1.4385802987864953</v>
      </c>
      <c r="BL12" s="322">
        <f t="shared" si="3"/>
        <v>1.4737803744906708</v>
      </c>
      <c r="BM12" s="69"/>
      <c r="BN12" s="69"/>
      <c r="BO12" s="69"/>
      <c r="BP12" s="69"/>
      <c r="BQ12" s="69"/>
      <c r="BS12" s="317" t="s">
        <v>3092</v>
      </c>
    </row>
    <row r="13" spans="1:89" ht="15.75" thickBot="1" x14ac:dyDescent="0.3">
      <c r="A13" t="s">
        <v>2981</v>
      </c>
      <c r="B13" t="s">
        <v>3015</v>
      </c>
      <c r="C13" t="s">
        <v>3133</v>
      </c>
      <c r="D13" t="s">
        <v>84</v>
      </c>
      <c r="E13" t="s">
        <v>2679</v>
      </c>
      <c r="F13" s="49">
        <v>2023</v>
      </c>
      <c r="G13" s="56"/>
      <c r="H13" s="56"/>
      <c r="I13" s="56"/>
      <c r="J13" s="56"/>
      <c r="K13" s="56"/>
      <c r="L13" s="56"/>
      <c r="M13" s="56"/>
      <c r="N13" s="56"/>
      <c r="O13" s="56"/>
      <c r="P13" s="56"/>
      <c r="Q13" s="56"/>
      <c r="R13" s="56"/>
      <c r="S13" s="56"/>
      <c r="T13" s="56"/>
      <c r="U13" s="56"/>
      <c r="V13" s="56"/>
      <c r="W13" s="56"/>
      <c r="X13" s="56"/>
      <c r="Y13" s="56"/>
      <c r="Z13" s="56"/>
      <c r="AA13" s="56"/>
      <c r="AB13" s="222">
        <f>$AA$11*BT14</f>
        <v>1.5213342784974793</v>
      </c>
      <c r="AC13" s="222">
        <f t="shared" ref="AC13:AH20" si="5">$AA$11*BU14</f>
        <v>1.5362862071503651</v>
      </c>
      <c r="AD13" s="222">
        <f t="shared" si="5"/>
        <v>1.5488096151087207</v>
      </c>
      <c r="AE13" s="222">
        <f t="shared" si="5"/>
        <v>1.6032121329265616</v>
      </c>
      <c r="AF13" s="222">
        <f t="shared" si="5"/>
        <v>1.6111943194378207</v>
      </c>
      <c r="AG13" s="222">
        <f t="shared" si="5"/>
        <v>1.6185565846863801</v>
      </c>
      <c r="AH13" s="222">
        <f t="shared" si="5"/>
        <v>1.6253684466810265</v>
      </c>
      <c r="AI13" s="290"/>
      <c r="AJ13" s="51" t="s">
        <v>3051</v>
      </c>
      <c r="AK13" s="315">
        <v>3</v>
      </c>
      <c r="AL13" s="315">
        <v>1</v>
      </c>
      <c r="AM13" s="315">
        <v>1</v>
      </c>
      <c r="AN13" s="315">
        <v>3</v>
      </c>
      <c r="AO13" s="315">
        <v>1</v>
      </c>
      <c r="AP13" s="850"/>
      <c r="AR13" s="871"/>
      <c r="AS13">
        <v>8</v>
      </c>
      <c r="AT13" s="26" t="s">
        <v>1177</v>
      </c>
      <c r="BE13" s="317" t="s">
        <v>3092</v>
      </c>
      <c r="BL13" s="60"/>
      <c r="BM13" s="69"/>
      <c r="BN13" s="69"/>
      <c r="BO13" s="69"/>
      <c r="BP13" s="69"/>
      <c r="BQ13" s="69"/>
      <c r="BT13" s="79">
        <v>2021</v>
      </c>
      <c r="BU13" s="83">
        <v>2025</v>
      </c>
      <c r="BV13" s="83">
        <v>2030</v>
      </c>
      <c r="BW13" s="83">
        <v>2035</v>
      </c>
      <c r="BX13" s="83">
        <v>2040</v>
      </c>
      <c r="BY13" s="83">
        <v>2045</v>
      </c>
      <c r="BZ13" s="316">
        <v>2050</v>
      </c>
    </row>
    <row r="14" spans="1:89" ht="15.75" thickTop="1" x14ac:dyDescent="0.25">
      <c r="A14" t="s">
        <v>2982</v>
      </c>
      <c r="B14" t="s">
        <v>3016</v>
      </c>
      <c r="C14" t="s">
        <v>3133</v>
      </c>
      <c r="D14" t="s">
        <v>84</v>
      </c>
      <c r="E14" t="s">
        <v>2679</v>
      </c>
      <c r="F14" s="49">
        <v>2023</v>
      </c>
      <c r="G14" s="56"/>
      <c r="H14" s="56"/>
      <c r="I14" s="56"/>
      <c r="J14" s="56"/>
      <c r="K14" s="56"/>
      <c r="L14" s="56"/>
      <c r="M14" s="56"/>
      <c r="N14" s="56"/>
      <c r="O14" s="56"/>
      <c r="P14" s="56"/>
      <c r="Q14" s="56"/>
      <c r="R14" s="56"/>
      <c r="S14" s="56"/>
      <c r="T14" s="56"/>
      <c r="U14" s="56"/>
      <c r="V14" s="56"/>
      <c r="W14" s="56"/>
      <c r="X14" s="56"/>
      <c r="Y14" s="56"/>
      <c r="Z14" s="56"/>
      <c r="AA14" s="56"/>
      <c r="AB14" s="222">
        <f t="shared" ref="AB14:AB20" si="6">$AA$11*BT15</f>
        <v>1.5213342784974793</v>
      </c>
      <c r="AC14" s="222">
        <f t="shared" si="5"/>
        <v>1.5362862071503651</v>
      </c>
      <c r="AD14" s="222">
        <f t="shared" si="5"/>
        <v>1.5488096151087207</v>
      </c>
      <c r="AE14" s="222">
        <f t="shared" si="5"/>
        <v>1.6032121329265616</v>
      </c>
      <c r="AF14" s="222">
        <f t="shared" si="5"/>
        <v>1.6111943194378207</v>
      </c>
      <c r="AG14" s="222">
        <f t="shared" si="5"/>
        <v>1.6185565846863801</v>
      </c>
      <c r="AH14" s="222">
        <f t="shared" si="5"/>
        <v>1.6253684466810265</v>
      </c>
      <c r="AI14" s="287"/>
      <c r="AJ14" s="51" t="s">
        <v>3050</v>
      </c>
      <c r="AP14" s="850"/>
      <c r="AR14" s="871"/>
      <c r="AS14">
        <v>8</v>
      </c>
      <c r="AT14" s="15" t="s">
        <v>795</v>
      </c>
      <c r="AU14" s="57" cm="1">
        <f t="array" ref="AU14">1/AVERAGE(_xlfn._xlws.FILTER('Autonomie 2023 MHDV'!$AR:$AR,(NOT(ISERROR(SEARCH("_ci_", 'Autonomie 2023 MHDV'!$G:$G))))*('Autonomie 2023 MHDV'!$A:$A="Conv")*('Autonomie 2023 MHDV'!$B:$B=AU$5)*('Autonomie 2023 MHDV'!$F:$F=$AS14)*('Autonomie 2023 MHDV'!$E:$E="Sleeper")))</f>
        <v>7.6885780294046982E-2</v>
      </c>
      <c r="AV14" s="57" cm="1">
        <f t="array" ref="AV14">1/AVERAGE(_xlfn._xlws.FILTER('Autonomie 2023 MHDV'!$AR:$AR,(NOT(ISERROR(SEARCH("_ci_", 'Autonomie 2023 MHDV'!$G:$G))))*('Autonomie 2023 MHDV'!$A:$A="Conv")*('Autonomie 2023 MHDV'!$B:$B=AV$5)*('Autonomie 2023 MHDV'!$F:$F=$AS14)*('Autonomie 2023 MHDV'!$E:$E="Sleeper")))</f>
        <v>8.4647818465356545E-2</v>
      </c>
      <c r="AW14" s="57" cm="1">
        <f t="array" ref="AW14">1/AVERAGE(_xlfn._xlws.FILTER('Autonomie 2023 MHDV'!$AR:$AR,(NOT(ISERROR(SEARCH("_ci_", 'Autonomie 2023 MHDV'!$G:$G))))*('Autonomie 2023 MHDV'!$A:$A="Conv")*('Autonomie 2023 MHDV'!$B:$B=AW$5)*('Autonomie 2023 MHDV'!$F:$F=$AS14)*('Autonomie 2023 MHDV'!$E:$E="Sleeper")))</f>
        <v>9.3065087882973921E-2</v>
      </c>
      <c r="AX14" s="57" cm="1">
        <f t="array" ref="AX14">1/AVERAGE(_xlfn._xlws.FILTER('Autonomie 2023 MHDV'!$AR:$AR,(NOT(ISERROR(SEARCH("_ci_", 'Autonomie 2023 MHDV'!$G:$G))))*('Autonomie 2023 MHDV'!$A:$A="Conv")*('Autonomie 2023 MHDV'!$B:$B=AX$5)*('Autonomie 2023 MHDV'!$F:$F=$AS14)*('Autonomie 2023 MHDV'!$E:$E="Sleeper")))</f>
        <v>0.10051685701403976</v>
      </c>
      <c r="AY14" s="297">
        <f t="shared" ref="AY14:AZ19" si="7">($BA14-$AX14)/3 + AX14</f>
        <v>0.10474874318079853</v>
      </c>
      <c r="AZ14" s="297">
        <f t="shared" si="7"/>
        <v>0.10898062934755731</v>
      </c>
      <c r="BA14" s="57" cm="1">
        <f t="array" ref="BA14">1/AVERAGE(_xlfn._xlws.FILTER('Autonomie 2023 MHDV'!$AR:$AR,(NOT(ISERROR(SEARCH("_ci_", 'Autonomie 2023 MHDV'!$G:$G))))*('Autonomie 2023 MHDV'!$A:$A="Conv")*('Autonomie 2023 MHDV'!$B:$B=BA$5)*('Autonomie 2023 MHDV'!$F:$F=$AS14)*('Autonomie 2023 MHDV'!$E:$E="Sleeper")))</f>
        <v>0.11321251551431609</v>
      </c>
      <c r="BB14" s="81">
        <f t="shared" ref="BB14:BB19" si="8">(BA14-AU14)/AU14</f>
        <v>0.47247664108159892</v>
      </c>
      <c r="BE14" s="319" t="s">
        <v>1077</v>
      </c>
      <c r="BF14" s="57">
        <f t="shared" ref="BF14:BL14" si="9">AU14/$AU14</f>
        <v>1</v>
      </c>
      <c r="BG14" s="57">
        <f t="shared" si="9"/>
        <v>1.1009554450982213</v>
      </c>
      <c r="BH14" s="57">
        <f t="shared" si="9"/>
        <v>1.2104330284098015</v>
      </c>
      <c r="BI14" s="57">
        <f t="shared" si="9"/>
        <v>1.3073530193699869</v>
      </c>
      <c r="BJ14" s="57">
        <f t="shared" si="9"/>
        <v>1.3623942266071909</v>
      </c>
      <c r="BK14" s="57">
        <f t="shared" si="9"/>
        <v>1.4174354338443949</v>
      </c>
      <c r="BL14" s="63">
        <f t="shared" si="9"/>
        <v>1.472476641081599</v>
      </c>
      <c r="BM14" s="69"/>
      <c r="BN14" s="69"/>
      <c r="BP14" s="69"/>
      <c r="BQ14" s="69"/>
      <c r="BS14" s="69" t="s">
        <v>2981</v>
      </c>
      <c r="BT14" s="57">
        <f>BF$17/'Payload capacity penalty'!C10</f>
        <v>2.2820155763347683</v>
      </c>
      <c r="BU14" s="57">
        <f>BG$17/'Payload capacity penalty'!D10</f>
        <v>2.3044436084670816</v>
      </c>
      <c r="BV14" s="57">
        <f>BH$17/'Payload capacity penalty'!E10</f>
        <v>2.3232288369561074</v>
      </c>
      <c r="BW14" s="57">
        <f>BI$17/'Payload capacity penalty'!F10</f>
        <v>2.4048331199903101</v>
      </c>
      <c r="BX14" s="57">
        <f>BJ$17/'Payload capacity penalty'!G10</f>
        <v>2.4168064740449449</v>
      </c>
      <c r="BY14" s="57">
        <f>BK$17/'Payload capacity penalty'!H10</f>
        <v>2.427849940436114</v>
      </c>
      <c r="BZ14" s="57">
        <f>BL$17/'Payload capacity penalty'!I10</f>
        <v>2.4380677968239808</v>
      </c>
    </row>
    <row r="15" spans="1:89" x14ac:dyDescent="0.25">
      <c r="A15" t="s">
        <v>2983</v>
      </c>
      <c r="B15" t="s">
        <v>3017</v>
      </c>
      <c r="C15" t="s">
        <v>3133</v>
      </c>
      <c r="D15" t="s">
        <v>84</v>
      </c>
      <c r="E15" t="s">
        <v>2679</v>
      </c>
      <c r="F15" s="49">
        <v>2023</v>
      </c>
      <c r="G15" s="56"/>
      <c r="H15" s="56"/>
      <c r="I15" s="56"/>
      <c r="J15" s="56"/>
      <c r="K15" s="56"/>
      <c r="L15" s="56"/>
      <c r="M15" s="56"/>
      <c r="N15" s="56"/>
      <c r="O15" s="56"/>
      <c r="P15" s="56"/>
      <c r="Q15" s="56"/>
      <c r="R15" s="56"/>
      <c r="S15" s="56"/>
      <c r="T15" s="56"/>
      <c r="U15" s="56"/>
      <c r="V15" s="56"/>
      <c r="W15" s="56"/>
      <c r="X15" s="56"/>
      <c r="Y15" s="56"/>
      <c r="Z15" s="56"/>
      <c r="AA15" s="56"/>
      <c r="AB15" s="222">
        <f t="shared" si="6"/>
        <v>1.5213342784974793</v>
      </c>
      <c r="AC15" s="222">
        <f t="shared" si="5"/>
        <v>1.5362862071503651</v>
      </c>
      <c r="AD15" s="222">
        <f t="shared" si="5"/>
        <v>1.5488096151087207</v>
      </c>
      <c r="AE15" s="222">
        <f t="shared" si="5"/>
        <v>1.6032121329265616</v>
      </c>
      <c r="AF15" s="222">
        <f t="shared" si="5"/>
        <v>1.6111943194378207</v>
      </c>
      <c r="AG15" s="222">
        <f t="shared" si="5"/>
        <v>1.6185565846863801</v>
      </c>
      <c r="AH15" s="222">
        <f t="shared" si="5"/>
        <v>1.6253684466810265</v>
      </c>
      <c r="AI15" s="287"/>
      <c r="AJ15" s="51" t="s">
        <v>3050</v>
      </c>
      <c r="AP15" s="850"/>
      <c r="AR15" s="871"/>
      <c r="AS15">
        <v>8</v>
      </c>
      <c r="AT15" s="15" t="s">
        <v>807</v>
      </c>
      <c r="AU15" s="57" cm="1">
        <f t="array" ref="AU15">1/AVERAGE(_xlfn._xlws.FILTER('Autonomie 2023 MHDV'!$AR:$AR,(NOT(ISERROR(SEARCH("_ci_", 'Autonomie 2023 MHDV'!$G:$G))))*('Autonomie 2023 MHDV'!$A:$A=$AT15)*('Autonomie 2023 MHDV'!$B:$B=AU$5)*('Autonomie 2023 MHDV'!$F:$F=$AS15)*('Autonomie 2023 MHDV'!$E:$E="Sleeper")))</f>
        <v>7.7231326550215251E-2</v>
      </c>
      <c r="AV15" s="57" cm="1">
        <f t="array" ref="AV15">1/AVERAGE(_xlfn._xlws.FILTER('Autonomie 2023 MHDV'!$AR:$AR,(NOT(ISERROR(SEARCH("_ci_", 'Autonomie 2023 MHDV'!$G:$G))))*('Autonomie 2023 MHDV'!$A:$A=$AT15)*('Autonomie 2023 MHDV'!$B:$B=AV$5)*('Autonomie 2023 MHDV'!$F:$F=$AS15)*('Autonomie 2023 MHDV'!$E:$E="Sleeper")))</f>
        <v>8.5586242629128825E-2</v>
      </c>
      <c r="AW15" s="57" cm="1">
        <f t="array" ref="AW15">1/AVERAGE(_xlfn._xlws.FILTER('Autonomie 2023 MHDV'!$AR:$AR,(NOT(ISERROR(SEARCH("_ci_", 'Autonomie 2023 MHDV'!$G:$G))))*('Autonomie 2023 MHDV'!$A:$A=$AT15)*('Autonomie 2023 MHDV'!$B:$B=AW$5)*('Autonomie 2023 MHDV'!$F:$F=$AS15)*('Autonomie 2023 MHDV'!$E:$E="Sleeper")))</f>
        <v>9.5490495596425737E-2</v>
      </c>
      <c r="AX15" s="57" cm="1">
        <f t="array" ref="AX15">1/AVERAGE(_xlfn._xlws.FILTER('Autonomie 2023 MHDV'!$AR:$AR,(NOT(ISERROR(SEARCH("_ci_", 'Autonomie 2023 MHDV'!$G:$G))))*('Autonomie 2023 MHDV'!$A:$A=$AT15)*('Autonomie 2023 MHDV'!$B:$B=AX$5)*('Autonomie 2023 MHDV'!$F:$F=$AS15)*('Autonomie 2023 MHDV'!$E:$E="Sleeper")))</f>
        <v>0.10436468630729638</v>
      </c>
      <c r="AY15" s="297">
        <f t="shared" si="7"/>
        <v>0.10951710635320835</v>
      </c>
      <c r="AZ15" s="297">
        <f t="shared" si="7"/>
        <v>0.11466952639912033</v>
      </c>
      <c r="BA15" s="57" cm="1">
        <f t="array" ref="BA15">1/AVERAGE(_xlfn._xlws.FILTER('Autonomie 2023 MHDV'!$AR:$AR,(NOT(ISERROR(SEARCH("_ci_", 'Autonomie 2023 MHDV'!$G:$G))))*('Autonomie 2023 MHDV'!$A:$A=$AT15)*('Autonomie 2023 MHDV'!$B:$B=BA$5)*('Autonomie 2023 MHDV'!$F:$F=$AS15)*('Autonomie 2023 MHDV'!$E:$E="Sleeper")))</f>
        <v>0.1198219464450323</v>
      </c>
      <c r="BB15" s="81">
        <f t="shared" si="8"/>
        <v>0.55146819039971995</v>
      </c>
      <c r="BE15" s="323" t="s">
        <v>1196</v>
      </c>
      <c r="BF15" s="815">
        <f t="shared" ref="BF15:BL19" si="10">AU15/AU$14</f>
        <v>1.0044942804098071</v>
      </c>
      <c r="BG15" s="815">
        <f t="shared" si="10"/>
        <v>1.0110862179414151</v>
      </c>
      <c r="BH15" s="815">
        <f t="shared" si="10"/>
        <v>1.026061413239105</v>
      </c>
      <c r="BI15" s="815">
        <f t="shared" si="10"/>
        <v>1.0382804378047672</v>
      </c>
      <c r="BJ15" s="815">
        <f t="shared" si="10"/>
        <v>1.0455219129854334</v>
      </c>
      <c r="BK15" s="815">
        <f t="shared" si="10"/>
        <v>1.0522009928335079</v>
      </c>
      <c r="BL15" s="322">
        <f t="shared" si="10"/>
        <v>1.0583807443964128</v>
      </c>
      <c r="BM15" s="69"/>
      <c r="BN15" s="69"/>
      <c r="BP15" s="69"/>
      <c r="BQ15" s="69"/>
      <c r="BS15" s="69" t="s">
        <v>2982</v>
      </c>
      <c r="BT15" s="57">
        <f>BF$17/'Payload capacity penalty'!C11</f>
        <v>2.2820155763347683</v>
      </c>
      <c r="BU15" s="57">
        <f>BG$17/'Payload capacity penalty'!D11</f>
        <v>2.3044436084670816</v>
      </c>
      <c r="BV15" s="57">
        <f>BH$17/'Payload capacity penalty'!E11</f>
        <v>2.3232288369561074</v>
      </c>
      <c r="BW15" s="57">
        <f>BI$17/'Payload capacity penalty'!F11</f>
        <v>2.4048331199903101</v>
      </c>
      <c r="BX15" s="57">
        <f>BJ$17/'Payload capacity penalty'!G11</f>
        <v>2.4168064740449449</v>
      </c>
      <c r="BY15" s="57">
        <f>BK$17/'Payload capacity penalty'!H11</f>
        <v>2.427849940436114</v>
      </c>
      <c r="BZ15" s="57">
        <f>BL$17/'Payload capacity penalty'!I11</f>
        <v>2.4380677968239808</v>
      </c>
    </row>
    <row r="16" spans="1:89" x14ac:dyDescent="0.25">
      <c r="A16" t="s">
        <v>2984</v>
      </c>
      <c r="B16" t="s">
        <v>3018</v>
      </c>
      <c r="C16" t="s">
        <v>3133</v>
      </c>
      <c r="D16" t="s">
        <v>84</v>
      </c>
      <c r="E16" t="s">
        <v>2679</v>
      </c>
      <c r="F16" s="49">
        <v>2023</v>
      </c>
      <c r="G16" s="56"/>
      <c r="H16" s="56"/>
      <c r="I16" s="56"/>
      <c r="J16" s="56"/>
      <c r="K16" s="56"/>
      <c r="L16" s="56"/>
      <c r="M16" s="56"/>
      <c r="N16" s="56"/>
      <c r="O16" s="56"/>
      <c r="P16" s="56"/>
      <c r="Q16" s="56"/>
      <c r="R16" s="56"/>
      <c r="S16" s="56"/>
      <c r="T16" s="56"/>
      <c r="U16" s="56"/>
      <c r="V16" s="56"/>
      <c r="W16" s="56"/>
      <c r="X16" s="56"/>
      <c r="Y16" s="56"/>
      <c r="Z16" s="56"/>
      <c r="AA16" s="56"/>
      <c r="AB16" s="222">
        <f t="shared" si="6"/>
        <v>1.5213342784974793</v>
      </c>
      <c r="AC16" s="222">
        <f t="shared" si="5"/>
        <v>1.5362862071503651</v>
      </c>
      <c r="AD16" s="222">
        <f t="shared" si="5"/>
        <v>1.5488096151087207</v>
      </c>
      <c r="AE16" s="222">
        <f t="shared" si="5"/>
        <v>1.6032121329265616</v>
      </c>
      <c r="AF16" s="222">
        <f t="shared" si="5"/>
        <v>1.6111943194378207</v>
      </c>
      <c r="AG16" s="222">
        <f t="shared" si="5"/>
        <v>1.6185565846863801</v>
      </c>
      <c r="AH16" s="222">
        <f t="shared" si="5"/>
        <v>1.6253684466810265</v>
      </c>
      <c r="AI16" s="287"/>
      <c r="AJ16" s="51" t="s">
        <v>3050</v>
      </c>
      <c r="AP16" s="850"/>
      <c r="AR16" s="871"/>
      <c r="AS16">
        <v>8</v>
      </c>
      <c r="AT16" s="15" t="s">
        <v>808</v>
      </c>
      <c r="AU16" s="57" cm="1">
        <f t="array" ref="AU16">1/AVERAGE(_xlfn._xlws.FILTER('Autonomie 2023 MHDV'!$AR:$AR,(NOT(ISERROR(SEARCH("_ci_", 'Autonomie 2023 MHDV'!$G:$G))))*('Autonomie 2023 MHDV'!$A:$A=$AT16)*('Autonomie 2023 MHDV'!$B:$B=AU$5)*('Autonomie 2023 MHDV'!$F:$F=$AS16)*('Autonomie 2023 MHDV'!$E:$E="Sleeper")))</f>
        <v>0.1187711638826731</v>
      </c>
      <c r="AV16" s="57" cm="1">
        <f t="array" ref="AV16">1/AVERAGE(_xlfn._xlws.FILTER('Autonomie 2023 MHDV'!$AR:$AR,(NOT(ISERROR(SEARCH("_ci_", 'Autonomie 2023 MHDV'!$G:$G))))*('Autonomie 2023 MHDV'!$A:$A=$AT16)*('Autonomie 2023 MHDV'!$B:$B=AV$5)*('Autonomie 2023 MHDV'!$F:$F=$AS16)*('Autonomie 2023 MHDV'!$E:$E="Sleeper")))</f>
        <v>0.13122322271613682</v>
      </c>
      <c r="AW16" s="57" cm="1">
        <f t="array" ref="AW16">1/AVERAGE(_xlfn._xlws.FILTER('Autonomie 2023 MHDV'!$AR:$AR,(NOT(ISERROR(SEARCH("_ci_", 'Autonomie 2023 MHDV'!$G:$G))))*('Autonomie 2023 MHDV'!$A:$A=$AT16)*('Autonomie 2023 MHDV'!$B:$B=AW$5)*('Autonomie 2023 MHDV'!$F:$F=$AS16)*('Autonomie 2023 MHDV'!$E:$E="Sleeper")))</f>
        <v>0.14600124908901543</v>
      </c>
      <c r="AX16" s="57" cm="1">
        <f t="array" ref="AX16">1/AVERAGE(_xlfn._xlws.FILTER('Autonomie 2023 MHDV'!$AR:$AR,(NOT(ISERROR(SEARCH("_ci_", 'Autonomie 2023 MHDV'!$G:$G))))*('Autonomie 2023 MHDV'!$A:$A=$AT16)*('Autonomie 2023 MHDV'!$B:$B=AX$5)*('Autonomie 2023 MHDV'!$F:$F=$AS16)*('Autonomie 2023 MHDV'!$E:$E="Sleeper")))</f>
        <v>0.16255392372984231</v>
      </c>
      <c r="AY16" s="297">
        <f t="shared" si="7"/>
        <v>0.17035767979006</v>
      </c>
      <c r="AZ16" s="297">
        <f t="shared" si="7"/>
        <v>0.17816143585027769</v>
      </c>
      <c r="BA16" s="57" cm="1">
        <f t="array" ref="BA16">1/AVERAGE(_xlfn._xlws.FILTER('Autonomie 2023 MHDV'!$AR:$AR,(NOT(ISERROR(SEARCH("_ci_", 'Autonomie 2023 MHDV'!$G:$G))))*('Autonomie 2023 MHDV'!$A:$A=$AT16)*('Autonomie 2023 MHDV'!$B:$B=BA$5)*('Autonomie 2023 MHDV'!$F:$F=$AS16)*('Autonomie 2023 MHDV'!$E:$E="Sleeper")))</f>
        <v>0.18596519191049538</v>
      </c>
      <c r="BB16" s="81">
        <f t="shared" si="8"/>
        <v>0.56574361849479915</v>
      </c>
      <c r="BE16" s="323" t="s">
        <v>1197</v>
      </c>
      <c r="BF16" s="815">
        <f t="shared" si="10"/>
        <v>1.5447741237513222</v>
      </c>
      <c r="BG16" s="815">
        <f t="shared" si="10"/>
        <v>1.5502256891575061</v>
      </c>
      <c r="BH16" s="815">
        <f t="shared" si="10"/>
        <v>1.5688079430237778</v>
      </c>
      <c r="BI16" s="815">
        <f t="shared" si="10"/>
        <v>1.6171807252900625</v>
      </c>
      <c r="BJ16" s="815">
        <f t="shared" si="10"/>
        <v>1.6263458120544612</v>
      </c>
      <c r="BK16" s="815">
        <f t="shared" si="10"/>
        <v>1.6347991098683354</v>
      </c>
      <c r="BL16" s="322">
        <f t="shared" si="10"/>
        <v>1.6426204387886734</v>
      </c>
      <c r="BM16" s="69"/>
      <c r="BN16" s="69"/>
      <c r="BP16" s="69"/>
      <c r="BQ16" s="69"/>
      <c r="BS16" s="69" t="s">
        <v>2983</v>
      </c>
      <c r="BT16" s="57">
        <f>BF$17/'Payload capacity penalty'!C12</f>
        <v>2.2820155763347683</v>
      </c>
      <c r="BU16" s="57">
        <f>BG$17/'Payload capacity penalty'!D12</f>
        <v>2.3044436084670816</v>
      </c>
      <c r="BV16" s="57">
        <f>BH$17/'Payload capacity penalty'!E12</f>
        <v>2.3232288369561074</v>
      </c>
      <c r="BW16" s="57">
        <f>BI$17/'Payload capacity penalty'!F12</f>
        <v>2.4048331199903101</v>
      </c>
      <c r="BX16" s="57">
        <f>BJ$17/'Payload capacity penalty'!G12</f>
        <v>2.4168064740449449</v>
      </c>
      <c r="BY16" s="57">
        <f>BK$17/'Payload capacity penalty'!H12</f>
        <v>2.427849940436114</v>
      </c>
      <c r="BZ16" s="57">
        <f>BL$17/'Payload capacity penalty'!I12</f>
        <v>2.4380677968239808</v>
      </c>
    </row>
    <row r="17" spans="1:89" x14ac:dyDescent="0.25">
      <c r="A17" t="s">
        <v>2985</v>
      </c>
      <c r="B17" t="s">
        <v>3019</v>
      </c>
      <c r="C17" t="s">
        <v>3133</v>
      </c>
      <c r="D17" t="s">
        <v>84</v>
      </c>
      <c r="E17" t="s">
        <v>2679</v>
      </c>
      <c r="F17" s="49">
        <v>2023</v>
      </c>
      <c r="G17" s="56"/>
      <c r="H17" s="56"/>
      <c r="I17" s="56"/>
      <c r="J17" s="56"/>
      <c r="K17" s="56"/>
      <c r="L17" s="56"/>
      <c r="M17" s="56"/>
      <c r="N17" s="56"/>
      <c r="O17" s="56"/>
      <c r="P17" s="56"/>
      <c r="Q17" s="56"/>
      <c r="R17" s="56"/>
      <c r="S17" s="56"/>
      <c r="T17" s="56"/>
      <c r="U17" s="56"/>
      <c r="V17" s="56"/>
      <c r="W17" s="56"/>
      <c r="X17" s="56"/>
      <c r="Y17" s="56"/>
      <c r="Z17" s="56"/>
      <c r="AA17" s="56"/>
      <c r="AB17" s="222">
        <f t="shared" si="6"/>
        <v>1.5213342784974793</v>
      </c>
      <c r="AC17" s="222">
        <f t="shared" si="5"/>
        <v>1.5362862071503651</v>
      </c>
      <c r="AD17" s="222">
        <f t="shared" si="5"/>
        <v>1.5488096151087207</v>
      </c>
      <c r="AE17" s="222">
        <f t="shared" si="5"/>
        <v>1.6032121329265616</v>
      </c>
      <c r="AF17" s="222">
        <f t="shared" si="5"/>
        <v>1.6111943194378207</v>
      </c>
      <c r="AG17" s="222">
        <f t="shared" si="5"/>
        <v>1.6185565846863801</v>
      </c>
      <c r="AH17" s="222">
        <f t="shared" si="5"/>
        <v>1.6253684466810265</v>
      </c>
      <c r="AI17" s="287"/>
      <c r="AJ17" s="51" t="s">
        <v>3050</v>
      </c>
      <c r="AP17" s="850"/>
      <c r="AR17" s="871"/>
      <c r="AS17">
        <v>8</v>
      </c>
      <c r="AT17" s="15" t="s">
        <v>230</v>
      </c>
      <c r="AU17" s="57" cm="1">
        <f t="array" ref="AU17">1/AVERAGE(_xlfn._xlws.FILTER('Autonomie 2023 MHDV'!$AR:$AR,('Autonomie 2023 MHDV'!$A:$A=$AT17)*('Autonomie 2023 MHDV'!$B:$B=AU$5)*('Autonomie 2023 MHDV'!$F:$F=$AS17)*('Autonomie 2023 MHDV'!$E:$E="Sleeper")))</f>
        <v>0.17545454822966799</v>
      </c>
      <c r="AV17" s="57" cm="1">
        <f t="array" ref="AV17">1/AVERAGE(_xlfn._xlws.FILTER('Autonomie 2023 MHDV'!$AR:$AR,('Autonomie 2023 MHDV'!$A:$A=$AT17)*('Autonomie 2023 MHDV'!$B:$B=AV$5)*('Autonomie 2023 MHDV'!$F:$F=$AS17)*('Autonomie 2023 MHDV'!$E:$E="Sleeper")))</f>
        <v>0.19506612423317271</v>
      </c>
      <c r="AW17" s="57" cm="1">
        <f t="array" ref="AW17">1/AVERAGE(_xlfn._xlws.FILTER('Autonomie 2023 MHDV'!$AR:$AR,('Autonomie 2023 MHDV'!$A:$A=$AT17)*('Autonomie 2023 MHDV'!$B:$B=AW$5)*('Autonomie 2023 MHDV'!$F:$F=$AS17)*('Autonomie 2023 MHDV'!$E:$E="Sleeper")))</f>
        <v>0.21621149588357944</v>
      </c>
      <c r="AX17" s="57" cm="1">
        <f t="array" ref="AX17">1/AVERAGE(_xlfn._xlws.FILTER('Autonomie 2023 MHDV'!$AR:$AR,('Autonomie 2023 MHDV'!$A:$A=$AT17)*('Autonomie 2023 MHDV'!$B:$B=AX$5)*('Autonomie 2023 MHDV'!$F:$F=$AS17)*('Autonomie 2023 MHDV'!$E:$E="Sleeper")))</f>
        <v>0.24172626686469312</v>
      </c>
      <c r="AY17" s="297">
        <f t="shared" si="7"/>
        <v>0.25315744066742518</v>
      </c>
      <c r="AZ17" s="297">
        <f t="shared" si="7"/>
        <v>0.26458861447015725</v>
      </c>
      <c r="BA17" s="57" cm="1">
        <f t="array" ref="BA17">1/AVERAGE(_xlfn._xlws.FILTER('Autonomie 2023 MHDV'!$AR:$AR,('Autonomie 2023 MHDV'!$A:$A=$AT17)*('Autonomie 2023 MHDV'!$B:$B=BA$5)*('Autonomie 2023 MHDV'!$F:$F=$AS17)*('Autonomie 2023 MHDV'!$E:$E="Sleeper")))</f>
        <v>0.27601978827288937</v>
      </c>
      <c r="BB17" s="81">
        <f t="shared" si="8"/>
        <v>0.57316975283868177</v>
      </c>
      <c r="BE17" s="323" t="s">
        <v>1198</v>
      </c>
      <c r="BF17" s="815">
        <f t="shared" si="10"/>
        <v>2.2820155763347683</v>
      </c>
      <c r="BG17" s="815">
        <f t="shared" si="10"/>
        <v>2.3044436084670816</v>
      </c>
      <c r="BH17" s="815">
        <f t="shared" si="10"/>
        <v>2.3232288369561074</v>
      </c>
      <c r="BI17" s="815">
        <f t="shared" si="10"/>
        <v>2.4048331199903101</v>
      </c>
      <c r="BJ17" s="815">
        <f t="shared" si="10"/>
        <v>2.4168064740449449</v>
      </c>
      <c r="BK17" s="815">
        <f t="shared" si="10"/>
        <v>2.427849940436114</v>
      </c>
      <c r="BL17" s="322">
        <f t="shared" si="10"/>
        <v>2.4380677968239808</v>
      </c>
      <c r="BM17" s="69"/>
      <c r="BN17" s="69"/>
      <c r="BP17" s="69"/>
      <c r="BQ17" s="69"/>
      <c r="BS17" s="69" t="s">
        <v>2984</v>
      </c>
      <c r="BT17" s="57">
        <f>BF$17/'Payload capacity penalty'!C13</f>
        <v>2.2820155763347683</v>
      </c>
      <c r="BU17" s="57">
        <f>BG$17/'Payload capacity penalty'!D13</f>
        <v>2.3044436084670816</v>
      </c>
      <c r="BV17" s="57">
        <f>BH$17/'Payload capacity penalty'!E13</f>
        <v>2.3232288369561074</v>
      </c>
      <c r="BW17" s="57">
        <f>BI$17/'Payload capacity penalty'!F13</f>
        <v>2.4048331199903101</v>
      </c>
      <c r="BX17" s="57">
        <f>BJ$17/'Payload capacity penalty'!G13</f>
        <v>2.4168064740449449</v>
      </c>
      <c r="BY17" s="57">
        <f>BK$17/'Payload capacity penalty'!H13</f>
        <v>2.427849940436114</v>
      </c>
      <c r="BZ17" s="57">
        <f>BL$17/'Payload capacity penalty'!I13</f>
        <v>2.4380677968239808</v>
      </c>
    </row>
    <row r="18" spans="1:89" x14ac:dyDescent="0.25">
      <c r="A18" t="s">
        <v>2986</v>
      </c>
      <c r="B18" t="s">
        <v>3020</v>
      </c>
      <c r="C18" t="s">
        <v>3133</v>
      </c>
      <c r="D18" t="s">
        <v>84</v>
      </c>
      <c r="E18" t="s">
        <v>2679</v>
      </c>
      <c r="F18" s="49">
        <v>2023</v>
      </c>
      <c r="G18" s="56"/>
      <c r="H18" s="56"/>
      <c r="I18" s="56"/>
      <c r="J18" s="56"/>
      <c r="K18" s="56"/>
      <c r="L18" s="56"/>
      <c r="M18" s="56"/>
      <c r="N18" s="56"/>
      <c r="O18" s="56"/>
      <c r="P18" s="56"/>
      <c r="Q18" s="56"/>
      <c r="R18" s="56"/>
      <c r="S18" s="56"/>
      <c r="T18" s="56"/>
      <c r="U18" s="56"/>
      <c r="V18" s="56"/>
      <c r="W18" s="56"/>
      <c r="X18" s="56"/>
      <c r="Y18" s="56"/>
      <c r="Z18" s="56"/>
      <c r="AA18" s="56"/>
      <c r="AB18" s="222">
        <f t="shared" si="6"/>
        <v>1.5213342784974793</v>
      </c>
      <c r="AC18" s="222">
        <f t="shared" si="5"/>
        <v>1.5362862071503651</v>
      </c>
      <c r="AD18" s="222">
        <f t="shared" si="5"/>
        <v>1.5488096151087207</v>
      </c>
      <c r="AE18" s="222">
        <f t="shared" si="5"/>
        <v>1.6032121329265616</v>
      </c>
      <c r="AF18" s="222">
        <f t="shared" si="5"/>
        <v>1.6111943194378207</v>
      </c>
      <c r="AG18" s="222">
        <f t="shared" si="5"/>
        <v>1.6185565846863801</v>
      </c>
      <c r="AH18" s="222">
        <f t="shared" si="5"/>
        <v>1.6253684466810265</v>
      </c>
      <c r="AI18" s="287"/>
      <c r="AJ18" s="51" t="s">
        <v>3050</v>
      </c>
      <c r="AP18" s="850"/>
      <c r="AR18" s="871"/>
      <c r="AS18">
        <v>8</v>
      </c>
      <c r="AT18" s="15" t="s">
        <v>496</v>
      </c>
      <c r="AU18" s="57" cm="1">
        <f t="array" ref="AU18">1/AVERAGE(_xlfn._xlws.FILTER('Autonomie 2023 MHDV'!$AR:$AR,('Autonomie 2023 MHDV'!$A:$A=$AT18)*('Autonomie 2023 MHDV'!$B:$B=AU$5)*('Autonomie 2023 MHDV'!$F:$F=$AS18)*('Autonomie 2023 MHDV'!$E:$E="Sleeper")))</f>
        <v>8.7698060946855894E-2</v>
      </c>
      <c r="AV18" s="57" cm="1">
        <f t="array" ref="AV18">1/AVERAGE(_xlfn._xlws.FILTER('Autonomie 2023 MHDV'!$AR:$AR,('Autonomie 2023 MHDV'!$A:$A=$AT18)*('Autonomie 2023 MHDV'!$B:$B=AV$5)*('Autonomie 2023 MHDV'!$F:$F=$AS18)*('Autonomie 2023 MHDV'!$E:$E="Sleeper")))</f>
        <v>9.9869277241621729E-2</v>
      </c>
      <c r="AW18" s="57" cm="1">
        <f t="array" ref="AW18">1/AVERAGE(_xlfn._xlws.FILTER('Autonomie 2023 MHDV'!$AR:$AR,('Autonomie 2023 MHDV'!$A:$A=$AT18)*('Autonomie 2023 MHDV'!$B:$B=AW$5)*('Autonomie 2023 MHDV'!$F:$F=$AS18)*('Autonomie 2023 MHDV'!$E:$E="Sleeper")))</f>
        <v>0.11245013883638062</v>
      </c>
      <c r="AX18" s="57" cm="1">
        <f t="array" ref="AX18">1/AVERAGE(_xlfn._xlws.FILTER('Autonomie 2023 MHDV'!$AR:$AR,('Autonomie 2023 MHDV'!$A:$A=$AT18)*('Autonomie 2023 MHDV'!$B:$B=AX$5)*('Autonomie 2023 MHDV'!$F:$F=$AS18)*('Autonomie 2023 MHDV'!$E:$E="Sleeper")))</f>
        <v>0.12558830245122574</v>
      </c>
      <c r="AY18" s="297">
        <f t="shared" si="7"/>
        <v>0.13253586223875213</v>
      </c>
      <c r="AZ18" s="297">
        <f t="shared" si="7"/>
        <v>0.13948342202627853</v>
      </c>
      <c r="BA18" s="57" cm="1">
        <f t="array" ref="BA18">1/AVERAGE(_xlfn._xlws.FILTER('Autonomie 2023 MHDV'!$AR:$AR,('Autonomie 2023 MHDV'!$A:$A=$AT18)*('Autonomie 2023 MHDV'!$B:$B=BA$5)*('Autonomie 2023 MHDV'!$F:$F=$AS18)*('Autonomie 2023 MHDV'!$E:$E="Sleeper")))</f>
        <v>0.14643098181380493</v>
      </c>
      <c r="BB18" s="81">
        <f t="shared" si="8"/>
        <v>0.66971743996187749</v>
      </c>
      <c r="BE18" s="323" t="s">
        <v>1199</v>
      </c>
      <c r="BF18" s="815">
        <f t="shared" si="10"/>
        <v>1.1406278327599424</v>
      </c>
      <c r="BG18" s="815">
        <f t="shared" si="10"/>
        <v>1.1798210403082603</v>
      </c>
      <c r="BH18" s="815">
        <f t="shared" si="10"/>
        <v>1.2082956283003001</v>
      </c>
      <c r="BI18" s="815">
        <f t="shared" si="10"/>
        <v>1.2494252823054754</v>
      </c>
      <c r="BJ18" s="815">
        <f t="shared" si="10"/>
        <v>1.2652740091591594</v>
      </c>
      <c r="BK18" s="815">
        <f t="shared" si="10"/>
        <v>1.2798918749261647</v>
      </c>
      <c r="BL18" s="322">
        <f t="shared" si="10"/>
        <v>1.29341690844497</v>
      </c>
      <c r="BM18" s="69"/>
      <c r="BN18" s="69"/>
      <c r="BP18" s="69"/>
      <c r="BQ18" s="69"/>
      <c r="BS18" s="69" t="s">
        <v>2985</v>
      </c>
      <c r="BT18" s="57">
        <f>BF$17/'Payload capacity penalty'!C14</f>
        <v>2.2820155763347683</v>
      </c>
      <c r="BU18" s="57">
        <f>BG$17/'Payload capacity penalty'!D14</f>
        <v>2.3044436084670816</v>
      </c>
      <c r="BV18" s="57">
        <f>BH$17/'Payload capacity penalty'!E14</f>
        <v>2.3232288369561074</v>
      </c>
      <c r="BW18" s="57">
        <f>BI$17/'Payload capacity penalty'!F14</f>
        <v>2.4048331199903101</v>
      </c>
      <c r="BX18" s="57">
        <f>BJ$17/'Payload capacity penalty'!G14</f>
        <v>2.4168064740449449</v>
      </c>
      <c r="BY18" s="57">
        <f>BK$17/'Payload capacity penalty'!H14</f>
        <v>2.427849940436114</v>
      </c>
      <c r="BZ18" s="57">
        <f>BL$17/'Payload capacity penalty'!I14</f>
        <v>2.4380677968239808</v>
      </c>
    </row>
    <row r="19" spans="1:89" ht="15.75" thickBot="1" x14ac:dyDescent="0.3">
      <c r="A19" t="s">
        <v>2987</v>
      </c>
      <c r="B19" t="s">
        <v>3021</v>
      </c>
      <c r="C19" t="s">
        <v>3133</v>
      </c>
      <c r="D19" t="s">
        <v>84</v>
      </c>
      <c r="E19" t="s">
        <v>2679</v>
      </c>
      <c r="F19" s="49">
        <v>2023</v>
      </c>
      <c r="G19" s="56"/>
      <c r="H19" s="56"/>
      <c r="I19" s="56"/>
      <c r="J19" s="56"/>
      <c r="K19" s="56"/>
      <c r="L19" s="56"/>
      <c r="M19" s="56"/>
      <c r="N19" s="56"/>
      <c r="O19" s="56"/>
      <c r="P19" s="56"/>
      <c r="Q19" s="56"/>
      <c r="R19" s="56"/>
      <c r="S19" s="56"/>
      <c r="T19" s="56"/>
      <c r="U19" s="56"/>
      <c r="V19" s="56"/>
      <c r="W19" s="56"/>
      <c r="X19" s="56"/>
      <c r="Y19" s="56"/>
      <c r="Z19" s="56"/>
      <c r="AA19" s="56"/>
      <c r="AB19" s="222">
        <f t="shared" si="6"/>
        <v>1.5213342784974793</v>
      </c>
      <c r="AC19" s="222">
        <f t="shared" si="5"/>
        <v>1.5362862071503651</v>
      </c>
      <c r="AD19" s="222">
        <f t="shared" si="5"/>
        <v>1.5488096151087207</v>
      </c>
      <c r="AE19" s="222">
        <f t="shared" si="5"/>
        <v>1.6032121329265616</v>
      </c>
      <c r="AF19" s="222">
        <f t="shared" si="5"/>
        <v>1.6111943194378207</v>
      </c>
      <c r="AG19" s="222">
        <f t="shared" si="5"/>
        <v>1.6185565846863801</v>
      </c>
      <c r="AH19" s="222">
        <f t="shared" si="5"/>
        <v>1.6253684466810265</v>
      </c>
      <c r="AI19" s="287"/>
      <c r="AJ19" s="51" t="s">
        <v>3050</v>
      </c>
      <c r="AP19" s="850"/>
      <c r="AR19" s="871"/>
      <c r="AS19">
        <v>8</v>
      </c>
      <c r="AT19" s="15" t="s">
        <v>828</v>
      </c>
      <c r="AU19" s="57" cm="1">
        <f t="array" ref="AU19">1/AVERAGE(_xlfn._xlws.FILTER('Autonomie 2023 MHDV'!$AR:$AR,('Autonomie 2023 MHDV'!$A:$A=$AT19)*('Autonomie 2023 MHDV'!$B:$B=AU$5)*('Autonomie 2023 MHDV'!$F:$F=$AS19)*('Autonomie 2023 MHDV'!$E:$E="Sleeper")))</f>
        <v>8.5083940109626693E-2</v>
      </c>
      <c r="AV19" s="57" cm="1">
        <f t="array" ref="AV19">1/AVERAGE(_xlfn._xlws.FILTER('Autonomie 2023 MHDV'!$AR:$AR,('Autonomie 2023 MHDV'!$A:$A=$AT19)*('Autonomie 2023 MHDV'!$B:$B=AV$5)*('Autonomie 2023 MHDV'!$F:$F=$AS19)*('Autonomie 2023 MHDV'!$E:$E="Sleeper")))</f>
        <v>9.6666379410601175E-2</v>
      </c>
      <c r="AW19" s="57" cm="1">
        <f t="array" ref="AW19">1/AVERAGE(_xlfn._xlws.FILTER('Autonomie 2023 MHDV'!$AR:$AR,('Autonomie 2023 MHDV'!$A:$A=$AT19)*('Autonomie 2023 MHDV'!$B:$B=AW$5)*('Autonomie 2023 MHDV'!$F:$F=$AS19)*('Autonomie 2023 MHDV'!$E:$E="Sleeper")))</f>
        <v>0.10880513405766434</v>
      </c>
      <c r="AX19" s="57" cm="1">
        <f t="array" ref="AX19">1/AVERAGE(_xlfn._xlws.FILTER('Autonomie 2023 MHDV'!$AR:$AR,('Autonomie 2023 MHDV'!$A:$A=$AT19)*('Autonomie 2023 MHDV'!$B:$B=AX$5)*('Autonomie 2023 MHDV'!$F:$F=$AS19)*('Autonomie 2023 MHDV'!$E:$E="Sleeper")))</f>
        <v>0.12156223486853572</v>
      </c>
      <c r="AY19" s="297">
        <f t="shared" si="7"/>
        <v>0.1283680559431751</v>
      </c>
      <c r="AZ19" s="297">
        <f t="shared" si="7"/>
        <v>0.13517387701781447</v>
      </c>
      <c r="BA19" s="57" cm="1">
        <f t="array" ref="BA19">1/AVERAGE(_xlfn._xlws.FILTER('Autonomie 2023 MHDV'!$AR:$AR,('Autonomie 2023 MHDV'!$A:$A=$AT19)*('Autonomie 2023 MHDV'!$B:$B=BA$5)*('Autonomie 2023 MHDV'!$F:$F=$AS19)*('Autonomie 2023 MHDV'!$E:$E="Sleeper")))</f>
        <v>0.14197969809245387</v>
      </c>
      <c r="BB19" s="81">
        <f t="shared" si="8"/>
        <v>0.66870149536469092</v>
      </c>
      <c r="BE19" s="820" t="s">
        <v>1200</v>
      </c>
      <c r="BF19" s="821">
        <f t="shared" si="10"/>
        <v>1.1066277767387693</v>
      </c>
      <c r="BG19" s="821">
        <f t="shared" si="10"/>
        <v>1.1419831150186512</v>
      </c>
      <c r="BH19" s="821">
        <f t="shared" si="10"/>
        <v>1.1691294397581504</v>
      </c>
      <c r="BI19" s="821">
        <f t="shared" si="10"/>
        <v>1.2093716266074299</v>
      </c>
      <c r="BJ19" s="821">
        <f t="shared" si="10"/>
        <v>1.2254854048378332</v>
      </c>
      <c r="BK19" s="821">
        <f t="shared" si="10"/>
        <v>1.2403477372728555</v>
      </c>
      <c r="BL19" s="822">
        <f t="shared" si="10"/>
        <v>1.2540989611214854</v>
      </c>
      <c r="BM19" s="69"/>
      <c r="BN19" s="69"/>
      <c r="BP19" s="69"/>
      <c r="BQ19" s="69"/>
      <c r="BS19" s="69" t="s">
        <v>2986</v>
      </c>
      <c r="BT19" s="57">
        <f>BF$17/'Payload capacity penalty'!C15</f>
        <v>2.2820155763347683</v>
      </c>
      <c r="BU19" s="57">
        <f>BG$17/'Payload capacity penalty'!D15</f>
        <v>2.3044436084670816</v>
      </c>
      <c r="BV19" s="57">
        <f>BH$17/'Payload capacity penalty'!E15</f>
        <v>2.3232288369561074</v>
      </c>
      <c r="BW19" s="57">
        <f>BI$17/'Payload capacity penalty'!F15</f>
        <v>2.4048331199903101</v>
      </c>
      <c r="BX19" s="57">
        <f>BJ$17/'Payload capacity penalty'!G15</f>
        <v>2.4168064740449449</v>
      </c>
      <c r="BY19" s="57">
        <f>BK$17/'Payload capacity penalty'!H15</f>
        <v>2.427849940436114</v>
      </c>
      <c r="BZ19" s="57">
        <f>BL$17/'Payload capacity penalty'!I15</f>
        <v>2.4380677968239808</v>
      </c>
    </row>
    <row r="20" spans="1:89" x14ac:dyDescent="0.25">
      <c r="A20" t="s">
        <v>2977</v>
      </c>
      <c r="B20" t="s">
        <v>3013</v>
      </c>
      <c r="C20" t="s">
        <v>3133</v>
      </c>
      <c r="D20" t="s">
        <v>84</v>
      </c>
      <c r="E20" t="s">
        <v>2679</v>
      </c>
      <c r="F20" s="49">
        <v>2023</v>
      </c>
      <c r="G20" s="56"/>
      <c r="H20" s="56"/>
      <c r="I20" s="56"/>
      <c r="J20" s="56"/>
      <c r="K20" s="56"/>
      <c r="L20" s="56"/>
      <c r="M20" s="56"/>
      <c r="N20" s="56"/>
      <c r="O20" s="56"/>
      <c r="P20" s="56"/>
      <c r="Q20" s="56"/>
      <c r="R20" s="56"/>
      <c r="S20" s="56"/>
      <c r="T20" s="56"/>
      <c r="U20" s="56"/>
      <c r="V20" s="56"/>
      <c r="W20" s="56"/>
      <c r="X20" s="56"/>
      <c r="Y20" s="56"/>
      <c r="Z20" s="56"/>
      <c r="AA20" s="56"/>
      <c r="AB20" s="222">
        <f t="shared" si="6"/>
        <v>0.76041383721538103</v>
      </c>
      <c r="AC20" s="222">
        <f t="shared" si="5"/>
        <v>0.78654248013344985</v>
      </c>
      <c r="AD20" s="222">
        <f t="shared" si="5"/>
        <v>0.80552542101589553</v>
      </c>
      <c r="AE20" s="222">
        <f t="shared" si="5"/>
        <v>0.83294502022884809</v>
      </c>
      <c r="AF20" s="222">
        <f t="shared" si="5"/>
        <v>0.84351077257650686</v>
      </c>
      <c r="AG20" s="222">
        <f t="shared" si="5"/>
        <v>0.85325595595756787</v>
      </c>
      <c r="AH20" s="222">
        <f t="shared" si="5"/>
        <v>0.86227258902675752</v>
      </c>
      <c r="AI20" s="290"/>
      <c r="AJ20" s="51" t="s">
        <v>3052</v>
      </c>
      <c r="AK20" s="315">
        <v>3</v>
      </c>
      <c r="AL20" s="315">
        <v>1</v>
      </c>
      <c r="AM20" s="315">
        <v>1</v>
      </c>
      <c r="AN20" s="315">
        <v>3</v>
      </c>
      <c r="AO20" s="315">
        <v>1</v>
      </c>
      <c r="AP20" s="850"/>
      <c r="AR20" s="871"/>
      <c r="AT20" s="876" t="s">
        <v>2656</v>
      </c>
      <c r="AU20" s="876"/>
      <c r="AV20" s="876"/>
      <c r="AW20" s="876"/>
      <c r="AX20" s="876"/>
      <c r="AY20" s="876"/>
      <c r="AZ20" s="876"/>
      <c r="BA20" s="876"/>
      <c r="BB20" s="876"/>
      <c r="BM20" s="69"/>
      <c r="BN20" s="69"/>
      <c r="BP20" s="69"/>
      <c r="BQ20" s="69"/>
      <c r="BS20" s="69" t="s">
        <v>2987</v>
      </c>
      <c r="BT20" s="57">
        <f>BF$17/'Payload capacity penalty'!C16</f>
        <v>2.2820155763347683</v>
      </c>
      <c r="BU20" s="57">
        <f>BG$17/'Payload capacity penalty'!D16</f>
        <v>2.3044436084670816</v>
      </c>
      <c r="BV20" s="57">
        <f>BH$17/'Payload capacity penalty'!E16</f>
        <v>2.3232288369561074</v>
      </c>
      <c r="BW20" s="57">
        <f>BI$17/'Payload capacity penalty'!F16</f>
        <v>2.4048331199903101</v>
      </c>
      <c r="BX20" s="57">
        <f>BJ$17/'Payload capacity penalty'!G16</f>
        <v>2.4168064740449449</v>
      </c>
      <c r="BY20" s="57">
        <f>BK$17/'Payload capacity penalty'!H16</f>
        <v>2.427849940436114</v>
      </c>
      <c r="BZ20" s="57">
        <f>BL$17/'Payload capacity penalty'!I16</f>
        <v>2.4380677968239808</v>
      </c>
    </row>
    <row r="21" spans="1:89" x14ac:dyDescent="0.25">
      <c r="A21" t="s">
        <v>3053</v>
      </c>
      <c r="B21" t="s">
        <v>1228</v>
      </c>
      <c r="C21" t="s">
        <v>1227</v>
      </c>
      <c r="D21" t="s">
        <v>84</v>
      </c>
      <c r="E21" t="s">
        <v>148</v>
      </c>
      <c r="F21" s="49">
        <v>2023</v>
      </c>
      <c r="L21" s="56">
        <f>L$11</f>
        <v>0.60223669413278536</v>
      </c>
      <c r="Q21" s="56">
        <f>Q$11</f>
        <v>0.55452089172071861</v>
      </c>
      <c r="V21" s="56">
        <f>V$11</f>
        <v>0.70119500167018745</v>
      </c>
      <c r="AA21" s="56">
        <f>AA$11</f>
        <v>0.66666253038506951</v>
      </c>
      <c r="AJ21" s="51" t="s">
        <v>3093</v>
      </c>
      <c r="AK21" s="315">
        <v>2</v>
      </c>
      <c r="AL21" s="315">
        <v>1</v>
      </c>
      <c r="AM21" s="315">
        <v>1</v>
      </c>
      <c r="AN21" s="315">
        <v>1</v>
      </c>
      <c r="AO21" s="315">
        <v>1</v>
      </c>
      <c r="AP21" s="850"/>
      <c r="AR21" s="871"/>
      <c r="AT21" s="876"/>
      <c r="AU21" s="876"/>
      <c r="AV21" s="876"/>
      <c r="AW21" s="876"/>
      <c r="AX21" s="876"/>
      <c r="AY21" s="876"/>
      <c r="AZ21" s="876"/>
      <c r="BA21" s="876"/>
      <c r="BB21" s="876"/>
      <c r="BE21" s="58" t="s">
        <v>1201</v>
      </c>
      <c r="BM21" s="69"/>
      <c r="BN21" s="69"/>
      <c r="BP21" s="69"/>
      <c r="BQ21" s="69"/>
      <c r="BS21" s="69" t="s">
        <v>2977</v>
      </c>
      <c r="BT21" s="57">
        <f>BF18/'Payload capacity penalty'!C17</f>
        <v>1.1406278327599424</v>
      </c>
      <c r="BU21" s="57">
        <f>BG18/'Payload capacity penalty'!D17</f>
        <v>1.1798210403082603</v>
      </c>
      <c r="BV21" s="57">
        <f>BH18/'Payload capacity penalty'!E17</f>
        <v>1.2082956283003001</v>
      </c>
      <c r="BW21" s="57">
        <f>BI18/'Payload capacity penalty'!F17</f>
        <v>1.2494252823054754</v>
      </c>
      <c r="BX21" s="57">
        <f>BJ18/'Payload capacity penalty'!G17</f>
        <v>1.2652740091591594</v>
      </c>
      <c r="BY21" s="57">
        <f>BK18/'Payload capacity penalty'!H17</f>
        <v>1.2798918749261647</v>
      </c>
      <c r="BZ21" s="57">
        <f>BL18/'Payload capacity penalty'!I17</f>
        <v>1.29341690844497</v>
      </c>
    </row>
    <row r="22" spans="1:89" x14ac:dyDescent="0.25">
      <c r="A22" t="s">
        <v>3068</v>
      </c>
      <c r="B22" t="s">
        <v>1228</v>
      </c>
      <c r="C22" t="s">
        <v>1227</v>
      </c>
      <c r="D22" t="s">
        <v>84</v>
      </c>
      <c r="E22" t="s">
        <v>2679</v>
      </c>
      <c r="F22" s="49">
        <v>2023</v>
      </c>
      <c r="AB22" s="222">
        <f t="shared" ref="AB22:AH27" si="11">$AA$21*BF7</f>
        <v>0.66666253038506951</v>
      </c>
      <c r="AC22" s="222">
        <f t="shared" si="11"/>
        <v>0.7288738552474725</v>
      </c>
      <c r="AD22" s="222">
        <f t="shared" si="11"/>
        <v>0.78834197818342733</v>
      </c>
      <c r="AE22" s="222">
        <f t="shared" si="11"/>
        <v>0.84485860370195187</v>
      </c>
      <c r="AF22" s="222">
        <f t="shared" si="11"/>
        <v>0.86712265552412882</v>
      </c>
      <c r="AG22" s="222">
        <f t="shared" si="11"/>
        <v>0.88938670734630576</v>
      </c>
      <c r="AH22" s="222">
        <f t="shared" si="11"/>
        <v>0.91165075916848304</v>
      </c>
      <c r="AJ22" s="51" t="s">
        <v>3094</v>
      </c>
      <c r="AK22" s="315">
        <v>3</v>
      </c>
      <c r="AL22" s="315">
        <v>1</v>
      </c>
      <c r="AM22" s="315">
        <v>1</v>
      </c>
      <c r="AN22" s="315">
        <v>3</v>
      </c>
      <c r="AO22" s="315">
        <v>1</v>
      </c>
      <c r="AP22" s="850"/>
      <c r="AR22" s="871"/>
      <c r="AT22" s="876"/>
      <c r="AU22" s="876"/>
      <c r="AV22" s="876"/>
      <c r="AW22" s="876"/>
      <c r="AX22" s="876"/>
      <c r="AY22" s="876"/>
      <c r="AZ22" s="876"/>
      <c r="BA22" s="876"/>
      <c r="BB22" s="876"/>
      <c r="BC22" s="76"/>
      <c r="BE22" s="15"/>
      <c r="BF22" s="57"/>
      <c r="BG22" s="57"/>
      <c r="BH22" s="57"/>
      <c r="BI22" s="57"/>
      <c r="BJ22" s="57"/>
      <c r="BK22" s="57"/>
      <c r="BL22" s="57"/>
      <c r="BM22" s="69"/>
      <c r="BN22" s="69"/>
      <c r="BO22" s="69"/>
      <c r="BP22" s="69"/>
      <c r="BQ22" s="69"/>
    </row>
    <row r="23" spans="1:89" ht="14.45" customHeight="1" x14ac:dyDescent="0.25">
      <c r="A23" t="s">
        <v>3069</v>
      </c>
      <c r="B23" t="s">
        <v>1228</v>
      </c>
      <c r="C23" t="s">
        <v>1227</v>
      </c>
      <c r="D23" t="s">
        <v>84</v>
      </c>
      <c r="E23" t="s">
        <v>2679</v>
      </c>
      <c r="F23" s="49">
        <v>2023</v>
      </c>
      <c r="AB23" s="222">
        <f t="shared" si="11"/>
        <v>0.70105753038810759</v>
      </c>
      <c r="AC23" s="222">
        <f t="shared" si="11"/>
        <v>0.71327192662224137</v>
      </c>
      <c r="AD23" s="222">
        <f t="shared" si="11"/>
        <v>0.72156959782141172</v>
      </c>
      <c r="AE23" s="222">
        <f t="shared" si="11"/>
        <v>0.73414111589257036</v>
      </c>
      <c r="AF23" s="222">
        <f t="shared" si="11"/>
        <v>0.73996090576030649</v>
      </c>
      <c r="AG23" s="222">
        <f t="shared" si="11"/>
        <v>0.74548932157862369</v>
      </c>
      <c r="AH23" s="222">
        <f t="shared" si="11"/>
        <v>0.750747710887259</v>
      </c>
      <c r="AJ23" s="51" t="s">
        <v>3094</v>
      </c>
      <c r="AK23" s="315">
        <v>3</v>
      </c>
      <c r="AL23" s="315">
        <v>1</v>
      </c>
      <c r="AM23" s="315">
        <v>1</v>
      </c>
      <c r="AN23" s="315">
        <v>3</v>
      </c>
      <c r="AO23" s="315">
        <v>1</v>
      </c>
      <c r="AP23" s="850"/>
      <c r="AR23" s="871"/>
      <c r="BE23" s="15"/>
      <c r="BF23" s="57"/>
      <c r="BG23" s="57"/>
      <c r="BH23" s="57"/>
      <c r="BI23" s="57"/>
      <c r="BJ23" s="57"/>
      <c r="BK23" s="57"/>
      <c r="BL23" s="57"/>
      <c r="BM23" s="69"/>
      <c r="BN23" s="69"/>
      <c r="BO23" s="69"/>
      <c r="BP23" s="69"/>
      <c r="BQ23" s="69"/>
    </row>
    <row r="24" spans="1:89" ht="14.45" customHeight="1" x14ac:dyDescent="0.25">
      <c r="A24" t="s">
        <v>3070</v>
      </c>
      <c r="B24" t="s">
        <v>3088</v>
      </c>
      <c r="C24" t="s">
        <v>1227</v>
      </c>
      <c r="D24" t="s">
        <v>84</v>
      </c>
      <c r="E24" t="s">
        <v>2679</v>
      </c>
      <c r="F24" s="49">
        <v>2023</v>
      </c>
      <c r="AB24" s="222">
        <f t="shared" si="11"/>
        <v>1.1728350337038158</v>
      </c>
      <c r="AC24" s="222">
        <f t="shared" si="11"/>
        <v>1.1881881491153068</v>
      </c>
      <c r="AD24" s="222">
        <f t="shared" si="11"/>
        <v>1.2024507374506372</v>
      </c>
      <c r="AE24" s="222">
        <f t="shared" si="11"/>
        <v>1.2383721007026935</v>
      </c>
      <c r="AF24" s="222">
        <f t="shared" si="11"/>
        <v>1.255987727151435</v>
      </c>
      <c r="AG24" s="222">
        <f t="shared" si="11"/>
        <v>1.2727214082846119</v>
      </c>
      <c r="AH24" s="222">
        <f t="shared" si="11"/>
        <v>1.2886377598863246</v>
      </c>
      <c r="AJ24" s="51" t="s">
        <v>3094</v>
      </c>
      <c r="AK24" s="315">
        <v>3</v>
      </c>
      <c r="AL24" s="315">
        <v>1</v>
      </c>
      <c r="AM24" s="315">
        <v>1</v>
      </c>
      <c r="AN24" s="315">
        <v>3</v>
      </c>
      <c r="AO24" s="315">
        <v>1</v>
      </c>
      <c r="AP24" s="850"/>
      <c r="AR24" s="871"/>
      <c r="BI24" s="58"/>
    </row>
    <row r="25" spans="1:89" ht="14.45" customHeight="1" thickBot="1" x14ac:dyDescent="0.3">
      <c r="A25" t="s">
        <v>3071</v>
      </c>
      <c r="B25" t="s">
        <v>3089</v>
      </c>
      <c r="C25" t="s">
        <v>1227</v>
      </c>
      <c r="D25" t="s">
        <v>84</v>
      </c>
      <c r="E25" t="s">
        <v>2679</v>
      </c>
      <c r="F25" s="49">
        <v>2023</v>
      </c>
      <c r="AB25" s="222">
        <f t="shared" si="11"/>
        <v>1.7351458465778913</v>
      </c>
      <c r="AC25" s="222">
        <f t="shared" si="11"/>
        <v>1.7513380049187706</v>
      </c>
      <c r="AD25" s="222">
        <f t="shared" si="11"/>
        <v>1.7783807648768379</v>
      </c>
      <c r="AE25" s="222">
        <f t="shared" si="11"/>
        <v>1.8389734880834736</v>
      </c>
      <c r="AF25" s="222">
        <f t="shared" si="11"/>
        <v>1.8687206095394129</v>
      </c>
      <c r="AG25" s="222">
        <f t="shared" si="11"/>
        <v>1.8969784093129272</v>
      </c>
      <c r="AH25" s="222">
        <f t="shared" si="11"/>
        <v>1.9238560026593399</v>
      </c>
      <c r="AJ25" s="51" t="s">
        <v>3094</v>
      </c>
      <c r="AK25" s="315">
        <v>3</v>
      </c>
      <c r="AL25" s="315">
        <v>1</v>
      </c>
      <c r="AM25" s="315">
        <v>1</v>
      </c>
      <c r="AN25" s="315">
        <v>3</v>
      </c>
      <c r="AO25" s="315">
        <v>1</v>
      </c>
      <c r="AP25" s="850"/>
      <c r="AR25" s="871"/>
      <c r="AS25" s="154" t="s">
        <v>1181</v>
      </c>
      <c r="AT25" s="154"/>
      <c r="AU25" s="154"/>
      <c r="AV25" s="154"/>
      <c r="AW25" s="154"/>
      <c r="AX25" s="154"/>
      <c r="AY25" s="154"/>
      <c r="AZ25" s="154"/>
      <c r="BA25" s="154"/>
      <c r="BB25" s="154"/>
      <c r="BC25" s="154"/>
      <c r="BD25" s="154"/>
      <c r="BE25" s="154"/>
      <c r="BF25" s="154"/>
      <c r="BG25" s="154"/>
      <c r="BH25" s="154"/>
      <c r="BI25" s="154"/>
      <c r="BJ25" s="154"/>
      <c r="BK25" s="154"/>
      <c r="BL25" s="154"/>
      <c r="BM25" s="154"/>
      <c r="BN25" s="154"/>
      <c r="BO25" s="154"/>
      <c r="BP25" s="154"/>
      <c r="BQ25" s="154"/>
    </row>
    <row r="26" spans="1:89" ht="15.75" thickBot="1" x14ac:dyDescent="0.3">
      <c r="A26" t="s">
        <v>3072</v>
      </c>
      <c r="B26" t="s">
        <v>3090</v>
      </c>
      <c r="C26" t="s">
        <v>1227</v>
      </c>
      <c r="D26" t="s">
        <v>84</v>
      </c>
      <c r="E26" t="s">
        <v>2679</v>
      </c>
      <c r="F26" s="49">
        <v>2023</v>
      </c>
      <c r="AB26" s="222">
        <f t="shared" si="11"/>
        <v>0.8170799454792429</v>
      </c>
      <c r="AC26" s="222">
        <f t="shared" si="11"/>
        <v>0.84908465000654831</v>
      </c>
      <c r="AD26" s="222">
        <f t="shared" si="11"/>
        <v>0.88141580058593116</v>
      </c>
      <c r="AE26" s="222">
        <f t="shared" si="11"/>
        <v>0.9163672043835891</v>
      </c>
      <c r="AF26" s="222">
        <f t="shared" si="11"/>
        <v>0.94141745055970738</v>
      </c>
      <c r="AG26" s="222">
        <f t="shared" si="11"/>
        <v>0.96521352917425407</v>
      </c>
      <c r="AH26" s="222">
        <f t="shared" si="11"/>
        <v>0.98784732689974153</v>
      </c>
      <c r="AJ26" s="51" t="s">
        <v>3094</v>
      </c>
      <c r="AK26" s="315">
        <v>3</v>
      </c>
      <c r="AL26" s="315">
        <v>1</v>
      </c>
      <c r="AM26" s="315">
        <v>1</v>
      </c>
      <c r="AN26" s="315">
        <v>3</v>
      </c>
      <c r="AO26" s="315">
        <v>1</v>
      </c>
      <c r="AP26" s="850"/>
      <c r="AR26" s="871"/>
      <c r="AS26" s="10" t="s">
        <v>241</v>
      </c>
      <c r="AT26" s="10">
        <v>2000</v>
      </c>
      <c r="AU26" s="10">
        <v>2001</v>
      </c>
      <c r="AV26" s="10">
        <v>2002</v>
      </c>
      <c r="AW26" s="10">
        <v>2003</v>
      </c>
      <c r="AX26" s="10">
        <v>2004</v>
      </c>
      <c r="AY26" s="10">
        <v>2005</v>
      </c>
      <c r="AZ26" s="10">
        <v>2006</v>
      </c>
      <c r="BA26" s="10">
        <v>2007</v>
      </c>
      <c r="BB26" s="10">
        <v>2008</v>
      </c>
      <c r="BC26" s="10">
        <v>2009</v>
      </c>
      <c r="BD26" s="10">
        <v>2010</v>
      </c>
      <c r="BE26" s="10">
        <v>2011</v>
      </c>
      <c r="BF26" s="10">
        <v>2012</v>
      </c>
      <c r="BG26" s="10">
        <v>2013</v>
      </c>
      <c r="BH26" s="10">
        <v>2014</v>
      </c>
      <c r="BI26" s="10">
        <v>2015</v>
      </c>
      <c r="BJ26" s="10">
        <v>2016</v>
      </c>
      <c r="BK26" s="10">
        <v>2017</v>
      </c>
      <c r="BL26" s="10">
        <v>2018</v>
      </c>
      <c r="BM26" s="10">
        <v>2019</v>
      </c>
      <c r="BN26" s="10">
        <v>2020</v>
      </c>
      <c r="BO26" s="150" t="s">
        <v>538</v>
      </c>
      <c r="CD26" s="15"/>
      <c r="CE26" s="57"/>
      <c r="CF26" s="57"/>
      <c r="CG26" s="57"/>
      <c r="CH26" s="57"/>
      <c r="CI26" s="57"/>
      <c r="CJ26" s="57"/>
      <c r="CK26" s="57"/>
    </row>
    <row r="27" spans="1:89" ht="14.45" customHeight="1" thickTop="1" x14ac:dyDescent="0.25">
      <c r="A27" t="s">
        <v>3073</v>
      </c>
      <c r="B27" t="s">
        <v>3090</v>
      </c>
      <c r="C27" t="s">
        <v>1227</v>
      </c>
      <c r="D27" t="s">
        <v>84</v>
      </c>
      <c r="E27" t="s">
        <v>2679</v>
      </c>
      <c r="F27" s="49">
        <v>2023</v>
      </c>
      <c r="AB27" s="222">
        <f t="shared" si="11"/>
        <v>0.79415682705899593</v>
      </c>
      <c r="AC27" s="222">
        <f t="shared" si="11"/>
        <v>0.8223493197736238</v>
      </c>
      <c r="AD27" s="222">
        <f t="shared" si="11"/>
        <v>0.85275353001907739</v>
      </c>
      <c r="AE27" s="222">
        <f t="shared" si="11"/>
        <v>0.90840403620250199</v>
      </c>
      <c r="AF27" s="222">
        <f t="shared" si="11"/>
        <v>0.93437596548645796</v>
      </c>
      <c r="AG27" s="222">
        <f t="shared" si="11"/>
        <v>0.9590475821511143</v>
      </c>
      <c r="AH27" s="222">
        <f t="shared" si="11"/>
        <v>0.98251415368980588</v>
      </c>
      <c r="AJ27" s="51" t="s">
        <v>3094</v>
      </c>
      <c r="AK27" s="315">
        <v>3</v>
      </c>
      <c r="AL27" s="315">
        <v>1</v>
      </c>
      <c r="AM27" s="315">
        <v>1</v>
      </c>
      <c r="AN27" s="315">
        <v>3</v>
      </c>
      <c r="AO27" s="315">
        <v>1</v>
      </c>
      <c r="AP27" s="850"/>
      <c r="AR27" s="871"/>
      <c r="AS27" t="s">
        <v>456</v>
      </c>
      <c r="AT27" s="76"/>
      <c r="AU27" s="76"/>
      <c r="AV27" s="76"/>
      <c r="AW27" s="76"/>
      <c r="AX27" s="76"/>
      <c r="AY27" s="76"/>
      <c r="AZ27" s="76"/>
      <c r="BA27" s="76"/>
      <c r="BB27" s="76">
        <f>'Background Data'!K22/('Background Data'!K32*'Background Data'!K11) * 1000</f>
        <v>1.5836000522308142</v>
      </c>
      <c r="BC27" s="76">
        <f>'Background Data'!L22/('Background Data'!L32*'Background Data'!L11) * 1000</f>
        <v>1.5837999314982736</v>
      </c>
      <c r="BD27" s="76">
        <f>'Background Data'!M22/('Background Data'!M32*'Background Data'!M11) * 1000</f>
        <v>1.584000036714269</v>
      </c>
      <c r="BE27" s="76">
        <f>'Background Data'!N22/('Background Data'!N32*'Background Data'!N11) * 1000</f>
        <v>1.5842000146804536</v>
      </c>
      <c r="BF27" s="76">
        <f>'Background Data'!O22/('Background Data'!O32*'Background Data'!O11) * 1000</f>
        <v>1.5843999587350435</v>
      </c>
      <c r="BG27" s="76">
        <f>'Background Data'!P22/('Background Data'!P32*'Background Data'!P11) * 1000</f>
        <v>1.5846000562406244</v>
      </c>
      <c r="BH27" s="76">
        <f>'Background Data'!Q22/('Background Data'!Q32*'Background Data'!Q11) * 1000</f>
        <v>1.5847999882276977</v>
      </c>
      <c r="BI27" s="76">
        <f>'Background Data'!R22/('Background Data'!R32*'Background Data'!R11) * 1000</f>
        <v>1.5850000817339915</v>
      </c>
      <c r="BJ27" s="76">
        <f>'Background Data'!S22/('Background Data'!S32*'Background Data'!S11) * 1000</f>
        <v>1.5851999601177929</v>
      </c>
      <c r="BK27" s="76">
        <f>'Background Data'!T22/('Background Data'!T32*'Background Data'!T11) * 1000</f>
        <v>1.5853999544691495</v>
      </c>
      <c r="BL27" s="76">
        <f>'Background Data'!U22/('Background Data'!U32*'Background Data'!U11) * 1000</f>
        <v>1.5855999723359324</v>
      </c>
      <c r="BM27" s="76">
        <f>'Background Data'!V22/('Background Data'!V32*'Background Data'!V11) * 1000</f>
        <v>1.5857999645521843</v>
      </c>
      <c r="BN27" s="76">
        <f>'Background Data'!W22/('Background Data'!W32*'Background Data'!W11) * 1000</f>
        <v>1.5860000245801251</v>
      </c>
      <c r="BO27" s="340">
        <f t="shared" ref="BO27:BO35" si="12">AVERAGE(BI27:BM27)</f>
        <v>1.5853999866418103</v>
      </c>
      <c r="CD27" s="15"/>
      <c r="CE27" s="57"/>
      <c r="CF27" s="57"/>
      <c r="CG27" s="57"/>
      <c r="CH27" s="57"/>
      <c r="CI27" s="57"/>
      <c r="CJ27" s="57"/>
      <c r="CK27" s="57"/>
    </row>
    <row r="28" spans="1:89" x14ac:dyDescent="0.25">
      <c r="A28" t="s">
        <v>3132</v>
      </c>
      <c r="B28" t="s">
        <v>3133</v>
      </c>
      <c r="C28" t="s">
        <v>3011</v>
      </c>
      <c r="D28" t="s">
        <v>84</v>
      </c>
      <c r="AB28" s="68">
        <v>1</v>
      </c>
      <c r="AC28">
        <v>1</v>
      </c>
      <c r="AD28">
        <v>1</v>
      </c>
      <c r="AE28">
        <v>1</v>
      </c>
      <c r="AF28">
        <v>1</v>
      </c>
      <c r="AG28">
        <v>1</v>
      </c>
      <c r="AH28">
        <v>1</v>
      </c>
      <c r="AJ28" s="51" t="s">
        <v>3135</v>
      </c>
      <c r="AP28" s="850"/>
      <c r="AR28" s="871"/>
      <c r="AS28" t="s">
        <v>499</v>
      </c>
      <c r="AT28" s="76"/>
      <c r="AU28" s="76"/>
      <c r="AV28" s="76"/>
      <c r="AW28" s="76"/>
      <c r="AX28" s="76"/>
      <c r="AY28" s="76"/>
      <c r="AZ28" s="76">
        <f>'Background Data'!I23/('Background Data'!I33*'Background Data'!I12) * 1000</f>
        <v>1.7071003203777437</v>
      </c>
      <c r="BA28" s="76">
        <f>'Background Data'!J23/('Background Data'!J33*'Background Data'!J12) * 1000</f>
        <v>1.7075003408861569</v>
      </c>
      <c r="BB28" s="76">
        <f>'Background Data'!K23/('Background Data'!K33*'Background Data'!K12) * 1000</f>
        <v>1.707899756153874</v>
      </c>
      <c r="BC28" s="76">
        <f>'Background Data'!L23/('Background Data'!L33*'Background Data'!L12) * 1000</f>
        <v>1.7082996871188962</v>
      </c>
      <c r="BD28" s="76">
        <f>'Background Data'!M23/('Background Data'!M33*'Background Data'!M12) * 1000</f>
        <v>1.7087002685891814</v>
      </c>
      <c r="BE28" s="76">
        <f>'Background Data'!N23/('Background Data'!N33*'Background Data'!N12) * 1000</f>
        <v>1.7091001499618557</v>
      </c>
      <c r="BF28" s="76">
        <f>'Background Data'!O23/('Background Data'!O33*'Background Data'!O12) * 1000</f>
        <v>1.709500184267591</v>
      </c>
      <c r="BG28" s="76">
        <f>'Background Data'!P23/('Background Data'!P33*'Background Data'!P12) * 1000</f>
        <v>1.7099001917916696</v>
      </c>
      <c r="BH28" s="76">
        <f>'Background Data'!Q23/('Background Data'!Q33*'Background Data'!Q12) * 1000</f>
        <v>1.7102999132734054</v>
      </c>
      <c r="BI28" s="76">
        <f>'Background Data'!R23/('Background Data'!R33*'Background Data'!R12) * 1000</f>
        <v>1.7107002366532729</v>
      </c>
      <c r="BJ28" s="76">
        <f>'Background Data'!S23/('Background Data'!S33*'Background Data'!S12) * 1000</f>
        <v>1.7110998957237806</v>
      </c>
      <c r="BK28" s="76">
        <f>'Background Data'!T23/('Background Data'!T33*'Background Data'!T12) * 1000</f>
        <v>1.7114998115758522</v>
      </c>
      <c r="BL28" s="76">
        <f>'Background Data'!U23/('Background Data'!U33*'Background Data'!U12) * 1000</f>
        <v>1.7118999508703476</v>
      </c>
      <c r="BM28" s="76">
        <f>'Background Data'!V23/('Background Data'!V33*'Background Data'!V12) * 1000</f>
        <v>1.7122999648244712</v>
      </c>
      <c r="BN28" s="76">
        <f>'Background Data'!W23/('Background Data'!W33*'Background Data'!W12) * 1000</f>
        <v>1.7126998808993179</v>
      </c>
      <c r="BO28" s="340">
        <f t="shared" si="12"/>
        <v>1.7114999719295452</v>
      </c>
      <c r="CD28" s="15"/>
      <c r="CE28" s="57"/>
      <c r="CF28" s="57"/>
      <c r="CG28" s="57"/>
      <c r="CH28" s="57"/>
      <c r="CI28" s="57"/>
      <c r="CJ28" s="57"/>
      <c r="CK28" s="57"/>
    </row>
    <row r="29" spans="1:89" x14ac:dyDescent="0.25">
      <c r="AP29" s="850"/>
      <c r="AR29" s="871"/>
      <c r="AS29" t="s">
        <v>500</v>
      </c>
      <c r="AT29" s="76"/>
      <c r="AU29" s="76"/>
      <c r="AV29" s="76"/>
      <c r="AW29" s="76"/>
      <c r="AX29" s="76"/>
      <c r="AY29" s="76"/>
      <c r="AZ29" s="76">
        <f>'Background Data'!I24/('Background Data'!I34*'Background Data'!I13) * 1000</f>
        <v>0.55333296003817156</v>
      </c>
      <c r="BA29" s="76">
        <f>'Background Data'!J24/('Background Data'!J34*'Background Data'!J13) * 1000</f>
        <v>0.55666626735401825</v>
      </c>
      <c r="BB29" s="76">
        <f>'Background Data'!K24/('Background Data'!K34*'Background Data'!K13) * 1000</f>
        <v>0.55666695239896569</v>
      </c>
      <c r="BC29" s="76">
        <f>'Background Data'!L24/('Background Data'!L34*'Background Data'!L13) * 1000</f>
        <v>0.55666703268548401</v>
      </c>
      <c r="BD29" s="76">
        <f>'Background Data'!M24/('Background Data'!M34*'Background Data'!M13) * 1000</f>
        <v>0.5566663527048672</v>
      </c>
      <c r="BE29" s="76">
        <f>'Background Data'!N24/('Background Data'!N34*'Background Data'!N13) * 1000</f>
        <v>0.55666649130525947</v>
      </c>
      <c r="BF29" s="76">
        <f>'Background Data'!O24/('Background Data'!O34*'Background Data'!O13) * 1000</f>
        <v>0.55666645131554504</v>
      </c>
      <c r="BG29" s="76">
        <f>'Background Data'!P24/('Background Data'!P34*'Background Data'!P13) * 1000</f>
        <v>0.55666644296410139</v>
      </c>
      <c r="BH29" s="76">
        <f>'Background Data'!Q24/('Background Data'!Q34*'Background Data'!Q13) * 1000</f>
        <v>0.55666676763901313</v>
      </c>
      <c r="BI29" s="76">
        <f>'Background Data'!R24/('Background Data'!R34*'Background Data'!R13) * 1000</f>
        <v>0.55666639119893668</v>
      </c>
      <c r="BJ29" s="76">
        <f>'Background Data'!S24/('Background Data'!S34*'Background Data'!S13) * 1000</f>
        <v>0.55666678829988148</v>
      </c>
      <c r="BK29" s="76">
        <f>'Background Data'!T24/('Background Data'!T34*'Background Data'!T13) * 1000</f>
        <v>0.55666688641591822</v>
      </c>
      <c r="BL29" s="76">
        <f>'Background Data'!U24/('Background Data'!U34*'Background Data'!U13) * 1000</f>
        <v>0.55666672397548922</v>
      </c>
      <c r="BM29" s="76">
        <f>'Background Data'!V24/('Background Data'!V34*'Background Data'!V13) * 1000</f>
        <v>0.55666670774313209</v>
      </c>
      <c r="BN29" s="76">
        <f>'Background Data'!W24/('Background Data'!W34*'Background Data'!W13) * 1000</f>
        <v>0.55666680589995166</v>
      </c>
      <c r="BO29" s="340">
        <f t="shared" si="12"/>
        <v>0.55666669952667147</v>
      </c>
      <c r="BT29" s="57"/>
      <c r="BU29" s="57"/>
      <c r="BV29" s="57"/>
      <c r="BW29" s="57"/>
      <c r="BX29" s="819"/>
      <c r="BY29" s="819"/>
      <c r="BZ29" s="57"/>
      <c r="CA29" s="109"/>
      <c r="CD29" s="15"/>
    </row>
    <row r="30" spans="1:89" x14ac:dyDescent="0.25">
      <c r="AP30" s="850"/>
      <c r="AR30" s="871"/>
      <c r="AS30" t="s">
        <v>502</v>
      </c>
      <c r="AT30" s="76"/>
      <c r="AU30" s="76"/>
      <c r="AV30" s="76"/>
      <c r="AW30" s="76"/>
      <c r="AX30" s="76"/>
      <c r="AY30" s="76"/>
      <c r="AZ30" s="76">
        <f>'Background Data'!I25/('Background Data'!I35*'Background Data'!I14) * 1000</f>
        <v>1.2550021316987288</v>
      </c>
      <c r="BA30" s="76">
        <f>'Background Data'!J25/('Background Data'!J35*'Background Data'!J14) * 1000</f>
        <v>1.2600009932902558</v>
      </c>
      <c r="BB30" s="76">
        <f>'Background Data'!K25/('Background Data'!K35*'Background Data'!K14) * 1000</f>
        <v>1.2600018120563565</v>
      </c>
      <c r="BC30" s="76">
        <f>'Background Data'!L25/('Background Data'!L35*'Background Data'!L14) * 1000</f>
        <v>1.2600004365167292</v>
      </c>
      <c r="BD30" s="76">
        <f>'Background Data'!M25/('Background Data'!M35*'Background Data'!M14) * 1000</f>
        <v>1.2599999962437669</v>
      </c>
      <c r="BE30" s="76">
        <f>'Background Data'!N25/('Background Data'!N35*'Background Data'!N14) * 1000</f>
        <v>1.2599999982442842</v>
      </c>
      <c r="BF30" s="76">
        <f>'Background Data'!O25/('Background Data'!O35*'Background Data'!O14) * 1000</f>
        <v>1.2599999991567485</v>
      </c>
      <c r="BG30" s="76">
        <f>'Background Data'!P25/('Background Data'!P35*'Background Data'!P14) * 1000</f>
        <v>1.260000001240468</v>
      </c>
      <c r="BH30" s="76">
        <f>'Background Data'!Q25/('Background Data'!Q35*'Background Data'!Q14) * 1000</f>
        <v>1.2599999985913428</v>
      </c>
      <c r="BI30" s="76">
        <f>'Background Data'!R25/('Background Data'!R35*'Background Data'!R14) * 1000</f>
        <v>1.260000002290433</v>
      </c>
      <c r="BJ30" s="76">
        <f>'Background Data'!S25/('Background Data'!S35*'Background Data'!S14) * 1000</f>
        <v>1.2599999995630196</v>
      </c>
      <c r="BK30" s="76">
        <f>'Background Data'!T25/('Background Data'!T35*'Background Data'!T14) * 1000</f>
        <v>1.2599999996712181</v>
      </c>
      <c r="BL30" s="76">
        <f>'Background Data'!U25/('Background Data'!U35*'Background Data'!U14) * 1000</f>
        <v>1.2600000022580096</v>
      </c>
      <c r="BM30" s="76">
        <f>'Background Data'!V25/('Background Data'!V35*'Background Data'!V14) * 1000</f>
        <v>1.2599999984328987</v>
      </c>
      <c r="BN30" s="76">
        <f>'Background Data'!W25/('Background Data'!W35*'Background Data'!W14) * 1000</f>
        <v>1.260000004661858</v>
      </c>
      <c r="BO30" s="340">
        <f t="shared" si="12"/>
        <v>1.2600000004431158</v>
      </c>
      <c r="BT30" s="57"/>
      <c r="BU30" s="57"/>
      <c r="BV30" s="57"/>
      <c r="BW30" s="57"/>
      <c r="BX30" s="819"/>
      <c r="BY30" s="819"/>
      <c r="BZ30" s="57"/>
      <c r="CA30" s="109"/>
      <c r="CD30" s="15"/>
    </row>
    <row r="31" spans="1:89" x14ac:dyDescent="0.25">
      <c r="G31" s="56"/>
      <c r="H31" s="56"/>
      <c r="I31" s="56"/>
      <c r="J31" s="56"/>
      <c r="K31" s="56"/>
      <c r="L31" s="56"/>
      <c r="M31" s="56"/>
      <c r="N31" s="56"/>
      <c r="O31" s="56"/>
      <c r="P31" s="56"/>
      <c r="Q31" s="56"/>
      <c r="R31" s="56"/>
      <c r="S31" s="56"/>
      <c r="T31" s="56"/>
      <c r="U31" s="56"/>
      <c r="V31" s="56"/>
      <c r="W31" s="56"/>
      <c r="X31" s="56"/>
      <c r="Y31" s="56"/>
      <c r="Z31" s="56"/>
      <c r="AA31" s="56"/>
      <c r="AB31" s="222"/>
      <c r="AD31" s="56"/>
      <c r="AE31" s="56"/>
      <c r="AF31" s="56"/>
      <c r="AG31" s="56"/>
      <c r="AH31" s="56"/>
      <c r="AI31" s="287"/>
      <c r="AP31" s="850"/>
      <c r="AR31" s="871"/>
      <c r="AS31" t="s">
        <v>501</v>
      </c>
      <c r="AT31" s="76"/>
      <c r="AU31" s="76"/>
      <c r="AV31" s="76"/>
      <c r="AW31" s="76">
        <f>'Background Data'!F26/('Background Data'!F36*'Background Data'!F15) * 1000</f>
        <v>7.1986241641125224</v>
      </c>
      <c r="AX31" s="76">
        <f>'Background Data'!G26/('Background Data'!G36*'Background Data'!G15) * 1000</f>
        <v>7.1986240932644785</v>
      </c>
      <c r="AY31" s="76">
        <f>'Background Data'!H26/('Background Data'!H36*'Background Data'!H15) * 1000</f>
        <v>6.8997234256506257</v>
      </c>
      <c r="AZ31" s="76">
        <f>'Background Data'!I26/('Background Data'!I36*'Background Data'!I15) * 1000</f>
        <v>6.8874689388750134</v>
      </c>
      <c r="BA31" s="76">
        <f>'Background Data'!J26/('Background Data'!J36*'Background Data'!J15) * 1000</f>
        <v>6.6614371199942974</v>
      </c>
      <c r="BB31" s="76">
        <f>'Background Data'!K26/('Background Data'!K36*'Background Data'!K15) * 1000</f>
        <v>6.643292487312447</v>
      </c>
      <c r="BC31" s="76">
        <f>'Background Data'!L26/('Background Data'!L36*'Background Data'!L15) * 1000</f>
        <v>5.9271786612927091</v>
      </c>
      <c r="BD31" s="76">
        <f>'Background Data'!M26/('Background Data'!M36*'Background Data'!M15) * 1000</f>
        <v>6.1762159895465798</v>
      </c>
      <c r="BE31" s="76">
        <f>'Background Data'!N26/('Background Data'!N36*'Background Data'!N15) * 1000</f>
        <v>6.0808175939377636</v>
      </c>
      <c r="BF31" s="76">
        <f>'Background Data'!O26/('Background Data'!O36*'Background Data'!O15) * 1000</f>
        <v>6.2663099388643442</v>
      </c>
      <c r="BG31" s="76">
        <f>'Background Data'!P26/('Background Data'!P36*'Background Data'!P15) * 1000</f>
        <v>6.4523871772513566</v>
      </c>
      <c r="BH31" s="76">
        <f>'Background Data'!Q26/('Background Data'!Q36*'Background Data'!Q15) * 1000</f>
        <v>6.8074683763063994</v>
      </c>
      <c r="BI31" s="76">
        <f>'Background Data'!R26/('Background Data'!R36*'Background Data'!R15) * 1000</f>
        <v>7.3885345431531935</v>
      </c>
      <c r="BJ31" s="76">
        <f>'Background Data'!S26/('Background Data'!S36*'Background Data'!S15) * 1000</f>
        <v>8.2822050215890304</v>
      </c>
      <c r="BK31" s="76">
        <f>'Background Data'!T26/('Background Data'!T36*'Background Data'!T15) * 1000</f>
        <v>7.7912681816797811</v>
      </c>
      <c r="BL31" s="76">
        <f>'Background Data'!U26/('Background Data'!U36*'Background Data'!U15) * 1000</f>
        <v>6.6499018613860548</v>
      </c>
      <c r="BM31" s="76">
        <f>'Background Data'!V26/('Background Data'!V36*'Background Data'!V15) * 1000</f>
        <v>6.8493399264987893</v>
      </c>
      <c r="BN31" s="76">
        <f>'Background Data'!W26/('Background Data'!W36*'Background Data'!W15) * 1000</f>
        <v>6.8635373775874227</v>
      </c>
      <c r="BO31" s="340">
        <f t="shared" si="12"/>
        <v>7.3922499068613687</v>
      </c>
      <c r="BT31" s="57"/>
      <c r="BU31" s="57"/>
      <c r="BV31" s="57"/>
      <c r="BW31" s="57"/>
      <c r="BX31" s="819"/>
      <c r="BY31" s="819"/>
      <c r="BZ31" s="57"/>
      <c r="CA31" s="109"/>
      <c r="CD31" s="15"/>
    </row>
    <row r="32" spans="1:89" x14ac:dyDescent="0.25">
      <c r="G32" s="56"/>
      <c r="H32" s="56"/>
      <c r="I32" s="56"/>
      <c r="J32" s="56"/>
      <c r="K32" s="56"/>
      <c r="L32" s="56"/>
      <c r="M32" s="56"/>
      <c r="N32" s="56"/>
      <c r="O32" s="56"/>
      <c r="P32" s="56"/>
      <c r="Q32" s="56"/>
      <c r="R32" s="56"/>
      <c r="S32" s="56"/>
      <c r="T32" s="56"/>
      <c r="U32" s="56"/>
      <c r="V32" s="56"/>
      <c r="W32" s="56"/>
      <c r="X32" s="56"/>
      <c r="Y32" s="56"/>
      <c r="Z32" s="56"/>
      <c r="AA32" s="56"/>
      <c r="AB32" s="222"/>
      <c r="AD32" s="56"/>
      <c r="AE32" s="56"/>
      <c r="AF32" s="56"/>
      <c r="AG32" s="56"/>
      <c r="AH32" s="56"/>
      <c r="AI32" s="287"/>
      <c r="AP32" s="850"/>
      <c r="AR32" s="871"/>
      <c r="AS32" t="s">
        <v>503</v>
      </c>
      <c r="AT32" s="76"/>
      <c r="AU32" s="76"/>
      <c r="AV32" s="76"/>
      <c r="AW32" s="76"/>
      <c r="AX32" s="76"/>
      <c r="AY32" s="76">
        <f>'Background Data'!H27/('Background Data'!H37*'Background Data'!H16) * 1000</f>
        <v>1.2700400006001262</v>
      </c>
      <c r="AZ32" s="76">
        <f>'Background Data'!I27/('Background Data'!I37*'Background Data'!I16) * 1000</f>
        <v>1.2700640002678565</v>
      </c>
      <c r="BA32" s="76">
        <f>'Background Data'!J27/('Background Data'!J37*'Background Data'!J16) * 1000</f>
        <v>1.2699510006961059</v>
      </c>
      <c r="BB32" s="76">
        <f>'Background Data'!K27/('Background Data'!K37*'Background Data'!K16) * 1000</f>
        <v>1.2700219994671362</v>
      </c>
      <c r="BC32" s="76">
        <f>'Background Data'!L27/('Background Data'!L37*'Background Data'!L16) * 1000</f>
        <v>1.0771299997366881</v>
      </c>
      <c r="BD32" s="76">
        <f>'Background Data'!M27/('Background Data'!M37*'Background Data'!M16) * 1000</f>
        <v>1.0771350003590738</v>
      </c>
      <c r="BE32" s="76">
        <f>'Background Data'!N27/('Background Data'!N37*'Background Data'!N16) * 1000</f>
        <v>1.0771219996796415</v>
      </c>
      <c r="BF32" s="76">
        <f>'Background Data'!O27/('Background Data'!O37*'Background Data'!O16) * 1000</f>
        <v>1.0771100003143625</v>
      </c>
      <c r="BG32" s="76">
        <f>'Background Data'!P27/('Background Data'!P37*'Background Data'!P16) * 1000</f>
        <v>1.0771379997811452</v>
      </c>
      <c r="BH32" s="76">
        <f>'Background Data'!Q27/('Background Data'!Q37*'Background Data'!Q16) * 1000</f>
        <v>1.0771159999583189</v>
      </c>
      <c r="BI32" s="76">
        <f>'Background Data'!R27/('Background Data'!R37*'Background Data'!R16) * 1000</f>
        <v>1.077118999934521</v>
      </c>
      <c r="BJ32" s="76">
        <f>'Background Data'!S27/('Background Data'!S37*'Background Data'!S16) * 1000</f>
        <v>1.1457570003265447</v>
      </c>
      <c r="BK32" s="76">
        <f>'Background Data'!T27/('Background Data'!T37*'Background Data'!T16) * 1000</f>
        <v>1.1604550000264133</v>
      </c>
      <c r="BL32" s="76">
        <f>'Background Data'!U27/('Background Data'!U37*'Background Data'!U16) * 1000</f>
        <v>1.1604399999725845</v>
      </c>
      <c r="BM32" s="76">
        <f>'Background Data'!V27/('Background Data'!V37*'Background Data'!V16) * 1000</f>
        <v>1.1624339998056135</v>
      </c>
      <c r="BN32" s="76">
        <f>'Background Data'!W27/('Background Data'!W37*'Background Data'!W16) * 1000</f>
        <v>1.2125869996405318</v>
      </c>
      <c r="BO32" s="340">
        <f t="shared" si="12"/>
        <v>1.1412410000131354</v>
      </c>
      <c r="BT32" s="57"/>
      <c r="BU32" s="57"/>
      <c r="BV32" s="57"/>
      <c r="BW32" s="57"/>
      <c r="BX32" s="819"/>
      <c r="BY32" s="819"/>
      <c r="BZ32" s="57"/>
      <c r="CA32" s="109"/>
      <c r="CD32" s="15"/>
    </row>
    <row r="33" spans="1:79" ht="32.1" customHeight="1" x14ac:dyDescent="0.25">
      <c r="G33" s="56"/>
      <c r="H33" s="56"/>
      <c r="I33" s="56"/>
      <c r="J33" s="56"/>
      <c r="K33" s="56"/>
      <c r="L33" s="56"/>
      <c r="M33" s="56"/>
      <c r="N33" s="56"/>
      <c r="O33" s="56"/>
      <c r="P33" s="56"/>
      <c r="Q33" s="56"/>
      <c r="R33" s="56"/>
      <c r="S33" s="56"/>
      <c r="T33" s="56"/>
      <c r="U33" s="56"/>
      <c r="V33" s="56"/>
      <c r="W33" s="56"/>
      <c r="X33" s="56"/>
      <c r="Y33" s="56"/>
      <c r="Z33" s="56"/>
      <c r="AA33" s="56"/>
      <c r="AB33" s="222"/>
      <c r="AD33" s="56"/>
      <c r="AE33" s="56"/>
      <c r="AF33" s="56"/>
      <c r="AG33" s="56"/>
      <c r="AH33" s="56"/>
      <c r="AI33" s="287"/>
      <c r="AP33" s="850"/>
      <c r="AR33" s="871"/>
      <c r="AS33" t="s">
        <v>1178</v>
      </c>
      <c r="BB33" s="76"/>
      <c r="BC33" s="76">
        <f>('Background Data'!L28*1000)/('Background Data'!L38*'Background Data'!L17)</f>
        <v>21.590000001016097</v>
      </c>
      <c r="BD33" s="76">
        <f>('Background Data'!M28*1000)/('Background Data'!M38*'Background Data'!M17)</f>
        <v>21.819999999665882</v>
      </c>
      <c r="BE33" s="76">
        <f>('Background Data'!N28*1000)/('Background Data'!N38*'Background Data'!N17)</f>
        <v>22.050000000847206</v>
      </c>
      <c r="BF33" s="76">
        <f>('Background Data'!O28*1000)/('Background Data'!O38*'Background Data'!O17)</f>
        <v>22.280000000947787</v>
      </c>
      <c r="BG33" s="76">
        <f>('Background Data'!P28*1000)/('Background Data'!P38*'Background Data'!P17)</f>
        <v>22.280000000685124</v>
      </c>
      <c r="BH33" s="76">
        <f>('Background Data'!Q28*1000)/('Background Data'!Q38*'Background Data'!Q17)</f>
        <v>22.279999999030693</v>
      </c>
      <c r="BI33" s="76">
        <f>('Background Data'!R28*1000)/('Background Data'!R38*'Background Data'!R17)</f>
        <v>22.280000000051189</v>
      </c>
      <c r="BJ33" s="76">
        <f>('Background Data'!S28*1000)/('Background Data'!S38*'Background Data'!S17)</f>
        <v>22.280000000420081</v>
      </c>
      <c r="BK33" s="76">
        <f>('Background Data'!T28*1000)/('Background Data'!T38*'Background Data'!T17)</f>
        <v>22.27999999934179</v>
      </c>
      <c r="BL33" s="76">
        <f>('Background Data'!U28*1000)/('Background Data'!U38*'Background Data'!U17)</f>
        <v>22.280000001102284</v>
      </c>
      <c r="BM33" s="76">
        <f>('Background Data'!V28*1000)/('Background Data'!V38*'Background Data'!V17)</f>
        <v>22.279999999189691</v>
      </c>
      <c r="BN33" s="76">
        <f>('Background Data'!W28*1000)/('Background Data'!W38*'Background Data'!W17)</f>
        <v>22.280000000593375</v>
      </c>
      <c r="BO33" s="340">
        <f t="shared" si="12"/>
        <v>22.280000000021005</v>
      </c>
      <c r="BT33" s="57"/>
      <c r="BU33" s="57"/>
      <c r="BV33" s="57"/>
      <c r="BW33" s="57"/>
      <c r="BX33" s="297"/>
      <c r="BY33" s="297"/>
      <c r="BZ33" s="57"/>
      <c r="CA33" s="81"/>
    </row>
    <row r="34" spans="1:79" x14ac:dyDescent="0.25">
      <c r="G34" s="56"/>
      <c r="H34" s="56"/>
      <c r="I34" s="56"/>
      <c r="J34" s="56"/>
      <c r="K34" s="56"/>
      <c r="L34" s="56"/>
      <c r="M34" s="56"/>
      <c r="N34" s="56"/>
      <c r="O34" s="56"/>
      <c r="P34" s="56"/>
      <c r="Q34" s="56"/>
      <c r="R34" s="56"/>
      <c r="S34" s="56"/>
      <c r="T34" s="56"/>
      <c r="U34" s="56"/>
      <c r="V34" s="56"/>
      <c r="W34" s="56"/>
      <c r="X34" s="56"/>
      <c r="Y34" s="56"/>
      <c r="Z34" s="56"/>
      <c r="AA34" s="56"/>
      <c r="AB34" s="222"/>
      <c r="AD34" s="56"/>
      <c r="AE34" s="56"/>
      <c r="AF34" s="56"/>
      <c r="AG34" s="56"/>
      <c r="AH34" s="56"/>
      <c r="AI34" s="287"/>
      <c r="AP34" s="850"/>
      <c r="AR34" s="871"/>
      <c r="AS34" t="s">
        <v>1179</v>
      </c>
      <c r="BB34" s="76"/>
      <c r="BC34" s="76">
        <f>('Background Data'!L29*1000)/('Background Data'!L39*'Background Data'!L18)</f>
        <v>12.079999999513628</v>
      </c>
      <c r="BD34" s="76">
        <f>('Background Data'!M29*1000)/('Background Data'!M39*'Background Data'!M18)</f>
        <v>12.179999999708654</v>
      </c>
      <c r="BE34" s="76">
        <f>('Background Data'!N29*1000)/('Background Data'!N39*'Background Data'!N18)</f>
        <v>12.289999999673888</v>
      </c>
      <c r="BF34" s="76">
        <f>('Background Data'!O29*1000)/('Background Data'!O39*'Background Data'!O18)</f>
        <v>12.390000000171803</v>
      </c>
      <c r="BG34" s="76">
        <f>('Background Data'!P29*1000)/('Background Data'!P39*'Background Data'!P18)</f>
        <v>12.38999999955462</v>
      </c>
      <c r="BH34" s="76">
        <f>('Background Data'!Q29*1000)/('Background Data'!Q39*'Background Data'!Q18)</f>
        <v>12.389999999646932</v>
      </c>
      <c r="BI34" s="76">
        <f>('Background Data'!R29*1000)/('Background Data'!R39*'Background Data'!R18)</f>
        <v>12.389999999340903</v>
      </c>
      <c r="BJ34" s="76">
        <f>('Background Data'!S29*1000)/('Background Data'!S39*'Background Data'!S18)</f>
        <v>12.390000000789412</v>
      </c>
      <c r="BK34" s="76">
        <f>('Background Data'!T29*1000)/('Background Data'!T39*'Background Data'!T18)</f>
        <v>12.389999999949618</v>
      </c>
      <c r="BL34" s="76">
        <f>('Background Data'!U29*1000)/('Background Data'!U39*'Background Data'!U18)</f>
        <v>12.389999999640269</v>
      </c>
      <c r="BM34" s="76">
        <f>('Background Data'!V29*1000)/('Background Data'!V39*'Background Data'!V18)</f>
        <v>12.389999999427207</v>
      </c>
      <c r="BN34" s="76">
        <f>('Background Data'!W29*1000)/('Background Data'!W39*'Background Data'!W18)</f>
        <v>12.390000001214007</v>
      </c>
      <c r="BO34" s="340">
        <f t="shared" si="12"/>
        <v>12.389999999829481</v>
      </c>
    </row>
    <row r="35" spans="1:79" ht="15.75" thickBot="1" x14ac:dyDescent="0.3">
      <c r="A35" s="65"/>
      <c r="B35" s="65"/>
      <c r="C35" s="65"/>
      <c r="D35" s="65"/>
      <c r="E35" s="65"/>
      <c r="F35" s="223"/>
      <c r="G35" s="224"/>
      <c r="H35" s="224"/>
      <c r="I35" s="224"/>
      <c r="J35" s="224"/>
      <c r="K35" s="224"/>
      <c r="L35" s="224"/>
      <c r="M35" s="224"/>
      <c r="N35" s="224"/>
      <c r="O35" s="224"/>
      <c r="P35" s="224"/>
      <c r="Q35" s="224"/>
      <c r="R35" s="224"/>
      <c r="S35" s="224"/>
      <c r="T35" s="224"/>
      <c r="U35" s="224"/>
      <c r="V35" s="224"/>
      <c r="W35" s="224"/>
      <c r="X35" s="224"/>
      <c r="Y35" s="224"/>
      <c r="Z35" s="224"/>
      <c r="AA35" s="224"/>
      <c r="AB35" s="225"/>
      <c r="AC35" s="65"/>
      <c r="AD35" s="224"/>
      <c r="AE35" s="224"/>
      <c r="AF35" s="224"/>
      <c r="AG35" s="224"/>
      <c r="AH35" s="224"/>
      <c r="AI35" s="288"/>
      <c r="AJ35" s="291"/>
      <c r="AK35" s="626"/>
      <c r="AL35" s="626"/>
      <c r="AM35" s="626"/>
      <c r="AN35" s="626"/>
      <c r="AO35" s="626"/>
      <c r="AP35" s="850"/>
      <c r="AR35" s="871"/>
      <c r="AS35" t="s">
        <v>1180</v>
      </c>
      <c r="BB35" s="76"/>
      <c r="BC35" s="76">
        <f>('Background Data'!L30*1000)/('Background Data'!L40*'Background Data'!L19)</f>
        <v>16.880000002292995</v>
      </c>
      <c r="BD35" s="76">
        <f>('Background Data'!M30*1000)/('Background Data'!M40*'Background Data'!M19)</f>
        <v>16.88000000216821</v>
      </c>
      <c r="BE35" s="76">
        <f>('Background Data'!N30*1000)/('Background Data'!N40*'Background Data'!N19)</f>
        <v>16.880000000087996</v>
      </c>
      <c r="BF35" s="76">
        <f>('Background Data'!O30*1000)/('Background Data'!O40*'Background Data'!O19)</f>
        <v>16.880000001708112</v>
      </c>
      <c r="BG35" s="76">
        <f>('Background Data'!P30*1000)/('Background Data'!P40*'Background Data'!P19)</f>
        <v>16.880000000421258</v>
      </c>
      <c r="BH35" s="76">
        <f>('Background Data'!Q30*1000)/('Background Data'!Q40*'Background Data'!Q19)</f>
        <v>16.879999998603687</v>
      </c>
      <c r="BI35" s="76">
        <f>('Background Data'!R30*1000)/('Background Data'!R40*'Background Data'!R19)</f>
        <v>16.879999996405235</v>
      </c>
      <c r="BJ35" s="76">
        <f>('Background Data'!S30*1000)/('Background Data'!S40*'Background Data'!S19)</f>
        <v>16.880000002572256</v>
      </c>
      <c r="BK35" s="76">
        <f>('Background Data'!T30*1000)/('Background Data'!T40*'Background Data'!T19)</f>
        <v>16.879999997908378</v>
      </c>
      <c r="BL35" s="76">
        <f>('Background Data'!U30*1000)/('Background Data'!U40*'Background Data'!U19)</f>
        <v>16.880000001464278</v>
      </c>
      <c r="BM35" s="76">
        <f>('Background Data'!V30*1000)/('Background Data'!V40*'Background Data'!V19)</f>
        <v>16.880000003624392</v>
      </c>
      <c r="BN35" s="76">
        <f>('Background Data'!W30*1000)/('Background Data'!W40*'Background Data'!W19)</f>
        <v>16.879999991394151</v>
      </c>
      <c r="BO35" s="341">
        <f t="shared" si="12"/>
        <v>16.880000000394908</v>
      </c>
    </row>
    <row r="36" spans="1:79" ht="14.45" customHeight="1" x14ac:dyDescent="0.25">
      <c r="G36" s="56"/>
      <c r="H36" s="56"/>
      <c r="I36" s="56"/>
      <c r="J36" s="56"/>
      <c r="K36" s="56"/>
      <c r="L36" s="56"/>
      <c r="M36" s="56"/>
      <c r="N36" s="56"/>
      <c r="O36" s="56"/>
      <c r="P36" s="56"/>
      <c r="Q36" s="56"/>
      <c r="R36" s="56"/>
      <c r="S36" s="56"/>
      <c r="T36" s="56"/>
      <c r="U36" s="56"/>
      <c r="V36" s="56"/>
      <c r="W36" s="56"/>
      <c r="X36" s="56"/>
      <c r="Y36" s="56"/>
      <c r="Z36" s="56"/>
      <c r="AA36" s="56"/>
      <c r="AB36" s="222"/>
      <c r="AC36" s="56"/>
      <c r="AD36" s="56"/>
      <c r="AE36" s="56"/>
      <c r="AF36" s="56"/>
      <c r="AG36" s="56"/>
      <c r="AH36" s="56"/>
      <c r="AI36" s="290"/>
      <c r="AP36" s="850"/>
      <c r="AR36" s="871"/>
      <c r="AS36" s="58" t="s">
        <v>1182</v>
      </c>
    </row>
    <row r="37" spans="1:79" x14ac:dyDescent="0.25">
      <c r="G37" s="56"/>
      <c r="H37" s="56"/>
      <c r="I37" s="56"/>
      <c r="J37" s="56"/>
      <c r="K37" s="56"/>
      <c r="L37" s="56"/>
      <c r="M37" s="56"/>
      <c r="N37" s="56"/>
      <c r="O37" s="56"/>
      <c r="P37" s="56"/>
      <c r="Q37" s="56"/>
      <c r="R37" s="56"/>
      <c r="S37" s="56"/>
      <c r="T37" s="56"/>
      <c r="U37" s="56"/>
      <c r="V37" s="56"/>
      <c r="W37" s="56"/>
      <c r="X37" s="56"/>
      <c r="Y37" s="56"/>
      <c r="Z37" s="56"/>
      <c r="AA37" s="56"/>
      <c r="AB37" s="222"/>
      <c r="AC37" s="56"/>
      <c r="AD37" s="56"/>
      <c r="AE37" s="56"/>
      <c r="AF37" s="56"/>
      <c r="AG37" s="56"/>
      <c r="AH37" s="56"/>
      <c r="AI37" s="290"/>
      <c r="AP37" s="850"/>
      <c r="AR37" s="871"/>
    </row>
    <row r="38" spans="1:79" x14ac:dyDescent="0.25">
      <c r="G38" s="56"/>
      <c r="H38" s="56"/>
      <c r="I38" s="56"/>
      <c r="J38" s="460"/>
      <c r="K38" s="56"/>
      <c r="L38" s="56"/>
      <c r="M38" s="56"/>
      <c r="N38" s="56"/>
      <c r="O38" s="56"/>
      <c r="P38" s="56"/>
      <c r="Q38" s="56"/>
      <c r="R38" s="56"/>
      <c r="S38" s="56"/>
      <c r="T38" s="56"/>
      <c r="U38" s="56"/>
      <c r="V38" s="56"/>
      <c r="W38" s="56"/>
      <c r="X38" s="56"/>
      <c r="Y38" s="56"/>
      <c r="Z38" s="56"/>
      <c r="AA38" s="56"/>
      <c r="AB38" s="222"/>
      <c r="AC38" s="56"/>
      <c r="AD38" s="56"/>
      <c r="AE38" s="56"/>
      <c r="AF38" s="56"/>
      <c r="AG38" s="56"/>
      <c r="AH38" s="56"/>
      <c r="AI38" s="290"/>
      <c r="AP38" s="850"/>
      <c r="AR38" s="871"/>
    </row>
    <row r="39" spans="1:79" x14ac:dyDescent="0.25">
      <c r="G39" s="56"/>
      <c r="H39" s="56"/>
      <c r="I39" s="56"/>
      <c r="J39" s="460"/>
      <c r="K39" s="56"/>
      <c r="L39" s="56"/>
      <c r="M39" s="56"/>
      <c r="N39" s="56"/>
      <c r="O39" s="56"/>
      <c r="P39" s="56"/>
      <c r="Q39" s="56"/>
      <c r="R39" s="56"/>
      <c r="S39" s="56"/>
      <c r="T39" s="56"/>
      <c r="U39" s="56"/>
      <c r="V39" s="56"/>
      <c r="W39" s="56"/>
      <c r="X39" s="56"/>
      <c r="Y39" s="56"/>
      <c r="Z39" s="56"/>
      <c r="AA39" s="56"/>
      <c r="AB39" s="222"/>
      <c r="AC39" s="56"/>
      <c r="AD39" s="56"/>
      <c r="AE39" s="56"/>
      <c r="AF39" s="56"/>
      <c r="AG39" s="56"/>
      <c r="AH39" s="56"/>
      <c r="AI39" s="290"/>
      <c r="AP39" s="850"/>
      <c r="AR39" s="871"/>
      <c r="AS39" s="15"/>
      <c r="AU39" s="69"/>
      <c r="AV39" s="69"/>
      <c r="AW39" s="69"/>
      <c r="AX39" s="69"/>
      <c r="AZ39" s="15"/>
      <c r="BA39" s="57"/>
      <c r="BB39" s="57"/>
      <c r="BC39" s="57"/>
      <c r="BD39" s="57"/>
      <c r="BE39" s="57"/>
      <c r="BF39" s="57"/>
      <c r="BG39" s="57"/>
      <c r="BH39" s="57"/>
      <c r="BI39" s="213"/>
      <c r="BK39" s="15"/>
      <c r="BL39" s="69"/>
      <c r="BM39" s="69"/>
      <c r="BN39" s="69"/>
      <c r="BO39" s="69"/>
      <c r="BP39" s="69"/>
      <c r="BQ39" s="69"/>
    </row>
    <row r="40" spans="1:79" x14ac:dyDescent="0.25">
      <c r="G40" s="56"/>
      <c r="H40" s="56"/>
      <c r="I40" s="56"/>
      <c r="J40" s="460"/>
      <c r="K40" s="56"/>
      <c r="L40" s="56"/>
      <c r="M40" s="56"/>
      <c r="N40" s="56"/>
      <c r="O40" s="56"/>
      <c r="P40" s="56"/>
      <c r="Q40" s="56"/>
      <c r="R40" s="56"/>
      <c r="S40" s="56"/>
      <c r="T40" s="56"/>
      <c r="U40" s="56"/>
      <c r="V40" s="56"/>
      <c r="W40" s="56"/>
      <c r="X40" s="56"/>
      <c r="Y40" s="56"/>
      <c r="Z40" s="56"/>
      <c r="AA40" s="56"/>
      <c r="AB40" s="222"/>
      <c r="AC40" s="56"/>
      <c r="AD40" s="56"/>
      <c r="AE40" s="56"/>
      <c r="AF40" s="56"/>
      <c r="AG40" s="56"/>
      <c r="AH40" s="56"/>
      <c r="AI40" s="290"/>
      <c r="AP40" s="850"/>
      <c r="AR40" s="871"/>
      <c r="AS40" s="15"/>
      <c r="AU40" s="69"/>
      <c r="AV40" s="69"/>
      <c r="AW40" s="69"/>
      <c r="AX40" s="69"/>
      <c r="AZ40" s="15"/>
      <c r="BA40" s="57"/>
      <c r="BB40" s="57"/>
      <c r="BC40" s="57"/>
      <c r="BD40" s="57"/>
      <c r="BE40" s="57"/>
      <c r="BF40" s="57"/>
      <c r="BG40" s="57"/>
      <c r="BH40" s="57"/>
      <c r="BI40" s="213"/>
      <c r="BK40" s="15"/>
      <c r="BL40" s="69"/>
      <c r="BM40" s="69"/>
      <c r="BN40" s="69"/>
      <c r="BO40" s="69"/>
      <c r="BP40" s="69"/>
      <c r="BQ40" s="69"/>
    </row>
    <row r="41" spans="1:79" x14ac:dyDescent="0.25">
      <c r="G41" s="56"/>
      <c r="H41" s="56"/>
      <c r="I41" s="56"/>
      <c r="J41" s="460"/>
      <c r="K41" s="56"/>
      <c r="L41" s="56"/>
      <c r="M41" s="56"/>
      <c r="N41" s="56"/>
      <c r="O41" s="56"/>
      <c r="P41" s="56"/>
      <c r="Q41" s="56"/>
      <c r="R41" s="56"/>
      <c r="S41" s="56"/>
      <c r="T41" s="56"/>
      <c r="U41" s="56"/>
      <c r="V41" s="56"/>
      <c r="W41" s="56"/>
      <c r="X41" s="56"/>
      <c r="Y41" s="56"/>
      <c r="Z41" s="56"/>
      <c r="AA41" s="56"/>
      <c r="AB41" s="222"/>
      <c r="AC41" s="56"/>
      <c r="AD41" s="56"/>
      <c r="AE41" s="56"/>
      <c r="AF41" s="56"/>
      <c r="AG41" s="56"/>
      <c r="AH41" s="56"/>
      <c r="AI41" s="290"/>
      <c r="AP41" s="850"/>
      <c r="AR41" s="871"/>
      <c r="AS41" s="15"/>
      <c r="AU41" s="69"/>
      <c r="AV41" s="69"/>
      <c r="AW41" s="69"/>
      <c r="AX41" s="69"/>
      <c r="AZ41" s="15"/>
      <c r="BA41" s="57"/>
      <c r="BB41" s="57"/>
      <c r="BC41" s="57"/>
      <c r="BD41" s="57"/>
      <c r="BE41" s="57"/>
      <c r="BF41" s="57"/>
      <c r="BG41" s="57"/>
      <c r="BH41" s="57"/>
      <c r="BI41" s="213"/>
      <c r="BK41" s="15"/>
      <c r="BL41" s="69"/>
      <c r="BM41" s="69"/>
      <c r="BN41" s="69"/>
      <c r="BO41" s="69"/>
      <c r="BP41" s="69"/>
      <c r="BQ41" s="69"/>
    </row>
    <row r="42" spans="1:79" x14ac:dyDescent="0.25">
      <c r="G42" s="56"/>
      <c r="H42" s="56"/>
      <c r="I42" s="56"/>
      <c r="J42" s="460"/>
      <c r="K42" s="56"/>
      <c r="L42" s="56"/>
      <c r="M42" s="56"/>
      <c r="N42" s="56"/>
      <c r="O42" s="56"/>
      <c r="P42" s="56"/>
      <c r="Q42" s="56"/>
      <c r="R42" s="56"/>
      <c r="S42" s="56"/>
      <c r="T42" s="56"/>
      <c r="U42" s="56"/>
      <c r="V42" s="56"/>
      <c r="W42" s="56"/>
      <c r="X42" s="56"/>
      <c r="Y42" s="56"/>
      <c r="Z42" s="56"/>
      <c r="AA42" s="56"/>
      <c r="AB42" s="222"/>
      <c r="AC42" s="56"/>
      <c r="AD42" s="56"/>
      <c r="AE42" s="56"/>
      <c r="AF42" s="56"/>
      <c r="AG42" s="56"/>
      <c r="AH42" s="56"/>
      <c r="AI42" s="290"/>
      <c r="AP42" s="850"/>
      <c r="AR42" s="871"/>
      <c r="AS42" s="15"/>
      <c r="AU42" s="69"/>
      <c r="AV42" s="69"/>
      <c r="AW42" s="69"/>
      <c r="AX42" s="69"/>
      <c r="AZ42" s="15"/>
      <c r="BA42" s="15"/>
      <c r="BB42" s="57"/>
      <c r="BC42" s="57"/>
      <c r="BD42" s="57"/>
      <c r="BE42" s="57"/>
      <c r="BF42" s="57"/>
      <c r="BG42" s="57"/>
      <c r="BH42" s="57"/>
      <c r="BI42" s="213"/>
      <c r="BK42" s="15"/>
      <c r="BL42" s="69"/>
      <c r="BM42" s="69"/>
      <c r="BN42" s="69"/>
      <c r="BO42" s="69"/>
      <c r="BP42" s="69"/>
      <c r="BQ42" s="69"/>
    </row>
    <row r="43" spans="1:79" x14ac:dyDescent="0.25">
      <c r="G43" s="56"/>
      <c r="H43" s="56"/>
      <c r="I43" s="56"/>
      <c r="J43" s="460"/>
      <c r="K43" s="56"/>
      <c r="L43" s="56"/>
      <c r="M43" s="56"/>
      <c r="N43" s="56"/>
      <c r="O43" s="56"/>
      <c r="P43" s="56"/>
      <c r="Q43" s="56"/>
      <c r="R43" s="56"/>
      <c r="S43" s="56"/>
      <c r="T43" s="56"/>
      <c r="U43" s="56"/>
      <c r="V43" s="56"/>
      <c r="W43" s="56"/>
      <c r="X43" s="56"/>
      <c r="Y43" s="56"/>
      <c r="Z43" s="56"/>
      <c r="AA43" s="56"/>
      <c r="AB43" s="222"/>
      <c r="AC43" s="56"/>
      <c r="AD43" s="56"/>
      <c r="AE43" s="56"/>
      <c r="AF43" s="56"/>
      <c r="AG43" s="56"/>
      <c r="AH43" s="56"/>
      <c r="AI43" s="290"/>
      <c r="AP43" s="850"/>
      <c r="AR43" s="871"/>
      <c r="AS43" s="26"/>
      <c r="AZ43" s="26"/>
      <c r="BA43" s="26"/>
      <c r="BB43" s="57"/>
      <c r="BC43" s="57"/>
      <c r="BD43" s="57"/>
      <c r="BE43" s="57"/>
      <c r="BF43" s="57"/>
      <c r="BG43" s="57"/>
      <c r="BH43" s="57"/>
      <c r="BI43" s="213"/>
      <c r="BK43" s="15"/>
      <c r="BL43" s="69"/>
      <c r="BM43" s="69"/>
      <c r="BN43" s="69"/>
      <c r="BO43" s="69"/>
      <c r="BP43" s="69"/>
      <c r="BQ43" s="69"/>
    </row>
    <row r="44" spans="1:79" x14ac:dyDescent="0.25">
      <c r="G44" s="56"/>
      <c r="H44" s="56"/>
      <c r="I44" s="56"/>
      <c r="J44" s="460"/>
      <c r="K44" s="56"/>
      <c r="L44" s="56"/>
      <c r="M44" s="56"/>
      <c r="N44" s="56"/>
      <c r="O44" s="56"/>
      <c r="P44" s="56"/>
      <c r="Q44" s="56"/>
      <c r="R44" s="56"/>
      <c r="S44" s="56"/>
      <c r="T44" s="56"/>
      <c r="U44" s="56"/>
      <c r="V44" s="56"/>
      <c r="W44" s="56"/>
      <c r="X44" s="56"/>
      <c r="Y44" s="56"/>
      <c r="Z44" s="56"/>
      <c r="AA44" s="56"/>
      <c r="AB44" s="222"/>
      <c r="AC44" s="56"/>
      <c r="AD44" s="56"/>
      <c r="AE44" s="56"/>
      <c r="AF44" s="56"/>
      <c r="AG44" s="56"/>
      <c r="AH44" s="56"/>
      <c r="AI44" s="290"/>
      <c r="AP44" s="850"/>
      <c r="AR44" s="871"/>
      <c r="AS44" s="15"/>
      <c r="AT44" s="57"/>
      <c r="AU44" s="57"/>
      <c r="AV44" s="57"/>
      <c r="AW44" s="57"/>
      <c r="AX44" s="57"/>
      <c r="AZ44" s="15"/>
      <c r="BA44" s="57"/>
      <c r="BB44" s="57"/>
      <c r="BC44" s="57"/>
      <c r="BD44" s="57"/>
      <c r="BE44" s="57"/>
      <c r="BF44" s="57"/>
      <c r="BG44" s="57"/>
      <c r="BH44" s="57"/>
      <c r="BI44" s="213"/>
      <c r="BK44" s="15"/>
      <c r="BL44" s="69"/>
      <c r="BM44" s="69"/>
      <c r="BN44" s="69"/>
      <c r="BO44" s="69"/>
      <c r="BP44" s="69"/>
      <c r="BQ44" s="69"/>
    </row>
    <row r="45" spans="1:79" x14ac:dyDescent="0.25">
      <c r="G45" s="56"/>
      <c r="H45" s="56"/>
      <c r="I45" s="56"/>
      <c r="J45" s="460"/>
      <c r="K45" s="56"/>
      <c r="L45" s="56"/>
      <c r="M45" s="56"/>
      <c r="N45" s="56"/>
      <c r="O45" s="56"/>
      <c r="P45" s="56"/>
      <c r="Q45" s="56"/>
      <c r="R45" s="56"/>
      <c r="S45" s="56"/>
      <c r="T45" s="56"/>
      <c r="U45" s="56"/>
      <c r="V45" s="56"/>
      <c r="W45" s="56"/>
      <c r="X45" s="56"/>
      <c r="Y45" s="56"/>
      <c r="Z45" s="56"/>
      <c r="AA45" s="56"/>
      <c r="AB45" s="222"/>
      <c r="AC45" s="56"/>
      <c r="AD45" s="56"/>
      <c r="AE45" s="56"/>
      <c r="AF45" s="56"/>
      <c r="AG45" s="56"/>
      <c r="AH45" s="56"/>
      <c r="AI45" s="290"/>
      <c r="AP45" s="850"/>
      <c r="AR45" s="871"/>
      <c r="AS45" s="15"/>
      <c r="AT45" s="57"/>
      <c r="AU45" s="57"/>
      <c r="AV45" s="57"/>
      <c r="AW45" s="57"/>
      <c r="AX45" s="57"/>
      <c r="AY45" s="57"/>
      <c r="AZ45" s="15"/>
      <c r="BA45" s="57"/>
      <c r="BB45" s="57"/>
      <c r="BC45" s="57"/>
      <c r="BD45" s="57"/>
      <c r="BE45" s="57"/>
      <c r="BF45" s="57"/>
      <c r="BG45" s="57"/>
      <c r="BH45" s="57"/>
      <c r="BI45" s="213"/>
      <c r="BK45" s="15"/>
      <c r="BL45" s="15"/>
      <c r="BM45" s="69"/>
      <c r="BN45" s="69"/>
      <c r="BO45" s="69"/>
      <c r="BP45" s="69"/>
      <c r="BQ45" s="69"/>
    </row>
    <row r="46" spans="1:79" ht="16.5" customHeight="1" x14ac:dyDescent="0.25">
      <c r="G46" s="56"/>
      <c r="H46" s="56"/>
      <c r="I46" s="56"/>
      <c r="J46" s="460"/>
      <c r="K46" s="56"/>
      <c r="L46" s="56"/>
      <c r="M46" s="56"/>
      <c r="N46" s="56"/>
      <c r="O46" s="56"/>
      <c r="P46" s="56"/>
      <c r="Q46" s="56"/>
      <c r="R46" s="56"/>
      <c r="S46" s="56"/>
      <c r="T46" s="56"/>
      <c r="U46" s="56"/>
      <c r="V46" s="56"/>
      <c r="W46" s="56"/>
      <c r="X46" s="56"/>
      <c r="Y46" s="56"/>
      <c r="Z46" s="56"/>
      <c r="AA46" s="56"/>
      <c r="AB46" s="222"/>
      <c r="AC46" s="56"/>
      <c r="AD46" s="56"/>
      <c r="AE46" s="56"/>
      <c r="AF46" s="56"/>
      <c r="AG46" s="56"/>
      <c r="AH46" s="56"/>
      <c r="AI46" s="290"/>
      <c r="AP46" s="850"/>
      <c r="AR46" s="871"/>
      <c r="AS46" s="15"/>
      <c r="AT46" s="57"/>
      <c r="AU46" s="57"/>
      <c r="AV46" s="57"/>
      <c r="AW46" s="57"/>
      <c r="AX46" s="57"/>
      <c r="AZ46" s="15"/>
      <c r="BA46" s="57"/>
      <c r="BB46" s="57"/>
      <c r="BC46" s="57"/>
      <c r="BD46" s="57"/>
      <c r="BE46" s="57"/>
      <c r="BF46" s="57"/>
      <c r="BG46" s="57"/>
      <c r="BH46" s="57"/>
      <c r="BI46" s="213"/>
      <c r="BK46" s="26"/>
      <c r="BL46" s="26"/>
    </row>
    <row r="47" spans="1:79" x14ac:dyDescent="0.25">
      <c r="G47" s="56"/>
      <c r="H47" s="56"/>
      <c r="I47" s="56"/>
      <c r="J47" s="56"/>
      <c r="K47" s="56"/>
      <c r="L47" s="56"/>
      <c r="M47" s="56"/>
      <c r="N47" s="56"/>
      <c r="O47" s="56"/>
      <c r="P47" s="56"/>
      <c r="Q47" s="56"/>
      <c r="R47" s="56"/>
      <c r="S47" s="56"/>
      <c r="T47" s="56"/>
      <c r="U47" s="56"/>
      <c r="V47" s="56"/>
      <c r="W47" s="56"/>
      <c r="X47" s="56"/>
      <c r="Y47" s="56"/>
      <c r="Z47" s="56"/>
      <c r="AA47" s="56"/>
      <c r="AB47" s="222"/>
      <c r="AC47" s="56"/>
      <c r="AD47" s="56"/>
      <c r="AE47" s="56"/>
      <c r="AF47" s="56"/>
      <c r="AG47" s="56"/>
      <c r="AH47" s="56"/>
      <c r="AI47" s="290"/>
      <c r="AP47" s="850"/>
      <c r="AR47" s="871"/>
      <c r="AS47" s="15"/>
      <c r="AT47" s="69"/>
      <c r="AU47" s="69"/>
      <c r="AV47" s="69"/>
      <c r="AW47" s="69"/>
      <c r="AX47" s="69"/>
      <c r="AZ47" s="15"/>
      <c r="BA47" s="57"/>
      <c r="BB47" s="57"/>
      <c r="BC47" s="57"/>
      <c r="BD47" s="57"/>
      <c r="BE47" s="57"/>
      <c r="BF47" s="57"/>
      <c r="BG47" s="57"/>
      <c r="BH47" s="57"/>
      <c r="BI47" s="213"/>
      <c r="BK47" s="15"/>
      <c r="BL47" s="69"/>
      <c r="BM47" s="69"/>
      <c r="BN47" s="69"/>
      <c r="BO47" s="69"/>
      <c r="BP47" s="69"/>
      <c r="BQ47" s="69"/>
    </row>
    <row r="48" spans="1:79" x14ac:dyDescent="0.25">
      <c r="G48" s="56"/>
      <c r="H48" s="56"/>
      <c r="I48" s="56"/>
      <c r="J48" s="56"/>
      <c r="K48" s="56"/>
      <c r="L48" s="56"/>
      <c r="M48" s="56"/>
      <c r="N48" s="56"/>
      <c r="O48" s="56"/>
      <c r="P48" s="56"/>
      <c r="Q48" s="56"/>
      <c r="R48" s="56"/>
      <c r="S48" s="56"/>
      <c r="T48" s="56"/>
      <c r="U48" s="56"/>
      <c r="V48" s="56"/>
      <c r="W48" s="56"/>
      <c r="X48" s="56"/>
      <c r="Y48" s="56"/>
      <c r="Z48" s="56"/>
      <c r="AA48" s="56"/>
      <c r="AB48" s="222"/>
      <c r="AC48" s="56"/>
      <c r="AD48" s="56"/>
      <c r="AE48" s="56"/>
      <c r="AF48" s="56"/>
      <c r="AG48" s="56"/>
      <c r="AH48" s="56"/>
      <c r="AI48" s="290"/>
      <c r="AP48" s="850"/>
      <c r="AR48" s="871"/>
      <c r="AS48" s="15"/>
      <c r="AU48" s="69"/>
      <c r="AV48" s="69"/>
      <c r="AW48" s="69"/>
      <c r="AX48" s="69"/>
      <c r="AZ48" s="15"/>
      <c r="BA48" s="57"/>
      <c r="BB48" s="57"/>
      <c r="BC48" s="57"/>
      <c r="BD48" s="57"/>
      <c r="BE48" s="57"/>
      <c r="BF48" s="57"/>
      <c r="BG48" s="57"/>
      <c r="BH48" s="57"/>
      <c r="BI48" s="213"/>
      <c r="BK48" s="15"/>
      <c r="BL48" s="69"/>
      <c r="BM48" s="69"/>
      <c r="BN48" s="69"/>
      <c r="BO48" s="69"/>
      <c r="BP48" s="69"/>
      <c r="BQ48" s="69"/>
    </row>
    <row r="49" spans="7:89" x14ac:dyDescent="0.25">
      <c r="G49" s="56"/>
      <c r="H49" s="56"/>
      <c r="I49" s="56"/>
      <c r="J49" s="56"/>
      <c r="K49" s="56"/>
      <c r="L49" s="56"/>
      <c r="M49" s="56"/>
      <c r="N49" s="56"/>
      <c r="O49" s="56"/>
      <c r="P49" s="56"/>
      <c r="Q49" s="56"/>
      <c r="R49" s="56"/>
      <c r="S49" s="56"/>
      <c r="T49" s="56"/>
      <c r="U49" s="56"/>
      <c r="V49" s="56"/>
      <c r="W49" s="56"/>
      <c r="X49" s="56"/>
      <c r="Y49" s="56"/>
      <c r="Z49" s="56"/>
      <c r="AA49" s="56"/>
      <c r="AB49" s="222"/>
      <c r="AC49" s="56"/>
      <c r="AD49" s="56"/>
      <c r="AE49" s="56"/>
      <c r="AF49" s="56"/>
      <c r="AG49" s="56"/>
      <c r="AH49" s="56"/>
      <c r="AI49" s="290"/>
      <c r="AP49" s="850"/>
      <c r="AR49" s="871"/>
      <c r="AS49" s="15"/>
      <c r="AU49" s="69"/>
      <c r="AV49" s="69"/>
      <c r="AW49" s="69"/>
      <c r="AX49" s="69"/>
      <c r="AZ49" s="15"/>
      <c r="BA49" s="57"/>
      <c r="BB49" s="57"/>
      <c r="BC49" s="57"/>
      <c r="BD49" s="57"/>
      <c r="BE49" s="57"/>
      <c r="BF49" s="57"/>
      <c r="BG49" s="57"/>
      <c r="BH49" s="57"/>
      <c r="BI49" s="213"/>
      <c r="BK49" s="15"/>
      <c r="BL49" s="69"/>
      <c r="BM49" s="69"/>
      <c r="BN49" s="69"/>
      <c r="BO49" s="69"/>
      <c r="BP49" s="69"/>
      <c r="BQ49" s="69"/>
    </row>
    <row r="50" spans="7:89" x14ac:dyDescent="0.25">
      <c r="G50" s="56"/>
      <c r="H50" s="56"/>
      <c r="I50" s="56"/>
      <c r="J50" s="56"/>
      <c r="K50" s="56"/>
      <c r="L50" s="56"/>
      <c r="M50" s="56"/>
      <c r="N50" s="56"/>
      <c r="O50" s="56"/>
      <c r="P50" s="56"/>
      <c r="Q50" s="56"/>
      <c r="R50" s="56"/>
      <c r="S50" s="56"/>
      <c r="T50" s="56"/>
      <c r="U50" s="56"/>
      <c r="V50" s="56"/>
      <c r="W50" s="56"/>
      <c r="X50" s="56"/>
      <c r="Y50" s="56"/>
      <c r="Z50" s="56"/>
      <c r="AA50" s="56"/>
      <c r="AB50" s="222"/>
      <c r="AC50" s="56"/>
      <c r="AD50" s="56"/>
      <c r="AE50" s="56"/>
      <c r="AF50" s="56"/>
      <c r="AG50" s="56"/>
      <c r="AH50" s="56"/>
      <c r="AI50" s="290"/>
      <c r="AP50" s="850"/>
      <c r="AR50" s="871"/>
      <c r="AS50" s="15"/>
      <c r="AU50" s="69"/>
      <c r="AV50" s="69"/>
      <c r="AW50" s="69"/>
      <c r="AX50" s="69"/>
      <c r="AZ50" s="15"/>
      <c r="BA50" s="57"/>
      <c r="BB50" s="57"/>
      <c r="BC50" s="57"/>
      <c r="BD50" s="57"/>
      <c r="BE50" s="57"/>
      <c r="BF50" s="57"/>
      <c r="BG50" s="57"/>
      <c r="BH50" s="57"/>
      <c r="BI50" s="213"/>
      <c r="BK50" s="15"/>
      <c r="BL50" s="69"/>
      <c r="BM50" s="69"/>
      <c r="BN50" s="69"/>
      <c r="BO50" s="69"/>
      <c r="BP50" s="69"/>
      <c r="BQ50" s="69"/>
    </row>
    <row r="51" spans="7:89" x14ac:dyDescent="0.25">
      <c r="G51" s="56"/>
      <c r="H51" s="56"/>
      <c r="I51" s="56"/>
      <c r="J51" s="56"/>
      <c r="K51" s="56"/>
      <c r="L51" s="56"/>
      <c r="M51" s="56"/>
      <c r="N51" s="56"/>
      <c r="O51" s="56"/>
      <c r="P51" s="56"/>
      <c r="Q51" s="56"/>
      <c r="R51" s="56"/>
      <c r="S51" s="56"/>
      <c r="T51" s="56"/>
      <c r="U51" s="56"/>
      <c r="V51" s="56"/>
      <c r="W51" s="56"/>
      <c r="X51" s="56"/>
      <c r="Y51" s="56"/>
      <c r="Z51" s="56"/>
      <c r="AA51" s="56"/>
      <c r="AB51" s="222"/>
      <c r="AC51" s="56"/>
      <c r="AD51" s="56"/>
      <c r="AE51" s="56"/>
      <c r="AF51" s="56"/>
      <c r="AG51" s="56"/>
      <c r="AH51" s="56"/>
      <c r="AI51" s="290"/>
      <c r="AS51" s="15"/>
      <c r="AU51" s="69"/>
      <c r="AV51" s="69"/>
      <c r="AW51" s="69"/>
      <c r="AX51" s="69"/>
      <c r="AZ51" s="15"/>
      <c r="BA51" s="57"/>
      <c r="BB51" s="57"/>
      <c r="BC51" s="57"/>
      <c r="BD51" s="57"/>
      <c r="BE51" s="57"/>
      <c r="BF51" s="57"/>
      <c r="BG51" s="57"/>
      <c r="BH51" s="57"/>
      <c r="BI51" s="213"/>
      <c r="BK51" s="15"/>
      <c r="BL51" s="69"/>
      <c r="BM51" s="69"/>
      <c r="BN51" s="69"/>
      <c r="BO51" s="69"/>
      <c r="BP51" s="69"/>
      <c r="BQ51" s="69"/>
    </row>
    <row r="52" spans="7:89" ht="14.45" customHeight="1" x14ac:dyDescent="0.25">
      <c r="G52" s="56"/>
      <c r="H52" s="56"/>
      <c r="I52" s="56"/>
      <c r="J52" s="56"/>
      <c r="K52" s="56"/>
      <c r="L52" s="56"/>
      <c r="M52" s="56"/>
      <c r="N52" s="56"/>
      <c r="O52" s="56"/>
      <c r="P52" s="56"/>
      <c r="Q52" s="56"/>
      <c r="R52" s="56"/>
      <c r="S52" s="56"/>
      <c r="T52" s="56"/>
      <c r="U52" s="56"/>
      <c r="V52" s="56"/>
      <c r="W52" s="56"/>
      <c r="X52" s="56"/>
      <c r="Y52" s="56"/>
      <c r="Z52" s="56"/>
      <c r="AA52" s="56"/>
      <c r="AB52" s="222"/>
      <c r="AC52" s="56"/>
      <c r="AD52" s="56"/>
      <c r="AE52" s="56"/>
      <c r="AF52" s="56"/>
      <c r="AG52" s="56"/>
      <c r="AH52" s="56"/>
      <c r="AI52" s="290"/>
      <c r="AS52" s="15"/>
      <c r="AU52" s="69"/>
      <c r="AV52" s="69"/>
      <c r="AW52" s="69"/>
      <c r="AX52" s="69"/>
      <c r="AZ52" s="15"/>
      <c r="BA52" s="57"/>
      <c r="BB52" s="57"/>
      <c r="BC52" s="57"/>
      <c r="BD52" s="57"/>
      <c r="BE52" s="57"/>
      <c r="BF52" s="57"/>
      <c r="BG52" s="57"/>
      <c r="BH52" s="57"/>
      <c r="BI52" s="213"/>
      <c r="BK52" s="15"/>
      <c r="BL52" s="69"/>
      <c r="BM52" s="69"/>
      <c r="BN52" s="69"/>
      <c r="BO52" s="69"/>
      <c r="BP52" s="69"/>
      <c r="BQ52" s="69"/>
    </row>
    <row r="53" spans="7:89" ht="15" customHeight="1" x14ac:dyDescent="0.25">
      <c r="G53" s="56"/>
      <c r="H53" s="56"/>
      <c r="I53" s="56"/>
      <c r="J53" s="56"/>
      <c r="K53" s="56"/>
      <c r="L53" s="56"/>
      <c r="M53" s="56"/>
      <c r="N53" s="56"/>
      <c r="O53" s="56"/>
      <c r="P53" s="56"/>
      <c r="Q53" s="56"/>
      <c r="R53" s="56"/>
      <c r="S53" s="56"/>
      <c r="T53" s="56"/>
      <c r="U53" s="56"/>
      <c r="V53" s="56"/>
      <c r="W53" s="56"/>
      <c r="X53" s="56"/>
      <c r="Y53" s="56"/>
      <c r="Z53" s="56"/>
      <c r="AA53" s="56"/>
      <c r="AB53" s="222"/>
      <c r="AC53" s="56"/>
      <c r="AD53" s="56"/>
      <c r="AE53" s="56"/>
      <c r="AF53" s="56"/>
      <c r="AG53" s="56"/>
      <c r="AH53" s="56"/>
      <c r="AI53" s="290"/>
      <c r="AS53" s="810"/>
      <c r="AT53" s="810"/>
      <c r="AU53" s="810"/>
      <c r="AV53" s="810"/>
      <c r="AW53" s="810"/>
      <c r="AX53" s="810"/>
      <c r="AZ53" s="15"/>
      <c r="BA53" s="57"/>
      <c r="BB53" s="57"/>
      <c r="BC53" s="57"/>
      <c r="BD53" s="57"/>
      <c r="BE53" s="57"/>
      <c r="BF53" s="57"/>
      <c r="BG53" s="57"/>
      <c r="BH53" s="57"/>
      <c r="BI53" s="213"/>
      <c r="BK53" s="15"/>
      <c r="BL53" s="69"/>
      <c r="BM53" s="69"/>
      <c r="BN53" s="69"/>
      <c r="BO53" s="69"/>
      <c r="BP53" s="69"/>
      <c r="BQ53" s="69"/>
    </row>
    <row r="54" spans="7:89" x14ac:dyDescent="0.25">
      <c r="G54" s="56"/>
      <c r="H54" s="56"/>
      <c r="I54" s="56"/>
      <c r="J54" s="56"/>
      <c r="K54" s="56"/>
      <c r="L54" s="56"/>
      <c r="M54" s="56"/>
      <c r="N54" s="56"/>
      <c r="O54" s="56"/>
      <c r="P54" s="56"/>
      <c r="Q54" s="56"/>
      <c r="R54" s="56"/>
      <c r="S54" s="56"/>
      <c r="T54" s="56"/>
      <c r="U54" s="56"/>
      <c r="V54" s="56"/>
      <c r="W54" s="56"/>
      <c r="X54" s="56"/>
      <c r="Y54" s="56"/>
      <c r="Z54" s="56"/>
      <c r="AA54" s="56"/>
      <c r="AB54" s="222"/>
      <c r="AC54" s="56"/>
      <c r="AD54" s="56"/>
      <c r="AE54" s="56"/>
      <c r="AF54" s="56"/>
      <c r="AG54" s="56"/>
      <c r="AH54" s="56"/>
      <c r="AS54" s="810"/>
      <c r="AT54" s="810"/>
      <c r="AU54" s="810"/>
      <c r="AV54" s="810"/>
      <c r="AW54" s="810"/>
      <c r="AX54" s="810"/>
      <c r="AZ54" s="15"/>
      <c r="BA54" s="57"/>
      <c r="BB54" s="57"/>
      <c r="BC54" s="57"/>
      <c r="BD54" s="57"/>
      <c r="BE54" s="57"/>
      <c r="BF54" s="57"/>
      <c r="BG54" s="57"/>
      <c r="BH54" s="57"/>
      <c r="BI54" s="213"/>
      <c r="BK54" s="15"/>
      <c r="BL54" s="69"/>
      <c r="BM54" s="69"/>
      <c r="BN54" s="69"/>
      <c r="BO54" s="69"/>
      <c r="BP54" s="69"/>
      <c r="BQ54" s="69"/>
    </row>
    <row r="55" spans="7:89" x14ac:dyDescent="0.25">
      <c r="G55" s="56"/>
      <c r="H55" s="56"/>
      <c r="I55" s="56"/>
      <c r="J55" s="56"/>
      <c r="K55" s="56"/>
      <c r="L55" s="56"/>
      <c r="M55" s="56"/>
      <c r="N55" s="56"/>
      <c r="O55" s="56"/>
      <c r="P55" s="56"/>
      <c r="Q55" s="56"/>
      <c r="R55" s="56"/>
      <c r="S55" s="56"/>
      <c r="T55" s="56"/>
      <c r="U55" s="56"/>
      <c r="V55" s="56"/>
      <c r="W55" s="56"/>
      <c r="X55" s="56"/>
      <c r="Y55" s="56"/>
      <c r="Z55" s="56"/>
      <c r="AA55" s="56"/>
      <c r="AB55" s="222"/>
      <c r="AC55" s="56"/>
      <c r="AD55" s="56"/>
      <c r="AE55" s="56"/>
      <c r="AF55" s="56"/>
      <c r="AG55" s="56"/>
      <c r="AH55" s="56"/>
      <c r="AI55" s="290"/>
      <c r="AS55" s="813"/>
      <c r="AT55" s="813"/>
      <c r="AU55" s="813"/>
      <c r="AV55" s="813"/>
      <c r="AW55" s="813"/>
      <c r="AX55" s="813"/>
      <c r="AZ55" s="15"/>
      <c r="BA55" s="15"/>
      <c r="BB55" s="57"/>
      <c r="BC55" s="57"/>
      <c r="BD55" s="57"/>
      <c r="BE55" s="57"/>
      <c r="BF55" s="57"/>
      <c r="BG55" s="57"/>
      <c r="BH55" s="57"/>
      <c r="BI55" s="213"/>
      <c r="BK55" s="15"/>
      <c r="BL55" s="69"/>
      <c r="BM55" s="69"/>
      <c r="BN55" s="69"/>
      <c r="BO55" s="69"/>
      <c r="BP55" s="69"/>
      <c r="BQ55" s="69"/>
    </row>
    <row r="56" spans="7:89" x14ac:dyDescent="0.25">
      <c r="G56" s="56"/>
      <c r="H56" s="56"/>
      <c r="I56" s="56"/>
      <c r="J56" s="56"/>
      <c r="K56" s="56"/>
      <c r="L56" s="56"/>
      <c r="M56" s="56"/>
      <c r="N56" s="56"/>
      <c r="O56" s="56"/>
      <c r="P56" s="56"/>
      <c r="Q56" s="56"/>
      <c r="R56" s="56"/>
      <c r="S56" s="56"/>
      <c r="T56" s="56"/>
      <c r="U56" s="56"/>
      <c r="V56" s="56"/>
      <c r="W56" s="56"/>
      <c r="X56" s="56"/>
      <c r="Y56" s="56"/>
      <c r="Z56" s="56"/>
      <c r="AA56" s="56"/>
      <c r="AB56" s="222"/>
      <c r="AC56" s="56"/>
      <c r="AD56" s="56"/>
      <c r="AE56" s="56"/>
      <c r="AF56" s="56"/>
      <c r="AG56" s="56"/>
      <c r="AH56" s="56"/>
      <c r="AI56" s="290"/>
      <c r="AZ56" s="26"/>
      <c r="BA56" s="26"/>
      <c r="BB56" s="57"/>
      <c r="BC56" s="57"/>
      <c r="BD56" s="57"/>
      <c r="BE56" s="57"/>
      <c r="BF56" s="57"/>
      <c r="BG56" s="57"/>
      <c r="BH56" s="57"/>
      <c r="BI56" s="213"/>
      <c r="BK56" s="15"/>
      <c r="BL56" s="69"/>
      <c r="BM56" s="69"/>
      <c r="BN56" s="69"/>
      <c r="BO56" s="69"/>
      <c r="BP56" s="69"/>
      <c r="BQ56" s="69"/>
    </row>
    <row r="57" spans="7:89" x14ac:dyDescent="0.25">
      <c r="G57" s="56"/>
      <c r="H57" s="56"/>
      <c r="I57" s="56"/>
      <c r="J57" s="56"/>
      <c r="K57" s="56"/>
      <c r="L57" s="56"/>
      <c r="M57" s="56"/>
      <c r="N57" s="56"/>
      <c r="O57" s="56"/>
      <c r="P57" s="56"/>
      <c r="Q57" s="56"/>
      <c r="R57" s="56"/>
      <c r="S57" s="56"/>
      <c r="T57" s="56"/>
      <c r="U57" s="56"/>
      <c r="V57" s="56"/>
      <c r="W57" s="56"/>
      <c r="X57" s="56"/>
      <c r="Y57" s="56"/>
      <c r="Z57" s="56"/>
      <c r="AA57" s="56"/>
      <c r="AB57" s="222"/>
      <c r="AC57" s="56"/>
      <c r="AD57" s="56"/>
      <c r="AE57" s="56"/>
      <c r="AF57" s="56"/>
      <c r="AG57" s="56"/>
      <c r="AH57" s="56"/>
      <c r="AI57" s="290"/>
      <c r="AZ57" s="15"/>
      <c r="BA57" s="57"/>
      <c r="BB57" s="57"/>
      <c r="BC57" s="57"/>
      <c r="BD57" s="57"/>
      <c r="BE57" s="57"/>
      <c r="BF57" s="57"/>
      <c r="BG57" s="57"/>
      <c r="BH57" s="57"/>
      <c r="BI57" s="213"/>
      <c r="BK57" s="15"/>
      <c r="BL57" s="69"/>
      <c r="BM57" s="69"/>
      <c r="BN57" s="69"/>
      <c r="BO57" s="69"/>
      <c r="BP57" s="69"/>
      <c r="BQ57" s="69"/>
    </row>
    <row r="58" spans="7:89" x14ac:dyDescent="0.25">
      <c r="G58" s="56"/>
      <c r="H58" s="56"/>
      <c r="I58" s="56"/>
      <c r="J58" s="56"/>
      <c r="K58" s="56"/>
      <c r="L58" s="56"/>
      <c r="M58" s="56"/>
      <c r="N58" s="56"/>
      <c r="O58" s="56"/>
      <c r="P58" s="56"/>
      <c r="Q58" s="56"/>
      <c r="R58" s="56"/>
      <c r="S58" s="56"/>
      <c r="T58" s="56"/>
      <c r="U58" s="56"/>
      <c r="V58" s="56"/>
      <c r="W58" s="56"/>
      <c r="X58" s="56"/>
      <c r="Y58" s="56"/>
      <c r="Z58" s="56"/>
      <c r="AA58" s="56"/>
      <c r="AB58" s="222"/>
      <c r="AC58" s="56"/>
      <c r="AD58" s="56"/>
      <c r="AE58" s="56"/>
      <c r="AF58" s="56"/>
      <c r="AG58" s="56"/>
      <c r="AH58" s="56"/>
      <c r="AI58" s="290"/>
      <c r="AZ58" s="15"/>
      <c r="BA58" s="57"/>
      <c r="BB58" s="57"/>
      <c r="BC58" s="57"/>
      <c r="BD58" s="57"/>
      <c r="BE58" s="57"/>
      <c r="BF58" s="57"/>
      <c r="BG58" s="57"/>
      <c r="BH58" s="57"/>
      <c r="BI58" s="213"/>
      <c r="BK58" s="811"/>
      <c r="BL58" s="15"/>
      <c r="BM58" s="69"/>
      <c r="BN58" s="69"/>
      <c r="BO58" s="69"/>
      <c r="BP58" s="69"/>
      <c r="BQ58" s="69"/>
      <c r="CD58" s="15"/>
      <c r="CE58" s="57"/>
      <c r="CF58" s="57"/>
      <c r="CG58" s="57"/>
      <c r="CH58" s="57"/>
      <c r="CI58" s="57"/>
      <c r="CJ58" s="57"/>
      <c r="CK58" s="57"/>
    </row>
    <row r="59" spans="7:89" ht="21" x14ac:dyDescent="0.35">
      <c r="G59" s="56"/>
      <c r="H59" s="56"/>
      <c r="I59" s="56"/>
      <c r="J59" s="56"/>
      <c r="K59" s="56"/>
      <c r="L59" s="56"/>
      <c r="M59" s="56"/>
      <c r="N59" s="56"/>
      <c r="O59" s="56"/>
      <c r="P59" s="56"/>
      <c r="Q59" s="56"/>
      <c r="R59" s="56"/>
      <c r="S59" s="56"/>
      <c r="T59" s="56"/>
      <c r="U59" s="56"/>
      <c r="V59" s="56"/>
      <c r="W59" s="56"/>
      <c r="X59" s="56"/>
      <c r="Y59" s="56"/>
      <c r="Z59" s="56"/>
      <c r="AA59" s="56"/>
      <c r="AB59" s="222"/>
      <c r="AC59" s="56"/>
      <c r="AD59" s="56"/>
      <c r="AE59" s="56"/>
      <c r="AF59" s="56"/>
      <c r="AG59" s="56"/>
      <c r="AH59" s="56"/>
      <c r="AI59" s="290"/>
      <c r="AS59" s="808"/>
      <c r="AT59" s="808"/>
      <c r="AU59" s="808"/>
      <c r="AV59" s="808"/>
      <c r="AW59" s="808"/>
      <c r="AZ59" s="15"/>
      <c r="BA59" s="57"/>
      <c r="BB59" s="57"/>
      <c r="BC59" s="57"/>
      <c r="BD59" s="57"/>
      <c r="BE59" s="57"/>
      <c r="BF59" s="57"/>
      <c r="BG59" s="57"/>
      <c r="BH59" s="57"/>
      <c r="BI59" s="213"/>
      <c r="BL59" s="811"/>
      <c r="CD59" s="26"/>
    </row>
    <row r="60" spans="7:89" ht="15.75" x14ac:dyDescent="0.25">
      <c r="G60" s="56"/>
      <c r="H60" s="56"/>
      <c r="I60" s="56"/>
      <c r="J60" s="56"/>
      <c r="K60" s="56"/>
      <c r="L60" s="56"/>
      <c r="M60" s="56"/>
      <c r="N60" s="56"/>
      <c r="O60" s="56"/>
      <c r="P60" s="56"/>
      <c r="Q60" s="56"/>
      <c r="R60" s="56"/>
      <c r="S60" s="56"/>
      <c r="T60" s="56"/>
      <c r="U60" s="56"/>
      <c r="V60" s="56"/>
      <c r="W60" s="56"/>
      <c r="X60" s="56"/>
      <c r="Y60" s="56"/>
      <c r="Z60" s="56"/>
      <c r="AA60" s="56"/>
      <c r="AB60" s="222"/>
      <c r="AC60" s="56"/>
      <c r="AD60" s="56"/>
      <c r="AE60" s="56"/>
      <c r="AF60" s="56"/>
      <c r="AG60" s="56"/>
      <c r="AH60" s="56"/>
      <c r="AI60" s="290"/>
      <c r="AS60" s="154"/>
      <c r="AT60" s="154"/>
      <c r="AU60" s="154"/>
      <c r="AV60" s="154"/>
      <c r="AW60" s="154"/>
      <c r="AZ60" s="15"/>
      <c r="BA60" s="57"/>
      <c r="BB60" s="57"/>
      <c r="BC60" s="57"/>
      <c r="BD60" s="57"/>
      <c r="BE60" s="57"/>
      <c r="BF60" s="57"/>
      <c r="BG60" s="57"/>
      <c r="BH60" s="57"/>
      <c r="BI60" s="213"/>
      <c r="CB60" s="76"/>
      <c r="CD60" s="15"/>
      <c r="CE60" s="57"/>
      <c r="CF60" s="57"/>
      <c r="CG60" s="57"/>
      <c r="CH60" s="57"/>
      <c r="CI60" s="57"/>
      <c r="CJ60" s="57"/>
      <c r="CK60" s="57"/>
    </row>
    <row r="61" spans="7:89" x14ac:dyDescent="0.25">
      <c r="G61" s="56"/>
      <c r="H61" s="56"/>
      <c r="I61" s="56"/>
      <c r="J61" s="56"/>
      <c r="K61" s="56"/>
      <c r="L61" s="56"/>
      <c r="M61" s="56"/>
      <c r="N61" s="56"/>
      <c r="O61" s="56"/>
      <c r="P61" s="56"/>
      <c r="Q61" s="56"/>
      <c r="R61" s="56"/>
      <c r="S61" s="56"/>
      <c r="T61" s="56"/>
      <c r="U61" s="56"/>
      <c r="V61" s="56"/>
      <c r="W61" s="56"/>
      <c r="X61" s="56"/>
      <c r="Y61" s="56"/>
      <c r="Z61" s="56"/>
      <c r="AA61" s="56"/>
      <c r="AB61" s="222"/>
      <c r="AC61" s="56"/>
      <c r="AD61" s="56"/>
      <c r="AE61" s="56"/>
      <c r="AF61" s="56"/>
      <c r="AG61" s="56"/>
      <c r="AH61" s="56"/>
      <c r="AI61" s="290"/>
      <c r="AS61" s="26"/>
      <c r="AT61" s="26"/>
      <c r="AU61" s="26"/>
      <c r="AW61" s="26"/>
      <c r="AZ61" s="15"/>
      <c r="BA61" s="57"/>
      <c r="BB61" s="57"/>
      <c r="BC61" s="57"/>
      <c r="BD61" s="57"/>
      <c r="BE61" s="57"/>
      <c r="BF61" s="57"/>
      <c r="BG61" s="57"/>
      <c r="BH61" s="57"/>
      <c r="BI61" s="213"/>
      <c r="CD61" s="15"/>
      <c r="CE61" s="57"/>
      <c r="CF61" s="57"/>
      <c r="CG61" s="57"/>
      <c r="CH61" s="57"/>
      <c r="CI61" s="57"/>
      <c r="CJ61" s="57"/>
      <c r="CK61" s="57"/>
    </row>
    <row r="62" spans="7:89" x14ac:dyDescent="0.25">
      <c r="G62" s="56"/>
      <c r="H62" s="56"/>
      <c r="I62" s="56"/>
      <c r="J62" s="56"/>
      <c r="K62" s="56"/>
      <c r="L62" s="56"/>
      <c r="M62" s="56"/>
      <c r="N62" s="56"/>
      <c r="O62" s="56"/>
      <c r="P62" s="56"/>
      <c r="Q62" s="56"/>
      <c r="R62" s="56"/>
      <c r="S62" s="56"/>
      <c r="T62" s="56"/>
      <c r="U62" s="56"/>
      <c r="V62" s="56"/>
      <c r="W62" s="56"/>
      <c r="X62" s="56"/>
      <c r="Y62" s="56"/>
      <c r="Z62" s="56"/>
      <c r="AA62" s="56"/>
      <c r="AB62" s="222"/>
      <c r="AC62" s="56"/>
      <c r="AD62" s="56"/>
      <c r="AE62" s="56"/>
      <c r="AF62" s="56"/>
      <c r="AG62" s="56"/>
      <c r="AH62" s="56"/>
      <c r="AI62" s="290"/>
      <c r="AS62" s="26"/>
      <c r="AU62" s="26"/>
      <c r="AV62" s="26"/>
      <c r="AZ62" s="15"/>
      <c r="BA62" s="57"/>
      <c r="BB62" s="57"/>
      <c r="BC62" s="57"/>
      <c r="BD62" s="57"/>
      <c r="BE62" s="57"/>
      <c r="BF62" s="57"/>
      <c r="BG62" s="57"/>
      <c r="BH62" s="57"/>
      <c r="BI62" s="213"/>
      <c r="CD62" s="15"/>
      <c r="CE62" s="57"/>
      <c r="CF62" s="57"/>
      <c r="CG62" s="57"/>
      <c r="CH62" s="57"/>
      <c r="CI62" s="57"/>
      <c r="CJ62" s="57"/>
      <c r="CK62" s="57"/>
    </row>
    <row r="63" spans="7:89" x14ac:dyDescent="0.25">
      <c r="G63" s="56"/>
      <c r="H63" s="56"/>
      <c r="I63" s="56"/>
      <c r="J63" s="56"/>
      <c r="K63" s="56"/>
      <c r="L63" s="56"/>
      <c r="M63" s="56"/>
      <c r="N63" s="56"/>
      <c r="O63" s="56"/>
      <c r="P63" s="56"/>
      <c r="Q63" s="56"/>
      <c r="R63" s="56"/>
      <c r="S63" s="56"/>
      <c r="T63" s="56"/>
      <c r="U63" s="56"/>
      <c r="V63" s="56"/>
      <c r="W63" s="56"/>
      <c r="X63" s="56"/>
      <c r="Y63" s="56"/>
      <c r="Z63" s="56"/>
      <c r="AA63" s="56"/>
      <c r="AB63" s="222"/>
      <c r="AC63" s="56"/>
      <c r="AD63" s="56"/>
      <c r="AE63" s="56"/>
      <c r="AF63" s="56"/>
      <c r="AG63" s="56"/>
      <c r="AH63" s="56"/>
      <c r="AI63" s="290"/>
      <c r="AS63" s="15"/>
      <c r="AU63" s="28"/>
      <c r="AV63" s="28"/>
      <c r="AZ63" s="15"/>
      <c r="BA63" s="57"/>
      <c r="BB63" s="57"/>
      <c r="BC63" s="57"/>
      <c r="BD63" s="57"/>
      <c r="BE63" s="57"/>
      <c r="BF63" s="57"/>
      <c r="BG63" s="57"/>
      <c r="BH63" s="57"/>
      <c r="BI63" s="213"/>
      <c r="CB63" s="76"/>
      <c r="CD63" s="15"/>
      <c r="CE63" s="57"/>
      <c r="CF63" s="57"/>
      <c r="CG63" s="57"/>
      <c r="CH63" s="57"/>
      <c r="CI63" s="57"/>
      <c r="CJ63" s="57"/>
      <c r="CK63" s="57"/>
    </row>
    <row r="64" spans="7:89" x14ac:dyDescent="0.25">
      <c r="G64" s="56"/>
      <c r="H64" s="56"/>
      <c r="I64" s="56"/>
      <c r="J64" s="56"/>
      <c r="K64" s="56"/>
      <c r="L64" s="56"/>
      <c r="M64" s="56"/>
      <c r="N64" s="56"/>
      <c r="O64" s="56"/>
      <c r="P64" s="56"/>
      <c r="Q64" s="56"/>
      <c r="R64" s="56"/>
      <c r="S64" s="56"/>
      <c r="T64" s="56"/>
      <c r="U64" s="56"/>
      <c r="V64" s="56"/>
      <c r="W64" s="56"/>
      <c r="X64" s="56"/>
      <c r="Y64" s="56"/>
      <c r="Z64" s="56"/>
      <c r="AA64" s="56"/>
      <c r="AB64" s="222"/>
      <c r="AC64" s="56"/>
      <c r="AD64" s="56"/>
      <c r="AE64" s="56"/>
      <c r="AF64" s="56"/>
      <c r="AG64" s="56"/>
      <c r="AH64" s="56"/>
      <c r="AI64" s="290"/>
      <c r="AS64" s="15"/>
      <c r="AU64" s="28"/>
      <c r="AV64" s="28"/>
      <c r="AZ64" s="15"/>
      <c r="BA64" s="57"/>
      <c r="BB64" s="57"/>
      <c r="BC64" s="57"/>
      <c r="BD64" s="57"/>
      <c r="BE64" s="57"/>
      <c r="BF64" s="57"/>
      <c r="BG64" s="57"/>
      <c r="BH64" s="57"/>
      <c r="BI64" s="213"/>
      <c r="CD64" s="15"/>
      <c r="CE64" s="57"/>
      <c r="CF64" s="57"/>
      <c r="CG64" s="57"/>
      <c r="CH64" s="57"/>
      <c r="CI64" s="57"/>
      <c r="CJ64" s="57"/>
      <c r="CK64" s="57"/>
    </row>
    <row r="65" spans="7:89" ht="15.6" customHeight="1" x14ac:dyDescent="0.25">
      <c r="G65" s="56"/>
      <c r="H65" s="56"/>
      <c r="I65" s="56"/>
      <c r="J65" s="56"/>
      <c r="K65" s="56"/>
      <c r="L65" s="56"/>
      <c r="M65" s="56"/>
      <c r="N65" s="56"/>
      <c r="O65" s="56"/>
      <c r="P65" s="56"/>
      <c r="Q65" s="56"/>
      <c r="R65" s="56"/>
      <c r="S65" s="56"/>
      <c r="T65" s="56"/>
      <c r="U65" s="56"/>
      <c r="V65" s="56"/>
      <c r="W65" s="56"/>
      <c r="X65" s="56"/>
      <c r="Y65" s="56"/>
      <c r="Z65" s="56"/>
      <c r="AA65" s="56"/>
      <c r="AB65" s="222"/>
      <c r="AC65" s="56"/>
      <c r="AD65" s="56"/>
      <c r="AE65" s="56"/>
      <c r="AF65" s="56"/>
      <c r="AG65" s="56"/>
      <c r="AH65" s="56"/>
      <c r="AI65" s="290"/>
      <c r="AS65" s="26"/>
      <c r="AU65" s="26"/>
      <c r="AV65" s="26"/>
      <c r="AZ65" s="15"/>
      <c r="BA65" s="57"/>
      <c r="BB65" s="57"/>
      <c r="BC65" s="57"/>
      <c r="BD65" s="57"/>
      <c r="BE65" s="57"/>
      <c r="BF65" s="57"/>
      <c r="BG65" s="57"/>
      <c r="BH65" s="57"/>
      <c r="BI65" s="213"/>
      <c r="CD65" s="15"/>
      <c r="CE65" s="57"/>
      <c r="CF65" s="57"/>
      <c r="CG65" s="57"/>
      <c r="CH65" s="57"/>
      <c r="CI65" s="57"/>
      <c r="CJ65" s="57"/>
      <c r="CK65" s="57"/>
    </row>
    <row r="66" spans="7:89" x14ac:dyDescent="0.25">
      <c r="G66" s="56"/>
      <c r="H66" s="56"/>
      <c r="I66" s="56"/>
      <c r="J66" s="56"/>
      <c r="K66" s="56"/>
      <c r="L66" s="56"/>
      <c r="M66" s="56"/>
      <c r="N66" s="56"/>
      <c r="O66" s="56"/>
      <c r="P66" s="56"/>
      <c r="Q66" s="56"/>
      <c r="R66" s="56"/>
      <c r="S66" s="56"/>
      <c r="T66" s="56"/>
      <c r="U66" s="56"/>
      <c r="V66" s="56"/>
      <c r="W66" s="56"/>
      <c r="X66" s="56"/>
      <c r="Y66" s="56"/>
      <c r="Z66" s="56"/>
      <c r="AA66" s="56"/>
      <c r="AB66" s="222"/>
      <c r="AC66" s="56"/>
      <c r="AD66" s="56"/>
      <c r="AE66" s="56"/>
      <c r="AF66" s="56"/>
      <c r="AG66" s="56"/>
      <c r="AH66" s="56"/>
      <c r="AI66" s="290"/>
      <c r="AS66" s="15"/>
      <c r="AU66" s="28"/>
      <c r="AV66" s="28"/>
      <c r="AZ66" s="15"/>
      <c r="BA66" s="57"/>
      <c r="BB66" s="57"/>
      <c r="BC66" s="57"/>
      <c r="BD66" s="57"/>
      <c r="BE66" s="57"/>
      <c r="BF66" s="57"/>
      <c r="BG66" s="57"/>
      <c r="BH66" s="57"/>
      <c r="BI66" s="213"/>
    </row>
    <row r="67" spans="7:89" x14ac:dyDescent="0.25">
      <c r="G67" s="56"/>
      <c r="H67" s="56"/>
      <c r="I67" s="56"/>
      <c r="J67" s="56"/>
      <c r="K67" s="56"/>
      <c r="L67" s="56"/>
      <c r="M67" s="56"/>
      <c r="N67" s="56"/>
      <c r="O67" s="56"/>
      <c r="P67" s="56"/>
      <c r="Q67" s="56"/>
      <c r="R67" s="56"/>
      <c r="S67" s="56"/>
      <c r="T67" s="56"/>
      <c r="U67" s="56"/>
      <c r="V67" s="56"/>
      <c r="W67" s="56"/>
      <c r="X67" s="56"/>
      <c r="Y67" s="56"/>
      <c r="Z67" s="56"/>
      <c r="AA67" s="56"/>
      <c r="AB67" s="222"/>
      <c r="AC67" s="56"/>
      <c r="AD67" s="56"/>
      <c r="AE67" s="56"/>
      <c r="AF67" s="56"/>
      <c r="AG67" s="56"/>
      <c r="AH67" s="56"/>
      <c r="AI67" s="290"/>
      <c r="AS67" s="15"/>
      <c r="AU67" s="28"/>
      <c r="AV67" s="28"/>
      <c r="AZ67" s="15"/>
      <c r="BA67" s="57"/>
      <c r="BB67" s="57"/>
      <c r="BC67" s="57"/>
      <c r="BD67" s="57"/>
      <c r="BE67" s="57"/>
      <c r="BF67" s="57"/>
      <c r="BG67" s="57"/>
      <c r="BH67" s="57"/>
      <c r="BI67" s="213"/>
    </row>
    <row r="68" spans="7:89" ht="15.75" x14ac:dyDescent="0.25">
      <c r="G68" s="56"/>
      <c r="H68" s="56"/>
      <c r="I68" s="56"/>
      <c r="J68" s="56"/>
      <c r="K68" s="56"/>
      <c r="L68" s="56"/>
      <c r="M68" s="56"/>
      <c r="N68" s="56"/>
      <c r="O68" s="56"/>
      <c r="P68" s="56"/>
      <c r="Q68" s="56"/>
      <c r="R68" s="56"/>
      <c r="S68" s="56"/>
      <c r="T68" s="56"/>
      <c r="U68" s="56"/>
      <c r="V68" s="56"/>
      <c r="W68" s="56"/>
      <c r="X68" s="56"/>
      <c r="Y68" s="56"/>
      <c r="Z68" s="56"/>
      <c r="AA68" s="56"/>
      <c r="AB68" s="222"/>
      <c r="AC68" s="56"/>
      <c r="AD68" s="56"/>
      <c r="AE68" s="56"/>
      <c r="AF68" s="56"/>
      <c r="AG68" s="56"/>
      <c r="AH68" s="56"/>
      <c r="AI68" s="290"/>
      <c r="AS68" s="15"/>
      <c r="AU68" s="28"/>
      <c r="AV68" s="28"/>
      <c r="AZ68" s="58"/>
      <c r="BA68" s="15"/>
      <c r="BB68" s="57"/>
      <c r="BC68" s="57"/>
      <c r="BD68" s="57"/>
      <c r="BE68" s="57"/>
      <c r="BF68" s="57"/>
      <c r="BG68" s="57"/>
      <c r="BH68" s="57"/>
      <c r="BI68" s="109"/>
      <c r="CD68" s="812"/>
      <c r="CE68" s="807"/>
      <c r="CF68" s="807"/>
      <c r="CG68" s="807"/>
      <c r="CH68" s="807"/>
      <c r="CI68" s="807"/>
      <c r="CJ68" s="807"/>
      <c r="CK68" s="807"/>
    </row>
    <row r="69" spans="7:89" x14ac:dyDescent="0.25">
      <c r="G69" s="56"/>
      <c r="H69" s="56"/>
      <c r="I69" s="56"/>
      <c r="J69" s="56"/>
      <c r="K69" s="56"/>
      <c r="L69" s="56"/>
      <c r="M69" s="56"/>
      <c r="N69" s="56"/>
      <c r="O69" s="56"/>
      <c r="P69" s="56"/>
      <c r="Q69" s="56"/>
      <c r="R69" s="56"/>
      <c r="S69" s="56"/>
      <c r="T69" s="56"/>
      <c r="U69" s="56"/>
      <c r="V69" s="56"/>
      <c r="W69" s="56"/>
      <c r="X69" s="56"/>
      <c r="Y69" s="56"/>
      <c r="Z69" s="56"/>
      <c r="AA69" s="56"/>
      <c r="AB69" s="222"/>
      <c r="AC69" s="56"/>
      <c r="AD69" s="56"/>
      <c r="AE69" s="56"/>
      <c r="AF69" s="56"/>
      <c r="AG69" s="56"/>
      <c r="AH69" s="56"/>
      <c r="AI69" s="290"/>
      <c r="AS69" s="26"/>
      <c r="AU69" s="26"/>
      <c r="AW69" s="26"/>
      <c r="BA69" s="58"/>
      <c r="CD69" s="26"/>
      <c r="CE69" s="26"/>
      <c r="CF69" s="26"/>
      <c r="CG69" s="26"/>
      <c r="CH69" s="26"/>
      <c r="CI69" s="26"/>
      <c r="CJ69" s="26"/>
      <c r="CK69" s="26"/>
    </row>
    <row r="70" spans="7:89" x14ac:dyDescent="0.25">
      <c r="G70" s="56"/>
      <c r="H70" s="56"/>
      <c r="I70" s="56"/>
      <c r="J70" s="56"/>
      <c r="K70" s="56"/>
      <c r="L70" s="56"/>
      <c r="M70" s="56"/>
      <c r="N70" s="56"/>
      <c r="O70" s="56"/>
      <c r="P70" s="56"/>
      <c r="Q70" s="56"/>
      <c r="R70" s="56"/>
      <c r="S70" s="56"/>
      <c r="T70" s="56"/>
      <c r="U70" s="56"/>
      <c r="V70" s="56"/>
      <c r="W70" s="56"/>
      <c r="X70" s="56"/>
      <c r="Y70" s="56"/>
      <c r="Z70" s="56"/>
      <c r="AA70" s="56"/>
      <c r="AB70" s="222"/>
      <c r="AC70" s="56"/>
      <c r="AD70" s="56"/>
      <c r="AE70" s="56"/>
      <c r="AF70" s="56"/>
      <c r="AG70" s="56"/>
      <c r="AH70" s="56"/>
      <c r="AI70" s="290"/>
      <c r="AS70" s="15"/>
      <c r="AW70" s="816"/>
      <c r="CD70" s="26"/>
      <c r="CE70" s="57"/>
      <c r="CF70" s="57"/>
      <c r="CG70" s="57"/>
      <c r="CH70" s="57"/>
      <c r="CI70" s="57"/>
      <c r="CJ70" s="57"/>
      <c r="CK70" s="57"/>
    </row>
    <row r="71" spans="7:89" x14ac:dyDescent="0.25">
      <c r="G71" s="56"/>
      <c r="H71" s="56"/>
      <c r="I71" s="56"/>
      <c r="J71" s="56"/>
      <c r="K71" s="56"/>
      <c r="L71" s="56"/>
      <c r="M71" s="56"/>
      <c r="N71" s="56"/>
      <c r="O71" s="56"/>
      <c r="P71" s="56"/>
      <c r="Q71" s="56"/>
      <c r="R71" s="56"/>
      <c r="S71" s="56"/>
      <c r="T71" s="56"/>
      <c r="U71" s="56"/>
      <c r="V71" s="56"/>
      <c r="W71" s="56"/>
      <c r="X71" s="56"/>
      <c r="Y71" s="56"/>
      <c r="Z71" s="56"/>
      <c r="AA71" s="56"/>
      <c r="AB71" s="222"/>
      <c r="AC71" s="56"/>
      <c r="AD71" s="56"/>
      <c r="AE71" s="56"/>
      <c r="AF71" s="56"/>
      <c r="AG71" s="56"/>
      <c r="AH71" s="56"/>
      <c r="AI71" s="290"/>
      <c r="AS71" s="15"/>
      <c r="AU71" s="28"/>
      <c r="AV71" s="213"/>
      <c r="AW71" s="816"/>
      <c r="AZ71" s="817"/>
      <c r="BA71" s="814"/>
      <c r="CD71" s="26"/>
      <c r="CE71" s="57"/>
      <c r="CF71" s="57"/>
      <c r="CG71" s="57"/>
      <c r="CH71" s="57"/>
      <c r="CI71" s="57"/>
      <c r="CJ71" s="57"/>
      <c r="CK71" s="57"/>
    </row>
    <row r="72" spans="7:89" ht="15.75" x14ac:dyDescent="0.25">
      <c r="G72" s="56"/>
      <c r="H72" s="56"/>
      <c r="I72" s="56"/>
      <c r="J72" s="56"/>
      <c r="K72" s="56"/>
      <c r="L72" s="56"/>
      <c r="M72" s="56"/>
      <c r="N72" s="56"/>
      <c r="O72" s="56"/>
      <c r="P72" s="56"/>
      <c r="Q72" s="56"/>
      <c r="R72" s="56"/>
      <c r="S72" s="56"/>
      <c r="T72" s="56"/>
      <c r="U72" s="56"/>
      <c r="V72" s="56"/>
      <c r="W72" s="56"/>
      <c r="X72" s="56"/>
      <c r="Y72" s="56"/>
      <c r="Z72" s="56"/>
      <c r="AA72" s="56"/>
      <c r="AB72" s="222"/>
      <c r="AC72" s="56"/>
      <c r="AD72" s="56"/>
      <c r="AE72" s="56"/>
      <c r="AF72" s="56"/>
      <c r="AG72" s="56"/>
      <c r="AH72" s="56"/>
      <c r="AI72" s="290"/>
      <c r="AS72" s="15"/>
      <c r="AU72" s="28"/>
      <c r="AW72" s="816"/>
      <c r="AZ72" s="26"/>
      <c r="BA72" s="26"/>
      <c r="BB72" s="26"/>
      <c r="BC72" s="26"/>
      <c r="BD72" s="26"/>
      <c r="BE72" s="26"/>
      <c r="CD72" s="812"/>
      <c r="CE72" s="807"/>
      <c r="CF72" s="807"/>
      <c r="CG72" s="807"/>
      <c r="CH72" s="807"/>
      <c r="CI72" s="807"/>
      <c r="CJ72" s="807"/>
      <c r="CK72" s="807"/>
    </row>
    <row r="73" spans="7:89" x14ac:dyDescent="0.25">
      <c r="G73" s="56"/>
      <c r="H73" s="56"/>
      <c r="I73" s="56"/>
      <c r="J73" s="56"/>
      <c r="K73" s="56"/>
      <c r="L73" s="56"/>
      <c r="M73" s="56"/>
      <c r="N73" s="56"/>
      <c r="O73" s="56"/>
      <c r="P73" s="56"/>
      <c r="Q73" s="56"/>
      <c r="R73" s="56"/>
      <c r="S73" s="56"/>
      <c r="T73" s="56"/>
      <c r="U73" s="56"/>
      <c r="V73" s="56"/>
      <c r="W73" s="56"/>
      <c r="X73" s="56"/>
      <c r="Y73" s="56"/>
      <c r="Z73" s="56"/>
      <c r="AA73" s="56"/>
      <c r="AB73" s="222"/>
      <c r="AC73" s="56"/>
      <c r="AD73" s="56"/>
      <c r="AE73" s="56"/>
      <c r="AF73" s="56"/>
      <c r="AG73" s="56"/>
      <c r="AH73" s="56"/>
      <c r="AI73" s="290"/>
      <c r="AS73" s="15"/>
      <c r="AU73" s="28"/>
      <c r="AW73" s="816"/>
      <c r="BB73" s="57"/>
      <c r="BC73" s="57"/>
      <c r="BD73" s="57"/>
      <c r="BE73" s="57"/>
      <c r="CD73" s="26"/>
      <c r="CE73" s="26"/>
      <c r="CF73" s="26"/>
      <c r="CG73" s="26"/>
      <c r="CH73" s="26"/>
      <c r="CI73" s="26"/>
      <c r="CJ73" s="26"/>
      <c r="CK73" s="26"/>
    </row>
    <row r="74" spans="7:89" x14ac:dyDescent="0.25">
      <c r="G74" s="56"/>
      <c r="H74" s="56"/>
      <c r="I74" s="56"/>
      <c r="J74" s="56"/>
      <c r="K74" s="56"/>
      <c r="L74" s="56"/>
      <c r="M74" s="56"/>
      <c r="N74" s="56"/>
      <c r="O74" s="56"/>
      <c r="P74" s="56"/>
      <c r="Q74" s="56"/>
      <c r="R74" s="56"/>
      <c r="S74" s="56"/>
      <c r="T74" s="56"/>
      <c r="U74" s="56"/>
      <c r="V74" s="56"/>
      <c r="W74" s="56"/>
      <c r="X74" s="56"/>
      <c r="Y74" s="56"/>
      <c r="Z74" s="56"/>
      <c r="AA74" s="56"/>
      <c r="AB74" s="222"/>
      <c r="AC74" s="56"/>
      <c r="AD74" s="56"/>
      <c r="AE74" s="56"/>
      <c r="AF74" s="56"/>
      <c r="AG74" s="56"/>
      <c r="AH74" s="56"/>
      <c r="AI74" s="290"/>
      <c r="AS74" s="15"/>
      <c r="AU74" s="28"/>
      <c r="AW74" s="816"/>
      <c r="BB74" s="57"/>
      <c r="BC74" s="57"/>
      <c r="BD74" s="57"/>
      <c r="BE74" s="57"/>
      <c r="CD74" s="26"/>
      <c r="CE74" s="57"/>
      <c r="CF74" s="57"/>
      <c r="CG74" s="57"/>
      <c r="CH74" s="57"/>
      <c r="CI74" s="57"/>
      <c r="CJ74" s="57"/>
      <c r="CK74" s="57"/>
    </row>
    <row r="75" spans="7:89" ht="14.45" customHeight="1" x14ac:dyDescent="0.25">
      <c r="AB75" s="222"/>
      <c r="AC75" s="56"/>
      <c r="AD75" s="56"/>
      <c r="AE75" s="56"/>
      <c r="AF75" s="56"/>
      <c r="AG75" s="56"/>
      <c r="AH75" s="56"/>
      <c r="AI75" s="290"/>
      <c r="AS75" s="15"/>
      <c r="AU75" s="28"/>
      <c r="AW75" s="816"/>
      <c r="BB75" s="57"/>
      <c r="BC75" s="57"/>
      <c r="BD75" s="57"/>
      <c r="BE75" s="57"/>
    </row>
    <row r="76" spans="7:89" ht="14.45" customHeight="1" x14ac:dyDescent="0.25">
      <c r="AB76" s="222"/>
      <c r="AC76" s="56"/>
      <c r="AD76" s="56"/>
      <c r="AE76" s="56"/>
      <c r="AF76" s="56"/>
      <c r="AG76" s="56"/>
      <c r="AH76" s="56"/>
      <c r="AI76" s="290"/>
      <c r="AU76" s="28"/>
      <c r="BB76" s="57"/>
      <c r="BC76" s="57"/>
      <c r="BD76" s="57"/>
      <c r="BE76" s="57"/>
      <c r="CD76" s="26"/>
    </row>
    <row r="77" spans="7:89" x14ac:dyDescent="0.25">
      <c r="AB77" s="222"/>
      <c r="AC77" s="56"/>
      <c r="AD77" s="56"/>
      <c r="AE77" s="56"/>
      <c r="AF77" s="56"/>
      <c r="AG77" s="56"/>
      <c r="AH77" s="56"/>
      <c r="AI77" s="290"/>
      <c r="AS77" s="848"/>
      <c r="AT77" s="848"/>
      <c r="AU77" s="848"/>
      <c r="BB77" s="57"/>
      <c r="BC77" s="57"/>
      <c r="BD77" s="57"/>
      <c r="BE77" s="57"/>
      <c r="CD77" s="26"/>
      <c r="CE77" s="26"/>
      <c r="CF77" s="26"/>
      <c r="CG77" s="26"/>
      <c r="CH77" s="26"/>
      <c r="CI77" s="26"/>
      <c r="CJ77" s="26"/>
      <c r="CK77" s="26"/>
    </row>
    <row r="78" spans="7:89" x14ac:dyDescent="0.25">
      <c r="AB78" s="222"/>
      <c r="AC78" s="56"/>
      <c r="AD78" s="56"/>
      <c r="AE78" s="56"/>
      <c r="AF78" s="56"/>
      <c r="AG78" s="56"/>
      <c r="AH78" s="56"/>
      <c r="AI78" s="290"/>
      <c r="AS78" s="26"/>
      <c r="AT78" s="26"/>
      <c r="AU78" s="26"/>
      <c r="BB78" s="57"/>
      <c r="BC78" s="57"/>
      <c r="BD78" s="57"/>
      <c r="BE78" s="57"/>
      <c r="CE78" s="57"/>
      <c r="CF78" s="57"/>
      <c r="CG78" s="57"/>
      <c r="CH78" s="57"/>
      <c r="CI78" s="57"/>
      <c r="CJ78" s="57"/>
      <c r="CK78" s="57"/>
    </row>
    <row r="79" spans="7:89" ht="21" x14ac:dyDescent="0.35">
      <c r="AS79" s="26"/>
      <c r="BI79" s="875"/>
      <c r="BJ79" s="875"/>
      <c r="BK79" s="875"/>
      <c r="BL79" s="875"/>
      <c r="BM79" s="875"/>
      <c r="BN79" s="875"/>
      <c r="BO79" s="875"/>
      <c r="BP79" s="875"/>
      <c r="BQ79" s="875"/>
      <c r="CE79" s="57"/>
      <c r="CF79" s="57"/>
      <c r="CG79" s="57"/>
      <c r="CH79" s="57"/>
      <c r="CI79" s="57"/>
      <c r="CJ79" s="57"/>
      <c r="CK79" s="57"/>
    </row>
    <row r="80" spans="7:89" x14ac:dyDescent="0.25">
      <c r="AS80" s="15"/>
      <c r="AU80" s="816"/>
      <c r="AZ80" s="26"/>
      <c r="BA80" s="26"/>
      <c r="BI80" s="26"/>
      <c r="CE80" s="57"/>
      <c r="CF80" s="57"/>
      <c r="CG80" s="57"/>
      <c r="CH80" s="57"/>
      <c r="CI80" s="57"/>
      <c r="CJ80" s="57"/>
      <c r="CK80" s="57"/>
    </row>
    <row r="81" spans="28:89" x14ac:dyDescent="0.25">
      <c r="AS81" s="15"/>
      <c r="AU81" s="816"/>
      <c r="AZ81" s="26"/>
      <c r="BA81" s="26"/>
      <c r="BB81" s="26"/>
      <c r="BC81" s="26"/>
      <c r="BD81" s="26"/>
      <c r="BE81" s="26"/>
      <c r="BF81" s="26"/>
      <c r="BG81" s="26"/>
      <c r="BI81" s="26"/>
      <c r="BJ81" s="809"/>
      <c r="BK81" s="26"/>
      <c r="BL81" s="26"/>
      <c r="BM81" s="26"/>
      <c r="BN81" s="26"/>
      <c r="BO81" s="26"/>
      <c r="BP81" s="26"/>
      <c r="BQ81" s="26"/>
      <c r="CE81" s="57"/>
      <c r="CF81" s="57"/>
      <c r="CG81" s="57"/>
      <c r="CH81" s="57"/>
      <c r="CI81" s="57"/>
      <c r="CJ81" s="57"/>
      <c r="CK81" s="57"/>
    </row>
    <row r="82" spans="28:89" x14ac:dyDescent="0.25">
      <c r="BA82" s="76"/>
      <c r="BB82" s="69"/>
      <c r="BC82" s="69"/>
      <c r="BD82" s="76"/>
      <c r="BE82" s="69"/>
      <c r="BF82" s="69"/>
      <c r="BG82" s="76"/>
      <c r="BJ82" s="57"/>
      <c r="BK82" s="57"/>
      <c r="BL82" s="57"/>
      <c r="BM82" s="57"/>
      <c r="BN82" s="57"/>
      <c r="BO82" s="57"/>
      <c r="BP82" s="57"/>
      <c r="BQ82" s="57"/>
      <c r="CD82" s="58"/>
    </row>
    <row r="83" spans="28:89" x14ac:dyDescent="0.25">
      <c r="BA83" s="76"/>
      <c r="BB83" s="69"/>
      <c r="BC83" s="69"/>
      <c r="BD83" s="76"/>
      <c r="BE83" s="69"/>
      <c r="BF83" s="69"/>
      <c r="BG83" s="76"/>
      <c r="BJ83" s="57"/>
      <c r="BK83" s="57"/>
      <c r="BL83" s="57"/>
      <c r="BM83" s="57"/>
      <c r="BN83" s="57"/>
      <c r="BO83" s="57"/>
      <c r="BP83" s="57"/>
      <c r="BQ83" s="57"/>
    </row>
    <row r="85" spans="28:89" x14ac:dyDescent="0.25">
      <c r="AB85" s="222"/>
      <c r="AC85" s="56"/>
      <c r="AD85" s="56"/>
      <c r="AE85" s="56"/>
      <c r="AF85" s="56"/>
      <c r="AG85" s="56"/>
      <c r="AH85" s="56"/>
      <c r="AI85" s="290"/>
    </row>
    <row r="86" spans="28:89" x14ac:dyDescent="0.25">
      <c r="AB86" s="222"/>
      <c r="AC86" s="56"/>
      <c r="AD86" s="56"/>
      <c r="AE86" s="56"/>
      <c r="AF86" s="56"/>
      <c r="AG86" s="56"/>
      <c r="AH86" s="56"/>
      <c r="AI86" s="290"/>
    </row>
    <row r="87" spans="28:89" x14ac:dyDescent="0.25">
      <c r="AB87" s="222"/>
      <c r="AC87" s="56"/>
      <c r="AD87" s="56"/>
      <c r="AE87" s="56"/>
      <c r="AF87" s="56"/>
      <c r="AG87" s="56"/>
      <c r="AH87" s="56"/>
      <c r="AI87" s="290"/>
    </row>
    <row r="88" spans="28:89" x14ac:dyDescent="0.25">
      <c r="AB88" s="222"/>
      <c r="AC88" s="56"/>
      <c r="AD88" s="56"/>
      <c r="AE88" s="56"/>
      <c r="AF88" s="56"/>
      <c r="AG88" s="56"/>
      <c r="AH88" s="56"/>
      <c r="AI88" s="290"/>
    </row>
    <row r="89" spans="28:89" x14ac:dyDescent="0.25">
      <c r="AB89" s="222"/>
      <c r="AC89" s="56"/>
      <c r="AD89" s="56"/>
      <c r="AE89" s="56"/>
      <c r="AF89" s="56"/>
      <c r="AG89" s="56"/>
      <c r="AH89" s="56"/>
      <c r="AI89" s="290"/>
    </row>
    <row r="90" spans="28:89" x14ac:dyDescent="0.25">
      <c r="AB90" s="222"/>
      <c r="AC90" s="56"/>
      <c r="AD90" s="56"/>
      <c r="AE90" s="56"/>
      <c r="AF90" s="56"/>
      <c r="AG90" s="56"/>
      <c r="AH90" s="56"/>
      <c r="AI90" s="290"/>
    </row>
    <row r="91" spans="28:89" x14ac:dyDescent="0.25">
      <c r="AB91" s="222"/>
      <c r="AC91" s="56"/>
      <c r="AD91" s="56"/>
      <c r="AE91" s="56"/>
      <c r="AF91" s="56"/>
      <c r="AG91" s="56"/>
      <c r="AH91" s="56"/>
      <c r="AI91" s="290"/>
    </row>
    <row r="92" spans="28:89" x14ac:dyDescent="0.25">
      <c r="AB92" s="222"/>
      <c r="AC92" s="56"/>
      <c r="AD92" s="56"/>
      <c r="AE92" s="56"/>
      <c r="AF92" s="56"/>
      <c r="AG92" s="56"/>
      <c r="AH92" s="56"/>
      <c r="AI92" s="290"/>
    </row>
    <row r="93" spans="28:89" x14ac:dyDescent="0.25">
      <c r="AB93" s="222"/>
      <c r="AC93" s="56"/>
      <c r="AD93" s="56"/>
      <c r="AE93" s="56"/>
      <c r="AF93" s="56"/>
      <c r="AG93" s="56"/>
      <c r="AH93" s="56"/>
      <c r="AI93" s="290"/>
    </row>
    <row r="94" spans="28:89" x14ac:dyDescent="0.25">
      <c r="AB94" s="222"/>
      <c r="AC94" s="56"/>
      <c r="AD94" s="56"/>
      <c r="AE94" s="56"/>
      <c r="AF94" s="56"/>
      <c r="AG94" s="56"/>
      <c r="AH94" s="56"/>
      <c r="AI94" s="290"/>
    </row>
    <row r="95" spans="28:89" x14ac:dyDescent="0.25">
      <c r="AB95" s="222"/>
      <c r="AC95" s="56"/>
      <c r="AD95" s="56"/>
      <c r="AE95" s="56"/>
      <c r="AF95" s="56"/>
      <c r="AG95" s="56"/>
      <c r="AH95" s="56"/>
      <c r="AI95" s="290"/>
    </row>
    <row r="96" spans="28:89" x14ac:dyDescent="0.25">
      <c r="AB96" s="222"/>
      <c r="AC96" s="56"/>
      <c r="AD96" s="56"/>
      <c r="AE96" s="56"/>
      <c r="AF96" s="56"/>
      <c r="AG96" s="56"/>
      <c r="AH96" s="56"/>
      <c r="AI96" s="290"/>
    </row>
    <row r="97" spans="28:65" x14ac:dyDescent="0.25">
      <c r="AB97" s="222"/>
      <c r="AC97" s="56"/>
      <c r="AD97" s="56"/>
      <c r="AE97" s="56"/>
      <c r="AF97" s="56"/>
      <c r="AG97" s="56"/>
      <c r="AH97" s="56"/>
      <c r="AI97" s="290"/>
    </row>
    <row r="98" spans="28:65" x14ac:dyDescent="0.25">
      <c r="AB98" s="222"/>
      <c r="AC98" s="56"/>
      <c r="AD98" s="56"/>
      <c r="AE98" s="56"/>
      <c r="AF98" s="56"/>
      <c r="AG98" s="56"/>
      <c r="AH98" s="56"/>
      <c r="AI98" s="290"/>
    </row>
    <row r="99" spans="28:65" x14ac:dyDescent="0.25">
      <c r="AB99" s="222"/>
      <c r="AC99" s="56"/>
      <c r="AD99" s="56"/>
      <c r="AE99" s="56"/>
      <c r="AF99" s="56"/>
      <c r="AG99" s="56"/>
      <c r="AH99" s="56"/>
      <c r="AI99" s="290"/>
      <c r="AY99" s="26"/>
      <c r="AZ99" s="26"/>
      <c r="BA99" s="26"/>
      <c r="BB99" s="26"/>
      <c r="BC99" s="26"/>
      <c r="BD99" s="26"/>
      <c r="BE99" s="26"/>
      <c r="BF99" s="26"/>
      <c r="BG99" s="26"/>
      <c r="BH99" s="26"/>
    </row>
    <row r="100" spans="28:65" ht="15.75" x14ac:dyDescent="0.25">
      <c r="AB100" s="222"/>
      <c r="AC100" s="56"/>
      <c r="AD100" s="56"/>
      <c r="AE100" s="56"/>
      <c r="AF100" s="56"/>
      <c r="AG100" s="56"/>
      <c r="AH100" s="56"/>
      <c r="AI100" s="290"/>
      <c r="AS100" s="818"/>
      <c r="AT100" s="818"/>
      <c r="AU100" s="818"/>
      <c r="AV100" s="818"/>
      <c r="AW100" s="818"/>
      <c r="AX100" s="818"/>
      <c r="AY100" s="818"/>
      <c r="AZ100" s="818"/>
      <c r="BA100" s="818"/>
      <c r="BB100" s="818"/>
      <c r="BC100" s="56"/>
      <c r="BD100" s="56"/>
      <c r="BE100" s="56"/>
      <c r="BF100" s="56"/>
      <c r="BG100" s="56"/>
      <c r="BH100" s="56"/>
      <c r="BI100" s="56"/>
      <c r="BM100" s="56"/>
    </row>
    <row r="101" spans="28:65" x14ac:dyDescent="0.25">
      <c r="AB101" s="222"/>
      <c r="AC101" s="56"/>
      <c r="AD101" s="56"/>
      <c r="AE101" s="56"/>
      <c r="AF101" s="56"/>
      <c r="AG101" s="56"/>
      <c r="AH101" s="56"/>
      <c r="AI101" s="290"/>
      <c r="AS101" s="26"/>
      <c r="AT101" s="809"/>
      <c r="AU101" s="809"/>
      <c r="AV101" s="809"/>
      <c r="AW101" s="809"/>
      <c r="AX101" s="809"/>
      <c r="AY101" s="56"/>
      <c r="AZ101" s="26"/>
      <c r="BA101" s="56"/>
      <c r="BC101" s="56"/>
      <c r="BD101" s="56"/>
      <c r="BE101" s="56"/>
      <c r="BF101" s="56"/>
      <c r="BG101" s="56"/>
      <c r="BH101" s="56"/>
      <c r="BI101" s="56"/>
      <c r="BJ101" s="56"/>
      <c r="BK101" s="56"/>
      <c r="BL101" s="56"/>
      <c r="BM101" s="56"/>
    </row>
    <row r="102" spans="28:65" x14ac:dyDescent="0.25">
      <c r="AB102" s="222"/>
      <c r="AC102" s="56"/>
      <c r="AD102" s="56"/>
      <c r="AE102" s="56"/>
      <c r="AF102" s="56"/>
      <c r="AG102" s="56"/>
      <c r="AH102" s="56"/>
      <c r="AI102" s="290"/>
      <c r="AT102" s="56"/>
      <c r="AU102" s="56"/>
      <c r="AV102" s="56"/>
      <c r="AW102" s="56"/>
      <c r="AX102" s="56"/>
      <c r="BA102" s="57"/>
    </row>
    <row r="103" spans="28:65" x14ac:dyDescent="0.25">
      <c r="AB103" s="222"/>
      <c r="AC103" s="56"/>
      <c r="AD103" s="56"/>
      <c r="AE103" s="56"/>
      <c r="AF103" s="56"/>
      <c r="AG103" s="56"/>
      <c r="AH103" s="56"/>
      <c r="AI103" s="290"/>
      <c r="AT103" s="56"/>
      <c r="AU103" s="56"/>
      <c r="AV103" s="56"/>
      <c r="AW103" s="56"/>
      <c r="AX103" s="56"/>
      <c r="BA103" s="57"/>
    </row>
    <row r="104" spans="28:65" x14ac:dyDescent="0.25">
      <c r="AB104" s="222"/>
      <c r="AC104" s="56"/>
      <c r="AD104" s="56"/>
      <c r="AE104" s="56"/>
      <c r="AF104" s="56"/>
      <c r="AG104" s="56"/>
      <c r="AH104" s="56"/>
      <c r="AI104" s="290"/>
      <c r="AT104" s="56"/>
      <c r="AU104" s="56"/>
      <c r="AV104" s="56"/>
      <c r="AW104" s="56"/>
      <c r="AX104" s="56"/>
      <c r="AY104" s="26"/>
      <c r="BA104" s="57"/>
    </row>
    <row r="105" spans="28:65" x14ac:dyDescent="0.25">
      <c r="AB105" s="222"/>
      <c r="AC105" s="56"/>
      <c r="AD105" s="56"/>
      <c r="AE105" s="56"/>
      <c r="AF105" s="56"/>
      <c r="AG105" s="56"/>
      <c r="AH105" s="56"/>
      <c r="AI105" s="290"/>
      <c r="AT105" s="56"/>
      <c r="AU105" s="56"/>
      <c r="AV105" s="56"/>
      <c r="AW105" s="56"/>
      <c r="AX105" s="56"/>
      <c r="AY105" s="76"/>
      <c r="BA105" s="57"/>
      <c r="BC105" s="26"/>
      <c r="BD105" s="26"/>
      <c r="BE105" s="26"/>
      <c r="BF105" s="26"/>
      <c r="BG105" s="26"/>
      <c r="BH105" s="26"/>
    </row>
    <row r="106" spans="28:65" x14ac:dyDescent="0.25">
      <c r="AB106" s="222"/>
      <c r="AC106" s="56"/>
      <c r="AD106" s="56"/>
      <c r="AE106" s="56"/>
      <c r="AF106" s="56"/>
      <c r="AG106" s="56"/>
      <c r="AH106" s="56"/>
      <c r="AI106" s="290"/>
      <c r="BC106" s="76"/>
      <c r="BD106" s="76"/>
      <c r="BE106" s="76"/>
      <c r="BF106" s="76"/>
      <c r="BG106" s="76"/>
      <c r="BH106" s="76"/>
    </row>
    <row r="107" spans="28:65" x14ac:dyDescent="0.25">
      <c r="AB107" s="222"/>
      <c r="AC107" s="56"/>
      <c r="AD107" s="56"/>
      <c r="AE107" s="56"/>
      <c r="AF107" s="56"/>
      <c r="AG107" s="56"/>
      <c r="AH107" s="56"/>
      <c r="AI107" s="290"/>
      <c r="AS107" s="26"/>
      <c r="AT107" s="26"/>
      <c r="AU107" s="26"/>
      <c r="AV107" s="26"/>
      <c r="AW107" s="26"/>
      <c r="AX107" s="26"/>
      <c r="AY107" s="76"/>
      <c r="AZ107" s="76"/>
      <c r="BA107" s="76"/>
      <c r="BB107" s="76"/>
      <c r="BC107" s="76"/>
      <c r="BD107" s="76"/>
      <c r="BE107" s="76"/>
      <c r="BF107" s="76"/>
      <c r="BG107" s="76"/>
      <c r="BH107" s="76"/>
    </row>
    <row r="108" spans="28:65" x14ac:dyDescent="0.25">
      <c r="AB108" s="222"/>
      <c r="AC108" s="56"/>
      <c r="AD108" s="56"/>
      <c r="AE108" s="56"/>
      <c r="AF108" s="56"/>
      <c r="AG108" s="56"/>
      <c r="AH108" s="56"/>
      <c r="AI108" s="290"/>
      <c r="AT108" s="56"/>
      <c r="AU108" s="56"/>
      <c r="AV108" s="56"/>
      <c r="AW108" s="56"/>
      <c r="AX108" s="56"/>
      <c r="AY108" s="57"/>
      <c r="AZ108" s="57"/>
      <c r="BA108" s="57"/>
      <c r="BB108" s="57"/>
      <c r="BC108" s="57"/>
      <c r="BD108" s="57"/>
      <c r="BE108" s="57"/>
      <c r="BF108" s="57"/>
      <c r="BG108" s="57"/>
      <c r="BH108" s="57"/>
    </row>
    <row r="109" spans="28:65" x14ac:dyDescent="0.25">
      <c r="AB109" s="222"/>
      <c r="AC109" s="56"/>
      <c r="AD109" s="56"/>
      <c r="AE109" s="56"/>
      <c r="AF109" s="56"/>
      <c r="AG109" s="56"/>
      <c r="AH109" s="56"/>
      <c r="AI109" s="290"/>
      <c r="AT109" s="56"/>
      <c r="AU109" s="56"/>
      <c r="AV109" s="56"/>
      <c r="AW109" s="56"/>
      <c r="AX109" s="56"/>
    </row>
    <row r="110" spans="28:65" x14ac:dyDescent="0.25">
      <c r="AB110" s="222"/>
      <c r="AC110" s="56"/>
      <c r="AD110" s="56"/>
      <c r="AE110" s="56"/>
      <c r="AF110" s="56"/>
      <c r="AG110" s="56"/>
      <c r="AH110" s="56"/>
      <c r="AI110" s="290"/>
    </row>
    <row r="111" spans="28:65" x14ac:dyDescent="0.25">
      <c r="AB111" s="222"/>
      <c r="AC111" s="56"/>
      <c r="AD111" s="56"/>
      <c r="AE111" s="56"/>
      <c r="AF111" s="56"/>
      <c r="AG111" s="56"/>
      <c r="AH111" s="56"/>
      <c r="AI111" s="290"/>
      <c r="AS111" s="26"/>
      <c r="AY111" s="26"/>
      <c r="AZ111" s="26"/>
      <c r="BA111" s="26"/>
      <c r="BB111" s="26"/>
      <c r="BC111" s="26"/>
      <c r="BD111" s="26"/>
      <c r="BE111" s="26"/>
      <c r="BF111" s="26"/>
      <c r="BG111" s="26"/>
      <c r="BH111" s="26"/>
    </row>
    <row r="112" spans="28:65" x14ac:dyDescent="0.25">
      <c r="AB112" s="222"/>
      <c r="AC112" s="56"/>
      <c r="AD112" s="56"/>
      <c r="AE112" s="56"/>
      <c r="AF112" s="56"/>
      <c r="AG112" s="56"/>
      <c r="AH112" s="56"/>
      <c r="AI112" s="290"/>
      <c r="AT112" s="57"/>
      <c r="AU112" s="57"/>
      <c r="AV112" s="57"/>
      <c r="AW112" s="57"/>
      <c r="AX112" s="57"/>
      <c r="AY112" s="76"/>
      <c r="AZ112" s="76"/>
      <c r="BA112" s="76"/>
      <c r="BB112" s="76"/>
      <c r="BC112" s="76"/>
      <c r="BD112" s="76"/>
      <c r="BE112" s="76"/>
      <c r="BF112" s="76"/>
      <c r="BG112" s="76"/>
      <c r="BH112" s="76"/>
    </row>
    <row r="113" spans="17:60" x14ac:dyDescent="0.25">
      <c r="AB113" s="222"/>
      <c r="AC113" s="56"/>
      <c r="AD113" s="56"/>
      <c r="AE113" s="56"/>
      <c r="AF113" s="56"/>
      <c r="AG113" s="56"/>
      <c r="AH113" s="56"/>
      <c r="AI113" s="290"/>
      <c r="AT113" s="57"/>
      <c r="AU113" s="57"/>
      <c r="AV113" s="57"/>
      <c r="AW113" s="57"/>
      <c r="AX113" s="57"/>
      <c r="AY113" s="76"/>
      <c r="AZ113" s="76"/>
      <c r="BA113" s="76"/>
      <c r="BB113" s="76"/>
      <c r="BC113" s="76"/>
      <c r="BD113" s="76"/>
      <c r="BE113" s="76"/>
      <c r="BF113" s="76"/>
      <c r="BG113" s="76"/>
      <c r="BH113" s="76"/>
    </row>
    <row r="114" spans="17:60" x14ac:dyDescent="0.25">
      <c r="AB114" s="222"/>
      <c r="AC114" s="56"/>
      <c r="AD114" s="56"/>
      <c r="AE114" s="56"/>
      <c r="AF114" s="56"/>
      <c r="AG114" s="56"/>
      <c r="AH114" s="56"/>
      <c r="AI114" s="290"/>
    </row>
    <row r="115" spans="17:60" x14ac:dyDescent="0.25">
      <c r="AB115" s="222"/>
      <c r="AC115" s="56"/>
      <c r="AD115" s="56"/>
      <c r="AE115" s="56"/>
      <c r="AF115" s="56"/>
      <c r="AG115" s="56"/>
      <c r="AH115" s="56"/>
      <c r="AI115" s="290"/>
    </row>
    <row r="116" spans="17:60" x14ac:dyDescent="0.25">
      <c r="AB116" s="222"/>
      <c r="AC116" s="56"/>
      <c r="AD116" s="56"/>
      <c r="AE116" s="56"/>
      <c r="AF116" s="56"/>
      <c r="AG116" s="56"/>
      <c r="AH116" s="56"/>
      <c r="AI116" s="290"/>
    </row>
    <row r="117" spans="17:60" x14ac:dyDescent="0.25">
      <c r="AB117" s="222"/>
      <c r="AC117" s="56"/>
      <c r="AD117" s="56"/>
      <c r="AE117" s="56"/>
      <c r="AF117" s="56"/>
      <c r="AG117" s="56"/>
      <c r="AH117" s="56"/>
      <c r="AI117" s="290"/>
    </row>
    <row r="118" spans="17:60" x14ac:dyDescent="0.25">
      <c r="AB118" s="222"/>
      <c r="AC118" s="56"/>
      <c r="AD118" s="56"/>
      <c r="AE118" s="56"/>
      <c r="AF118" s="56"/>
      <c r="AG118" s="56"/>
      <c r="AH118" s="56"/>
      <c r="AI118" s="290"/>
    </row>
    <row r="119" spans="17:60" x14ac:dyDescent="0.25">
      <c r="AB119" s="222"/>
      <c r="AC119" s="56"/>
      <c r="AD119" s="56"/>
      <c r="AE119" s="56"/>
      <c r="AF119" s="56"/>
      <c r="AG119" s="56"/>
      <c r="AH119" s="56"/>
      <c r="AI119" s="290"/>
    </row>
    <row r="120" spans="17:60" x14ac:dyDescent="0.25">
      <c r="AB120" s="222"/>
      <c r="AC120" s="56"/>
      <c r="AD120" s="56"/>
      <c r="AE120" s="56"/>
      <c r="AF120" s="56"/>
      <c r="AG120" s="56"/>
      <c r="AH120" s="56"/>
      <c r="AI120" s="290"/>
    </row>
    <row r="121" spans="17:60" x14ac:dyDescent="0.25">
      <c r="Q121" s="56"/>
      <c r="R121" s="56"/>
      <c r="S121" s="56"/>
      <c r="T121" s="56"/>
      <c r="U121" s="56"/>
      <c r="V121" s="56"/>
      <c r="W121" s="56"/>
      <c r="X121" s="56"/>
      <c r="Y121" s="56"/>
      <c r="Z121" s="56"/>
      <c r="AA121" s="56"/>
      <c r="AB121" s="222"/>
      <c r="AC121" s="56"/>
      <c r="AD121" s="56"/>
      <c r="AE121" s="56"/>
      <c r="AF121" s="56"/>
      <c r="AG121" s="56"/>
      <c r="AH121" s="56"/>
      <c r="AI121" s="290"/>
      <c r="BB121" s="26"/>
      <c r="BC121" s="26"/>
      <c r="BD121" s="26"/>
      <c r="BE121" s="26"/>
      <c r="BF121" s="26"/>
      <c r="BG121" s="26"/>
      <c r="BH121" s="26"/>
    </row>
    <row r="122" spans="17:60" x14ac:dyDescent="0.25">
      <c r="Q122" s="56"/>
      <c r="R122" s="56"/>
      <c r="S122" s="56"/>
      <c r="T122" s="56"/>
      <c r="U122" s="56"/>
      <c r="V122" s="56"/>
      <c r="W122" s="56"/>
      <c r="X122" s="56"/>
      <c r="Y122" s="56"/>
      <c r="Z122" s="56"/>
      <c r="AA122" s="56"/>
      <c r="AB122" s="222"/>
      <c r="AC122" s="56"/>
      <c r="AD122" s="56"/>
      <c r="AE122" s="56"/>
      <c r="AF122" s="56"/>
      <c r="AG122" s="56"/>
      <c r="AH122" s="56"/>
      <c r="AI122" s="290"/>
      <c r="BB122" s="26"/>
      <c r="BC122" s="26"/>
      <c r="BD122" s="26"/>
      <c r="BE122" s="26"/>
      <c r="BF122" s="26"/>
      <c r="BG122" s="26"/>
      <c r="BH122" s="26"/>
    </row>
    <row r="123" spans="17:60" x14ac:dyDescent="0.25">
      <c r="Q123" s="56"/>
      <c r="R123" s="56"/>
      <c r="S123" s="56"/>
      <c r="T123" s="56"/>
      <c r="U123" s="56"/>
      <c r="V123" s="56"/>
      <c r="W123" s="56"/>
      <c r="X123" s="56"/>
      <c r="Y123" s="56"/>
      <c r="Z123" s="56"/>
      <c r="AA123" s="56"/>
      <c r="AB123" s="222"/>
      <c r="AC123" s="56"/>
      <c r="AD123" s="56"/>
      <c r="AE123" s="56"/>
      <c r="AF123" s="56"/>
      <c r="AG123" s="56"/>
      <c r="AH123" s="56"/>
      <c r="AI123" s="290"/>
      <c r="BB123" s="76"/>
      <c r="BC123" s="76"/>
      <c r="BD123" s="76"/>
      <c r="BE123" s="76"/>
      <c r="BF123" s="76"/>
      <c r="BG123" s="76"/>
      <c r="BH123" s="76"/>
    </row>
    <row r="124" spans="17:60" x14ac:dyDescent="0.25">
      <c r="AI124" s="290"/>
      <c r="BB124" s="76"/>
      <c r="BC124" s="76"/>
      <c r="BD124" s="76"/>
      <c r="BE124" s="76"/>
      <c r="BF124" s="76"/>
      <c r="BG124" s="76"/>
      <c r="BH124" s="76"/>
    </row>
    <row r="125" spans="17:60" x14ac:dyDescent="0.25">
      <c r="BB125" s="76"/>
      <c r="BC125" s="76"/>
      <c r="BD125" s="76"/>
      <c r="BE125" s="76"/>
      <c r="BF125" s="76"/>
      <c r="BG125" s="76"/>
      <c r="BH125" s="76"/>
    </row>
    <row r="126" spans="17:60" x14ac:dyDescent="0.25">
      <c r="BB126" s="26"/>
      <c r="BC126" s="26"/>
      <c r="BD126" s="26"/>
      <c r="BE126" s="26"/>
      <c r="BF126" s="26"/>
      <c r="BG126" s="26"/>
      <c r="BH126" s="26"/>
    </row>
    <row r="127" spans="17:60" x14ac:dyDescent="0.25">
      <c r="AI127" s="290"/>
      <c r="BB127" s="76"/>
      <c r="BC127" s="76"/>
      <c r="BD127" s="76"/>
      <c r="BE127" s="76"/>
      <c r="BF127" s="76"/>
      <c r="BG127" s="76"/>
      <c r="BH127" s="76"/>
    </row>
    <row r="128" spans="17:60" x14ac:dyDescent="0.25">
      <c r="AI128" s="290"/>
    </row>
    <row r="129" spans="17:57" x14ac:dyDescent="0.25">
      <c r="AI129" s="290"/>
    </row>
    <row r="130" spans="17:57" x14ac:dyDescent="0.25">
      <c r="AI130" s="290"/>
    </row>
    <row r="131" spans="17:57" x14ac:dyDescent="0.25">
      <c r="AI131" s="290"/>
      <c r="AT131" s="26"/>
      <c r="AU131" s="26"/>
      <c r="AV131" s="26"/>
      <c r="AW131" s="26"/>
      <c r="AX131" s="26"/>
      <c r="AY131" s="26"/>
      <c r="AZ131" s="26"/>
      <c r="BA131" s="26"/>
      <c r="BB131" s="26"/>
      <c r="BC131" s="26"/>
      <c r="BD131" s="26"/>
    </row>
    <row r="132" spans="17:57" x14ac:dyDescent="0.25">
      <c r="Q132" s="56"/>
      <c r="R132" s="56"/>
      <c r="S132" s="56"/>
      <c r="T132" s="56"/>
      <c r="U132" s="56"/>
      <c r="V132" s="56"/>
      <c r="W132" s="56"/>
      <c r="X132" s="56"/>
      <c r="Y132" s="56"/>
      <c r="Z132" s="56"/>
      <c r="AA132" s="56"/>
      <c r="AB132" s="222"/>
      <c r="AC132" s="56"/>
      <c r="AD132" s="56"/>
      <c r="AE132" s="56"/>
      <c r="AF132" s="56"/>
      <c r="AG132" s="56"/>
      <c r="AH132" s="56"/>
      <c r="AI132" s="290"/>
    </row>
    <row r="133" spans="17:57" x14ac:dyDescent="0.25">
      <c r="Q133" s="56"/>
      <c r="R133" s="56"/>
      <c r="S133" s="56"/>
      <c r="T133" s="56"/>
      <c r="U133" s="56"/>
      <c r="V133" s="56"/>
      <c r="W133" s="56"/>
      <c r="X133" s="56"/>
      <c r="Y133" s="56"/>
      <c r="Z133" s="56"/>
      <c r="AA133" s="56"/>
      <c r="AB133" s="222"/>
      <c r="AC133" s="56"/>
      <c r="AD133" s="56"/>
      <c r="AE133" s="56"/>
      <c r="AF133" s="56"/>
      <c r="AG133" s="56"/>
      <c r="AH133" s="56"/>
      <c r="AI133" s="290"/>
    </row>
    <row r="134" spans="17:57" x14ac:dyDescent="0.25">
      <c r="Q134" s="56"/>
      <c r="R134" s="56"/>
      <c r="S134" s="56"/>
      <c r="T134" s="56"/>
      <c r="U134" s="56"/>
      <c r="V134" s="56"/>
      <c r="W134" s="56"/>
      <c r="X134" s="56"/>
      <c r="Y134" s="56"/>
      <c r="Z134" s="56"/>
      <c r="AA134" s="56"/>
      <c r="AB134" s="222"/>
      <c r="AC134" s="56"/>
      <c r="AD134" s="56"/>
      <c r="AE134" s="56"/>
      <c r="AF134" s="56"/>
      <c r="AG134" s="56"/>
      <c r="AH134" s="56"/>
      <c r="AI134" s="290"/>
    </row>
    <row r="135" spans="17:57" x14ac:dyDescent="0.25">
      <c r="Q135" s="56"/>
      <c r="R135" s="56"/>
      <c r="S135" s="56"/>
      <c r="T135" s="56"/>
      <c r="U135" s="56"/>
      <c r="V135" s="56"/>
      <c r="W135" s="56"/>
      <c r="X135" s="56"/>
      <c r="Y135" s="56"/>
      <c r="Z135" s="56"/>
      <c r="AA135" s="56"/>
      <c r="AB135" s="222"/>
      <c r="AC135" s="56"/>
      <c r="AD135" s="56"/>
      <c r="AE135" s="56"/>
      <c r="AF135" s="56"/>
      <c r="AG135" s="56"/>
      <c r="AH135" s="56"/>
      <c r="AI135" s="290"/>
    </row>
    <row r="136" spans="17:57" x14ac:dyDescent="0.25">
      <c r="Q136" s="56"/>
      <c r="R136" s="56"/>
      <c r="S136" s="56"/>
      <c r="T136" s="56"/>
      <c r="U136" s="56"/>
      <c r="V136" s="56"/>
      <c r="W136" s="56"/>
      <c r="X136" s="56"/>
      <c r="Y136" s="56"/>
      <c r="Z136" s="56"/>
      <c r="AA136" s="56"/>
      <c r="AB136" s="222"/>
      <c r="AC136" s="56"/>
      <c r="AD136" s="56"/>
      <c r="AE136" s="56"/>
      <c r="AF136" s="56"/>
      <c r="AG136" s="56"/>
      <c r="AH136" s="56"/>
      <c r="AI136" s="290"/>
    </row>
    <row r="137" spans="17:57" x14ac:dyDescent="0.25">
      <c r="Q137" s="56"/>
      <c r="R137" s="56"/>
      <c r="S137" s="56"/>
      <c r="T137" s="56"/>
      <c r="U137" s="56"/>
      <c r="V137" s="56"/>
      <c r="W137" s="56"/>
      <c r="X137" s="56"/>
      <c r="Y137" s="56"/>
      <c r="Z137" s="56"/>
      <c r="AA137" s="56"/>
      <c r="AB137" s="222"/>
      <c r="AC137" s="56"/>
      <c r="AD137" s="56"/>
      <c r="AE137" s="56"/>
      <c r="AF137" s="56"/>
      <c r="AG137" s="56"/>
      <c r="AH137" s="56"/>
      <c r="AI137" s="290"/>
    </row>
    <row r="138" spans="17:57" x14ac:dyDescent="0.25">
      <c r="Q138" s="56"/>
      <c r="R138" s="56"/>
      <c r="S138" s="56"/>
      <c r="T138" s="56"/>
      <c r="U138" s="56"/>
      <c r="V138" s="56"/>
      <c r="W138" s="56"/>
      <c r="X138" s="56"/>
      <c r="Y138" s="56"/>
      <c r="Z138" s="56"/>
      <c r="AA138" s="56"/>
      <c r="AB138" s="222"/>
      <c r="AC138" s="56"/>
      <c r="AD138" s="56"/>
      <c r="AE138" s="56"/>
      <c r="AF138" s="56"/>
      <c r="AG138" s="56"/>
      <c r="AH138" s="56"/>
      <c r="AI138" s="290"/>
    </row>
    <row r="139" spans="17:57" x14ac:dyDescent="0.25">
      <c r="Q139" s="56"/>
      <c r="R139" s="56"/>
      <c r="S139" s="56"/>
      <c r="T139" s="56"/>
      <c r="U139" s="56"/>
      <c r="V139" s="56"/>
      <c r="W139" s="56"/>
      <c r="X139" s="56"/>
      <c r="Y139" s="56"/>
      <c r="Z139" s="56"/>
      <c r="AA139" s="56"/>
      <c r="AB139" s="222"/>
      <c r="AC139" s="56"/>
      <c r="AD139" s="56"/>
      <c r="AE139" s="56"/>
      <c r="AF139" s="56"/>
      <c r="AG139" s="56"/>
      <c r="AH139" s="56"/>
      <c r="AI139" s="290"/>
      <c r="AT139" s="26"/>
      <c r="AU139" s="26"/>
      <c r="AV139" s="26"/>
      <c r="AW139" s="26"/>
      <c r="AX139" s="26"/>
      <c r="AY139" s="26"/>
      <c r="AZ139" s="26"/>
      <c r="BA139" s="26"/>
      <c r="BB139" s="26"/>
      <c r="BC139" s="26"/>
      <c r="BD139" s="26"/>
      <c r="BE139" s="26"/>
    </row>
    <row r="140" spans="17:57" x14ac:dyDescent="0.25">
      <c r="Q140" s="56"/>
      <c r="R140" s="56"/>
      <c r="S140" s="56"/>
      <c r="T140" s="56"/>
      <c r="U140" s="56"/>
      <c r="V140" s="56"/>
      <c r="W140" s="56"/>
      <c r="X140" s="56"/>
      <c r="Y140" s="56"/>
      <c r="Z140" s="56"/>
      <c r="AA140" s="56"/>
      <c r="AB140" s="222"/>
      <c r="AC140" s="56"/>
      <c r="AD140" s="56"/>
      <c r="AE140" s="56"/>
      <c r="AF140" s="56"/>
      <c r="AG140" s="56"/>
      <c r="AH140" s="56"/>
      <c r="AI140" s="290"/>
    </row>
    <row r="141" spans="17:57" x14ac:dyDescent="0.25">
      <c r="Q141" s="56"/>
      <c r="R141" s="56"/>
      <c r="S141" s="56"/>
      <c r="T141" s="56"/>
      <c r="U141" s="56"/>
      <c r="V141" s="56"/>
      <c r="W141" s="56"/>
      <c r="X141" s="56"/>
      <c r="Y141" s="56"/>
      <c r="Z141" s="56"/>
      <c r="AA141" s="56"/>
      <c r="AB141" s="222"/>
      <c r="AC141" s="56"/>
      <c r="AD141" s="56"/>
      <c r="AE141" s="56"/>
      <c r="AF141" s="56"/>
      <c r="AG141" s="56"/>
      <c r="AH141" s="56"/>
      <c r="AI141" s="290"/>
    </row>
    <row r="142" spans="17:57" x14ac:dyDescent="0.25">
      <c r="Q142" s="56"/>
      <c r="R142" s="56"/>
      <c r="S142" s="56"/>
      <c r="T142" s="56"/>
      <c r="U142" s="56"/>
      <c r="V142" s="56"/>
      <c r="W142" s="56"/>
      <c r="X142" s="56"/>
      <c r="Y142" s="56"/>
      <c r="Z142" s="56"/>
      <c r="AA142" s="56"/>
      <c r="AB142" s="222"/>
      <c r="AC142" s="56"/>
      <c r="AD142" s="56"/>
      <c r="AE142" s="56"/>
      <c r="AF142" s="56"/>
      <c r="AG142" s="56"/>
      <c r="AH142" s="56"/>
      <c r="AI142" s="290"/>
    </row>
    <row r="143" spans="17:57" x14ac:dyDescent="0.25">
      <c r="Q143" s="56"/>
      <c r="R143" s="56"/>
      <c r="S143" s="56"/>
      <c r="T143" s="56"/>
      <c r="U143" s="56"/>
      <c r="V143" s="56"/>
      <c r="W143" s="56"/>
      <c r="X143" s="56"/>
      <c r="Y143" s="56"/>
      <c r="Z143" s="56"/>
      <c r="AA143" s="56"/>
      <c r="AB143" s="222"/>
      <c r="AC143" s="56"/>
      <c r="AD143" s="56"/>
      <c r="AE143" s="56"/>
      <c r="AF143" s="56"/>
      <c r="AG143" s="56"/>
      <c r="AH143" s="56"/>
      <c r="AI143" s="290"/>
    </row>
    <row r="144" spans="17:57" x14ac:dyDescent="0.25">
      <c r="Q144" s="56"/>
      <c r="R144" s="56"/>
      <c r="S144" s="56"/>
      <c r="T144" s="56"/>
      <c r="U144" s="56"/>
      <c r="V144" s="56"/>
      <c r="W144" s="56"/>
      <c r="X144" s="56"/>
      <c r="Y144" s="56"/>
      <c r="Z144" s="56"/>
      <c r="AA144" s="56"/>
      <c r="AB144" s="222"/>
      <c r="AC144" s="56"/>
      <c r="AD144" s="56"/>
      <c r="AE144" s="56"/>
      <c r="AF144" s="56"/>
      <c r="AG144" s="56"/>
      <c r="AH144" s="56"/>
      <c r="AI144" s="290"/>
    </row>
    <row r="145" spans="17:35" x14ac:dyDescent="0.25">
      <c r="Q145" s="56"/>
      <c r="R145" s="56"/>
      <c r="S145" s="56"/>
      <c r="T145" s="56"/>
      <c r="U145" s="56"/>
      <c r="V145" s="56"/>
      <c r="W145" s="56"/>
      <c r="X145" s="56"/>
      <c r="Y145" s="56"/>
      <c r="Z145" s="56"/>
      <c r="AA145" s="56"/>
      <c r="AB145" s="222"/>
      <c r="AC145" s="56"/>
      <c r="AD145" s="56"/>
      <c r="AE145" s="56"/>
      <c r="AF145" s="56"/>
      <c r="AG145" s="56"/>
      <c r="AH145" s="56"/>
      <c r="AI145" s="290"/>
    </row>
    <row r="146" spans="17:35" x14ac:dyDescent="0.25">
      <c r="Q146" s="56"/>
      <c r="R146" s="56"/>
      <c r="S146" s="56"/>
      <c r="T146" s="56"/>
      <c r="U146" s="56"/>
      <c r="V146" s="56"/>
      <c r="W146" s="56"/>
      <c r="X146" s="56"/>
      <c r="Y146" s="56"/>
      <c r="Z146" s="56"/>
      <c r="AA146" s="56"/>
      <c r="AB146" s="222"/>
      <c r="AC146" s="56"/>
      <c r="AD146" s="56"/>
      <c r="AE146" s="56"/>
      <c r="AF146" s="56"/>
      <c r="AG146" s="56"/>
      <c r="AH146" s="56"/>
      <c r="AI146" s="290"/>
    </row>
    <row r="147" spans="17:35" x14ac:dyDescent="0.25">
      <c r="Q147" s="56"/>
      <c r="R147" s="56"/>
      <c r="S147" s="56"/>
      <c r="T147" s="56"/>
      <c r="U147" s="56"/>
      <c r="V147" s="56"/>
      <c r="W147" s="56"/>
      <c r="X147" s="56"/>
      <c r="Y147" s="56"/>
      <c r="Z147" s="56"/>
      <c r="AA147" s="56"/>
      <c r="AB147" s="222"/>
      <c r="AC147" s="56"/>
      <c r="AD147" s="56"/>
      <c r="AE147" s="56"/>
      <c r="AF147" s="56"/>
      <c r="AG147" s="56"/>
      <c r="AH147" s="56"/>
    </row>
    <row r="148" spans="17:35" x14ac:dyDescent="0.25">
      <c r="Q148" s="56"/>
      <c r="R148" s="56"/>
      <c r="S148" s="56"/>
      <c r="T148" s="56"/>
      <c r="U148" s="56"/>
      <c r="V148" s="56"/>
      <c r="W148" s="56"/>
      <c r="X148" s="56"/>
      <c r="Y148" s="56"/>
      <c r="Z148" s="56"/>
      <c r="AA148" s="56"/>
      <c r="AB148" s="222"/>
      <c r="AC148" s="56"/>
      <c r="AD148" s="56"/>
      <c r="AE148" s="56"/>
      <c r="AF148" s="56"/>
      <c r="AG148" s="56"/>
      <c r="AH148" s="56"/>
    </row>
    <row r="149" spans="17:35" x14ac:dyDescent="0.25">
      <c r="Q149" s="56"/>
      <c r="R149" s="56"/>
      <c r="S149" s="56"/>
      <c r="T149" s="56"/>
      <c r="U149" s="56"/>
      <c r="V149" s="56"/>
      <c r="W149" s="56"/>
      <c r="X149" s="56"/>
      <c r="Y149" s="56"/>
      <c r="Z149" s="56"/>
      <c r="AA149" s="56"/>
      <c r="AB149" s="222"/>
    </row>
    <row r="150" spans="17:35" x14ac:dyDescent="0.25">
      <c r="Q150" s="56"/>
      <c r="R150" s="56"/>
      <c r="S150" s="56"/>
      <c r="T150" s="56"/>
      <c r="U150" s="56"/>
      <c r="V150" s="56"/>
      <c r="W150" s="56"/>
      <c r="X150" s="56"/>
      <c r="Y150" s="56"/>
      <c r="Z150" s="56"/>
      <c r="AA150" s="56"/>
      <c r="AB150" s="222"/>
    </row>
    <row r="151" spans="17:35" x14ac:dyDescent="0.25">
      <c r="Q151" s="56"/>
      <c r="R151" s="56"/>
      <c r="S151" s="56"/>
      <c r="T151" s="56"/>
      <c r="U151" s="56"/>
      <c r="V151" s="56"/>
      <c r="W151" s="56"/>
      <c r="X151" s="56"/>
      <c r="Y151" s="56"/>
      <c r="Z151" s="56"/>
      <c r="AA151" s="56"/>
      <c r="AB151" s="222"/>
    </row>
    <row r="152" spans="17:35" x14ac:dyDescent="0.25">
      <c r="Q152" s="56"/>
      <c r="R152" s="56"/>
      <c r="S152" s="56"/>
      <c r="T152" s="56"/>
      <c r="U152" s="56"/>
      <c r="V152" s="56"/>
      <c r="W152" s="56"/>
      <c r="X152" s="56"/>
      <c r="Y152" s="56"/>
      <c r="Z152" s="56"/>
      <c r="AA152" s="56"/>
      <c r="AB152" s="222"/>
    </row>
    <row r="153" spans="17:35" x14ac:dyDescent="0.25">
      <c r="Q153" s="56"/>
      <c r="R153" s="56"/>
      <c r="S153" s="56"/>
      <c r="T153" s="56"/>
      <c r="U153" s="56"/>
      <c r="V153" s="56"/>
      <c r="W153" s="56"/>
      <c r="X153" s="56"/>
      <c r="Y153" s="56"/>
      <c r="Z153" s="56"/>
      <c r="AA153" s="56"/>
      <c r="AB153" s="222"/>
    </row>
    <row r="154" spans="17:35" x14ac:dyDescent="0.25">
      <c r="Q154" s="56"/>
      <c r="R154" s="56"/>
      <c r="S154" s="56"/>
      <c r="T154" s="56"/>
      <c r="U154" s="56"/>
      <c r="V154" s="56"/>
      <c r="W154" s="56"/>
      <c r="X154" s="56"/>
      <c r="Y154" s="56"/>
      <c r="Z154" s="56"/>
      <c r="AA154" s="56"/>
      <c r="AC154" s="56"/>
    </row>
    <row r="155" spans="17:35" x14ac:dyDescent="0.25">
      <c r="Q155" s="56"/>
      <c r="R155" s="56"/>
      <c r="S155" s="56"/>
      <c r="T155" s="56"/>
      <c r="U155" s="56"/>
      <c r="V155" s="56"/>
      <c r="W155" s="56"/>
      <c r="X155" s="56"/>
      <c r="Y155" s="56"/>
      <c r="Z155" s="56"/>
      <c r="AA155" s="56"/>
      <c r="AB155" s="222"/>
    </row>
    <row r="156" spans="17:35" x14ac:dyDescent="0.25">
      <c r="Q156" s="56"/>
      <c r="R156" s="56"/>
      <c r="S156" s="56"/>
      <c r="T156" s="56"/>
      <c r="U156" s="56"/>
      <c r="V156" s="56"/>
      <c r="W156" s="56"/>
      <c r="X156" s="56"/>
      <c r="Y156" s="56"/>
      <c r="Z156" s="56"/>
      <c r="AA156" s="56"/>
      <c r="AB156" s="222"/>
    </row>
    <row r="157" spans="17:35" x14ac:dyDescent="0.25">
      <c r="Q157" s="56"/>
      <c r="R157" s="56"/>
      <c r="S157" s="56"/>
      <c r="T157" s="56"/>
      <c r="U157" s="56"/>
      <c r="V157" s="56"/>
      <c r="W157" s="56"/>
      <c r="X157" s="56"/>
      <c r="Y157" s="56"/>
      <c r="Z157" s="56"/>
      <c r="AA157" s="56"/>
      <c r="AB157" s="222"/>
    </row>
    <row r="158" spans="17:35" x14ac:dyDescent="0.25">
      <c r="Q158" s="56"/>
      <c r="R158" s="56"/>
      <c r="S158" s="56"/>
      <c r="T158" s="56"/>
      <c r="U158" s="56"/>
      <c r="V158" s="56"/>
      <c r="W158" s="56"/>
      <c r="X158" s="56"/>
      <c r="Y158" s="56"/>
      <c r="Z158" s="56"/>
      <c r="AA158" s="56"/>
      <c r="AB158" s="222"/>
    </row>
    <row r="159" spans="17:35" x14ac:dyDescent="0.25">
      <c r="Q159" s="56"/>
      <c r="R159" s="56"/>
      <c r="S159" s="56"/>
      <c r="T159" s="56"/>
      <c r="U159" s="56"/>
      <c r="V159" s="56"/>
      <c r="W159" s="56"/>
      <c r="X159" s="56"/>
      <c r="Y159" s="56"/>
      <c r="Z159" s="56"/>
      <c r="AA159" s="56"/>
      <c r="AB159" s="222"/>
    </row>
    <row r="160" spans="17:35" x14ac:dyDescent="0.25">
      <c r="AB160" s="222"/>
    </row>
    <row r="161" spans="28:34" x14ac:dyDescent="0.25">
      <c r="AB161" s="222"/>
    </row>
    <row r="162" spans="28:34" x14ac:dyDescent="0.25">
      <c r="AB162" s="222"/>
    </row>
    <row r="163" spans="28:34" x14ac:dyDescent="0.25">
      <c r="AB163" s="222"/>
    </row>
    <row r="164" spans="28:34" x14ac:dyDescent="0.25">
      <c r="AB164" s="222"/>
    </row>
    <row r="165" spans="28:34" x14ac:dyDescent="0.25">
      <c r="AC165" s="56"/>
    </row>
    <row r="166" spans="28:34" x14ac:dyDescent="0.25">
      <c r="AB166" s="222"/>
    </row>
    <row r="167" spans="28:34" x14ac:dyDescent="0.25">
      <c r="AB167" s="222"/>
    </row>
    <row r="168" spans="28:34" x14ac:dyDescent="0.25">
      <c r="AB168" s="222"/>
    </row>
    <row r="169" spans="28:34" x14ac:dyDescent="0.25">
      <c r="AB169" s="222"/>
    </row>
    <row r="170" spans="28:34" x14ac:dyDescent="0.25">
      <c r="AB170" s="222"/>
    </row>
    <row r="171" spans="28:34" x14ac:dyDescent="0.25">
      <c r="AB171" s="222"/>
    </row>
    <row r="172" spans="28:34" x14ac:dyDescent="0.25">
      <c r="AB172" s="222"/>
      <c r="AC172" s="56"/>
      <c r="AD172" s="56"/>
      <c r="AE172" s="56"/>
      <c r="AF172" s="56"/>
      <c r="AG172" s="56"/>
      <c r="AH172" s="56"/>
    </row>
    <row r="173" spans="28:34" x14ac:dyDescent="0.25">
      <c r="AB173" s="222"/>
      <c r="AC173" s="56"/>
      <c r="AD173" s="56"/>
      <c r="AE173" s="56"/>
      <c r="AF173" s="56"/>
      <c r="AG173" s="56"/>
      <c r="AH173" s="56"/>
    </row>
    <row r="174" spans="28:34" x14ac:dyDescent="0.25">
      <c r="AB174" s="222"/>
      <c r="AC174" s="56"/>
      <c r="AD174" s="56"/>
      <c r="AE174" s="56"/>
      <c r="AF174" s="56"/>
      <c r="AG174" s="56"/>
      <c r="AH174" s="56"/>
    </row>
    <row r="175" spans="28:34" x14ac:dyDescent="0.25">
      <c r="AB175" s="222"/>
      <c r="AC175" s="56"/>
      <c r="AD175" s="56"/>
      <c r="AE175" s="56"/>
      <c r="AF175" s="56"/>
      <c r="AG175" s="56"/>
      <c r="AH175" s="56"/>
    </row>
    <row r="176" spans="28:34" x14ac:dyDescent="0.25">
      <c r="AB176" s="222"/>
      <c r="AC176" s="56"/>
      <c r="AD176" s="56"/>
      <c r="AE176" s="56"/>
      <c r="AF176" s="56"/>
      <c r="AG176" s="56"/>
      <c r="AH176" s="56"/>
    </row>
    <row r="177" spans="28:45" x14ac:dyDescent="0.25">
      <c r="AB177" s="222"/>
      <c r="AC177" s="56"/>
      <c r="AD177" s="56"/>
      <c r="AE177" s="56"/>
      <c r="AF177" s="56"/>
      <c r="AG177" s="56"/>
      <c r="AH177" s="56"/>
      <c r="AS177" s="26"/>
    </row>
    <row r="178" spans="28:45" x14ac:dyDescent="0.25">
      <c r="AB178" s="222"/>
      <c r="AC178" s="56"/>
      <c r="AD178" s="56"/>
      <c r="AE178" s="56"/>
      <c r="AF178" s="56"/>
      <c r="AG178" s="56"/>
      <c r="AH178" s="56"/>
    </row>
    <row r="179" spans="28:45" x14ac:dyDescent="0.25">
      <c r="AB179" s="222"/>
      <c r="AC179" s="56"/>
      <c r="AD179" s="56"/>
      <c r="AE179" s="56"/>
      <c r="AF179" s="56"/>
      <c r="AG179" s="56"/>
      <c r="AH179" s="56"/>
    </row>
    <row r="180" spans="28:45" x14ac:dyDescent="0.25">
      <c r="AB180" s="222"/>
      <c r="AC180" s="56"/>
      <c r="AD180" s="56"/>
      <c r="AE180" s="56"/>
      <c r="AF180" s="56"/>
      <c r="AG180" s="56"/>
      <c r="AH180" s="56"/>
    </row>
    <row r="181" spans="28:45" x14ac:dyDescent="0.25">
      <c r="AB181" s="222"/>
    </row>
    <row r="183" spans="28:45" x14ac:dyDescent="0.25">
      <c r="AS183" s="26"/>
    </row>
  </sheetData>
  <mergeCells count="11">
    <mergeCell ref="BI79:BQ79"/>
    <mergeCell ref="AS77:AU77"/>
    <mergeCell ref="AT20:BB22"/>
    <mergeCell ref="AK1:AO1"/>
    <mergeCell ref="G1:AH1"/>
    <mergeCell ref="BE4:BL4"/>
    <mergeCell ref="CD2:CK2"/>
    <mergeCell ref="AT3:BA3"/>
    <mergeCell ref="AP1:AP50"/>
    <mergeCell ref="AR1:AR50"/>
    <mergeCell ref="BE3:BL3"/>
  </mergeCells>
  <phoneticPr fontId="28" type="noConversion"/>
  <conditionalFormatting sqref="AI12:AI13 AI20 AI36:AI53 AI55:AI78 AI85:AI124 AI127:AI146">
    <cfRule type="cellIs" dxfId="21" priority="61" operator="between">
      <formula>0.001</formula>
      <formula>0.999</formula>
    </cfRule>
  </conditionalFormatting>
  <conditionalFormatting sqref="BB7:BB12">
    <cfRule type="colorScale" priority="7">
      <colorScale>
        <cfvo type="min"/>
        <cfvo type="max"/>
        <color rgb="FFFCFCFF"/>
        <color rgb="FF63BE7B"/>
      </colorScale>
    </cfRule>
    <cfRule type="colorScale" priority="8">
      <colorScale>
        <cfvo type="min"/>
        <cfvo type="num" val="0"/>
        <cfvo type="max"/>
        <color rgb="FFFF0000"/>
        <color theme="0"/>
        <color rgb="FF00B050"/>
      </colorScale>
    </cfRule>
  </conditionalFormatting>
  <conditionalFormatting sqref="BB14:BB19">
    <cfRule type="colorScale" priority="5">
      <colorScale>
        <cfvo type="min"/>
        <cfvo type="max"/>
        <color rgb="FFFCFCFF"/>
        <color rgb="FF63BE7B"/>
      </colorScale>
    </cfRule>
    <cfRule type="colorScale" priority="6">
      <colorScale>
        <cfvo type="min"/>
        <cfvo type="num" val="0"/>
        <cfvo type="max"/>
        <color rgb="FFFF0000"/>
        <color theme="0"/>
        <color rgb="FF00B050"/>
      </colorScale>
    </cfRule>
  </conditionalFormatting>
  <conditionalFormatting sqref="BI39:BI42">
    <cfRule type="colorScale" priority="63">
      <colorScale>
        <cfvo type="min"/>
        <cfvo type="num" val="0"/>
        <cfvo type="max"/>
        <color rgb="FFFF0000"/>
        <color theme="0"/>
        <color rgb="FF00B050"/>
      </colorScale>
    </cfRule>
  </conditionalFormatting>
  <conditionalFormatting sqref="BI43 BI56">
    <cfRule type="colorScale" priority="48">
      <colorScale>
        <cfvo type="min"/>
        <cfvo type="num" val="0"/>
        <cfvo type="max"/>
        <color rgb="FF00B050"/>
        <color theme="0"/>
        <color rgb="FFFF0000"/>
      </colorScale>
    </cfRule>
  </conditionalFormatting>
  <conditionalFormatting sqref="BI44:BI55">
    <cfRule type="colorScale" priority="44">
      <colorScale>
        <cfvo type="min"/>
        <cfvo type="num" val="0"/>
        <cfvo type="max"/>
        <color rgb="FFFF0000"/>
        <color theme="0"/>
        <color rgb="FF00B050"/>
      </colorScale>
    </cfRule>
  </conditionalFormatting>
  <conditionalFormatting sqref="BI57:BI68">
    <cfRule type="colorScale" priority="43">
      <colorScale>
        <cfvo type="min"/>
        <cfvo type="num" val="0"/>
        <cfvo type="max"/>
        <color rgb="FFFF0000"/>
        <color theme="0"/>
        <color rgb="FF00B050"/>
      </colorScale>
    </cfRule>
  </conditionalFormatting>
  <conditionalFormatting sqref="CA29:CA33 BB3">
    <cfRule type="colorScale" priority="13">
      <colorScale>
        <cfvo type="min"/>
        <cfvo type="max"/>
        <color rgb="FFFCFCFF"/>
        <color rgb="FF63BE7B"/>
      </colorScale>
    </cfRule>
    <cfRule type="colorScale" priority="14">
      <colorScale>
        <cfvo type="min"/>
        <cfvo type="num" val="0"/>
        <cfvo type="max"/>
        <color rgb="FFFF0000"/>
        <color theme="0"/>
        <color rgb="FF00B050"/>
      </colorScale>
    </cfRule>
  </conditionalFormatting>
  <dataValidations count="1">
    <dataValidation type="list" allowBlank="1" showInputMessage="1" showErrorMessage="1" sqref="B8:C8 C3:C6 B1:C1 A85:C123 A185:C1048576 A11:A20 A31:C78 A3:B7 A9:B9 A132:C181 B10:C20" xr:uid="{36B45404-CFE0-4F6C-B601-5A194D8CC680}">
      <formula1>#REF!</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0847A8F-259C-4FE3-B1D6-50D81AAFFB41}">
          <x14:formula1>
            <xm:f>References!$A:$A</xm:f>
          </x14:formula1>
          <xm:sqref>E185:E1048576 E85:E123 E132:E181 E31:E78 E3:E20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489E8-6E4D-48AD-BC17-17596D49F34B}">
  <sheetPr>
    <tabColor theme="9" tint="0.59999389629810485"/>
    <pageSetUpPr autoPageBreaks="0"/>
  </sheetPr>
  <dimension ref="A1:F34"/>
  <sheetViews>
    <sheetView zoomScaleNormal="100" workbookViewId="0">
      <selection activeCell="F20" sqref="F20"/>
    </sheetView>
  </sheetViews>
  <sheetFormatPr defaultRowHeight="15" x14ac:dyDescent="0.25"/>
  <cols>
    <col min="1" max="1" width="28.28515625" bestFit="1" customWidth="1"/>
    <col min="2" max="2" width="4.7109375" style="68" bestFit="1" customWidth="1"/>
    <col min="3" max="3" width="8.7109375" bestFit="1" customWidth="1"/>
    <col min="4" max="4" width="7.42578125" style="49" customWidth="1"/>
    <col min="5" max="5" width="14.85546875" bestFit="1" customWidth="1"/>
    <col min="6" max="6" width="194" style="49" bestFit="1" customWidth="1"/>
  </cols>
  <sheetData>
    <row r="1" spans="1:6" ht="93.95" customHeight="1" thickBot="1" x14ac:dyDescent="0.3">
      <c r="A1" s="620" t="s">
        <v>2974</v>
      </c>
      <c r="B1" s="624" t="s">
        <v>3037</v>
      </c>
      <c r="C1" s="620" t="s">
        <v>3066</v>
      </c>
      <c r="D1" s="791" t="s">
        <v>3067</v>
      </c>
      <c r="E1" s="620" t="s">
        <v>3074</v>
      </c>
      <c r="F1" s="791" t="s">
        <v>3039</v>
      </c>
    </row>
    <row r="2" spans="1:6" ht="15.75" thickTop="1" x14ac:dyDescent="0.25">
      <c r="A2" t="s">
        <v>2975</v>
      </c>
      <c r="B2" s="68" t="s">
        <v>84</v>
      </c>
      <c r="C2" t="s">
        <v>841</v>
      </c>
      <c r="D2" s="49" t="s">
        <v>133</v>
      </c>
      <c r="E2" s="795">
        <f t="shared" ref="E2:E11" si="0">50*6500*10*1000/1000000000</f>
        <v>3.25</v>
      </c>
      <c r="F2" s="49" t="s">
        <v>3075</v>
      </c>
    </row>
    <row r="3" spans="1:6" x14ac:dyDescent="0.25">
      <c r="A3" t="s">
        <v>2976</v>
      </c>
      <c r="B3" s="68" t="s">
        <v>84</v>
      </c>
      <c r="C3" t="s">
        <v>841</v>
      </c>
      <c r="D3" s="49" t="s">
        <v>133</v>
      </c>
      <c r="E3" s="795">
        <f t="shared" si="0"/>
        <v>3.25</v>
      </c>
      <c r="F3" s="49" t="s">
        <v>3075</v>
      </c>
    </row>
    <row r="4" spans="1:6" x14ac:dyDescent="0.25">
      <c r="A4" t="s">
        <v>2977</v>
      </c>
      <c r="B4" s="68" t="s">
        <v>84</v>
      </c>
      <c r="C4" t="s">
        <v>841</v>
      </c>
      <c r="D4" s="49" t="s">
        <v>133</v>
      </c>
      <c r="E4" s="795">
        <f t="shared" si="0"/>
        <v>3.25</v>
      </c>
      <c r="F4" s="49" t="s">
        <v>3075</v>
      </c>
    </row>
    <row r="5" spans="1:6" x14ac:dyDescent="0.25">
      <c r="A5" t="s">
        <v>2981</v>
      </c>
      <c r="B5" s="68" t="s">
        <v>84</v>
      </c>
      <c r="C5" t="s">
        <v>841</v>
      </c>
      <c r="D5" s="49" t="s">
        <v>133</v>
      </c>
      <c r="E5" s="795">
        <f t="shared" si="0"/>
        <v>3.25</v>
      </c>
      <c r="F5" s="49" t="s">
        <v>3075</v>
      </c>
    </row>
    <row r="6" spans="1:6" x14ac:dyDescent="0.25">
      <c r="A6" t="s">
        <v>2982</v>
      </c>
      <c r="B6" s="68" t="s">
        <v>84</v>
      </c>
      <c r="C6" t="s">
        <v>841</v>
      </c>
      <c r="D6" s="49" t="s">
        <v>133</v>
      </c>
      <c r="E6" s="795">
        <f t="shared" si="0"/>
        <v>3.25</v>
      </c>
      <c r="F6" s="49" t="s">
        <v>3075</v>
      </c>
    </row>
    <row r="7" spans="1:6" x14ac:dyDescent="0.25">
      <c r="A7" t="s">
        <v>2983</v>
      </c>
      <c r="B7" s="68" t="s">
        <v>84</v>
      </c>
      <c r="C7" t="s">
        <v>841</v>
      </c>
      <c r="D7" s="49" t="s">
        <v>133</v>
      </c>
      <c r="E7" s="795">
        <f t="shared" si="0"/>
        <v>3.25</v>
      </c>
      <c r="F7" s="49" t="s">
        <v>3075</v>
      </c>
    </row>
    <row r="8" spans="1:6" x14ac:dyDescent="0.25">
      <c r="A8" t="s">
        <v>2984</v>
      </c>
      <c r="B8" s="68" t="s">
        <v>84</v>
      </c>
      <c r="C8" t="s">
        <v>841</v>
      </c>
      <c r="D8" s="49" t="s">
        <v>133</v>
      </c>
      <c r="E8" s="795">
        <f t="shared" si="0"/>
        <v>3.25</v>
      </c>
      <c r="F8" s="49" t="s">
        <v>3075</v>
      </c>
    </row>
    <row r="9" spans="1:6" x14ac:dyDescent="0.25">
      <c r="A9" t="s">
        <v>2985</v>
      </c>
      <c r="B9" s="68" t="s">
        <v>84</v>
      </c>
      <c r="C9" t="s">
        <v>841</v>
      </c>
      <c r="D9" s="49" t="s">
        <v>133</v>
      </c>
      <c r="E9" s="795">
        <f t="shared" si="0"/>
        <v>3.25</v>
      </c>
      <c r="F9" s="49" t="s">
        <v>3075</v>
      </c>
    </row>
    <row r="10" spans="1:6" x14ac:dyDescent="0.25">
      <c r="A10" t="s">
        <v>2986</v>
      </c>
      <c r="B10" s="68" t="s">
        <v>84</v>
      </c>
      <c r="C10" t="s">
        <v>841</v>
      </c>
      <c r="D10" s="49" t="s">
        <v>133</v>
      </c>
      <c r="E10" s="795">
        <f t="shared" si="0"/>
        <v>3.25</v>
      </c>
      <c r="F10" s="49" t="s">
        <v>3075</v>
      </c>
    </row>
    <row r="11" spans="1:6" x14ac:dyDescent="0.25">
      <c r="A11" t="s">
        <v>2987</v>
      </c>
      <c r="B11" s="68" t="s">
        <v>84</v>
      </c>
      <c r="C11" t="s">
        <v>841</v>
      </c>
      <c r="D11" s="49" t="s">
        <v>133</v>
      </c>
      <c r="E11" s="795">
        <f t="shared" si="0"/>
        <v>3.25</v>
      </c>
      <c r="F11" s="49" t="s">
        <v>3075</v>
      </c>
    </row>
    <row r="12" spans="1:6" x14ac:dyDescent="0.25">
      <c r="A12" t="s">
        <v>2996</v>
      </c>
      <c r="B12" s="68" t="s">
        <v>84</v>
      </c>
      <c r="C12" t="s">
        <v>3140</v>
      </c>
      <c r="D12" s="49" t="s">
        <v>393</v>
      </c>
      <c r="E12">
        <f>1300*365*120/1000000000</f>
        <v>5.6939999999999998E-2</v>
      </c>
      <c r="F12" s="49" t="s">
        <v>3141</v>
      </c>
    </row>
    <row r="13" spans="1:6" x14ac:dyDescent="0.25">
      <c r="A13" t="s">
        <v>2999</v>
      </c>
      <c r="B13" s="68" t="s">
        <v>84</v>
      </c>
      <c r="C13" t="s">
        <v>788</v>
      </c>
      <c r="D13" s="49" t="s">
        <v>393</v>
      </c>
      <c r="E13">
        <f>0.097952</f>
        <v>9.7951999999999997E-2</v>
      </c>
      <c r="F13" s="49" t="s">
        <v>3142</v>
      </c>
    </row>
    <row r="14" spans="1:6" x14ac:dyDescent="0.25">
      <c r="A14" t="s">
        <v>3000</v>
      </c>
      <c r="B14" s="68" t="s">
        <v>84</v>
      </c>
      <c r="C14" t="s">
        <v>788</v>
      </c>
      <c r="D14" s="49" t="s">
        <v>393</v>
      </c>
      <c r="E14">
        <f t="shared" ref="E14:E17" si="1">0.097952</f>
        <v>9.7951999999999997E-2</v>
      </c>
      <c r="F14" s="49" t="s">
        <v>3142</v>
      </c>
    </row>
    <row r="15" spans="1:6" x14ac:dyDescent="0.25">
      <c r="A15" t="s">
        <v>3001</v>
      </c>
      <c r="B15" s="68" t="s">
        <v>84</v>
      </c>
      <c r="C15" t="s">
        <v>788</v>
      </c>
      <c r="D15" s="49" t="s">
        <v>393</v>
      </c>
      <c r="E15">
        <f t="shared" si="1"/>
        <v>9.7951999999999997E-2</v>
      </c>
      <c r="F15" s="49" t="s">
        <v>3142</v>
      </c>
    </row>
    <row r="16" spans="1:6" x14ac:dyDescent="0.25">
      <c r="A16" t="s">
        <v>3002</v>
      </c>
      <c r="B16" s="68" t="s">
        <v>84</v>
      </c>
      <c r="C16" t="s">
        <v>788</v>
      </c>
      <c r="D16" s="49" t="s">
        <v>393</v>
      </c>
      <c r="E16">
        <f t="shared" si="1"/>
        <v>9.7951999999999997E-2</v>
      </c>
      <c r="F16" s="49" t="s">
        <v>3142</v>
      </c>
    </row>
    <row r="17" spans="1:6" x14ac:dyDescent="0.25">
      <c r="A17" t="s">
        <v>3003</v>
      </c>
      <c r="B17" s="68" t="s">
        <v>84</v>
      </c>
      <c r="C17" t="s">
        <v>788</v>
      </c>
      <c r="D17" s="49" t="s">
        <v>393</v>
      </c>
      <c r="E17">
        <f t="shared" si="1"/>
        <v>9.7951999999999997E-2</v>
      </c>
      <c r="F17" s="49" t="s">
        <v>3142</v>
      </c>
    </row>
    <row r="18" spans="1:6" x14ac:dyDescent="0.25">
      <c r="A18" t="s">
        <v>2998</v>
      </c>
      <c r="B18" s="68" t="s">
        <v>84</v>
      </c>
      <c r="C18" t="s">
        <v>3139</v>
      </c>
      <c r="D18" s="49" t="s">
        <v>393</v>
      </c>
      <c r="E18">
        <f>0.094608</f>
        <v>9.4607999999999998E-2</v>
      </c>
      <c r="F18" s="49" t="s">
        <v>3143</v>
      </c>
    </row>
    <row r="19" spans="1:6" x14ac:dyDescent="0.25">
      <c r="A19" t="s">
        <v>2997</v>
      </c>
      <c r="B19" s="68" t="s">
        <v>84</v>
      </c>
      <c r="C19" t="s">
        <v>3139</v>
      </c>
      <c r="D19" s="49" t="s">
        <v>393</v>
      </c>
      <c r="E19">
        <f>0.011038</f>
        <v>1.1037999999999999E-2</v>
      </c>
      <c r="F19" s="49" t="s">
        <v>3143</v>
      </c>
    </row>
    <row r="21" spans="1:6" x14ac:dyDescent="0.25">
      <c r="D21"/>
      <c r="E21" s="68"/>
    </row>
    <row r="22" spans="1:6" x14ac:dyDescent="0.25">
      <c r="D22"/>
      <c r="E22" s="68"/>
    </row>
    <row r="23" spans="1:6" x14ac:dyDescent="0.25">
      <c r="D23"/>
      <c r="E23" s="68"/>
    </row>
    <row r="24" spans="1:6" x14ac:dyDescent="0.25">
      <c r="D24"/>
      <c r="E24" s="68"/>
    </row>
    <row r="25" spans="1:6" x14ac:dyDescent="0.25">
      <c r="D25"/>
      <c r="E25" s="68"/>
    </row>
    <row r="26" spans="1:6" x14ac:dyDescent="0.25">
      <c r="D26"/>
      <c r="E26" s="68"/>
    </row>
    <row r="27" spans="1:6" x14ac:dyDescent="0.25">
      <c r="D27"/>
      <c r="E27" s="68"/>
    </row>
    <row r="28" spans="1:6" x14ac:dyDescent="0.25">
      <c r="D28"/>
      <c r="E28" s="68"/>
    </row>
    <row r="29" spans="1:6" x14ac:dyDescent="0.25">
      <c r="D29"/>
      <c r="E29" s="68"/>
    </row>
    <row r="30" spans="1:6" x14ac:dyDescent="0.25">
      <c r="D30"/>
      <c r="E30" s="68"/>
    </row>
    <row r="31" spans="1:6" x14ac:dyDescent="0.25">
      <c r="D31"/>
      <c r="E31" s="68"/>
    </row>
    <row r="32" spans="1:6" x14ac:dyDescent="0.25">
      <c r="D32"/>
      <c r="E32" s="68"/>
    </row>
    <row r="33" spans="4:5" x14ac:dyDescent="0.25">
      <c r="D33"/>
      <c r="E33" s="68"/>
    </row>
    <row r="34" spans="4:5" x14ac:dyDescent="0.25">
      <c r="D34"/>
      <c r="E34" s="68"/>
    </row>
  </sheetData>
  <conditionalFormatting sqref="E2:E11">
    <cfRule type="cellIs" dxfId="20" priority="1" operator="less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A7A60-217F-4D98-AF27-E9E6AB966519}">
  <sheetPr>
    <tabColor theme="9" tint="0.59999389629810485"/>
    <pageSetUpPr autoPageBreaks="0"/>
  </sheetPr>
  <dimension ref="A1:AW65"/>
  <sheetViews>
    <sheetView zoomScale="55" zoomScaleNormal="55" workbookViewId="0">
      <selection activeCell="K10" sqref="K10"/>
    </sheetView>
  </sheetViews>
  <sheetFormatPr defaultRowHeight="15" x14ac:dyDescent="0.25"/>
  <cols>
    <col min="1" max="1" width="33.42578125" bestFit="1" customWidth="1"/>
    <col min="2" max="2" width="30" bestFit="1" customWidth="1"/>
    <col min="3" max="3" width="5" bestFit="1" customWidth="1"/>
    <col min="4" max="4" width="35.28515625" customWidth="1"/>
    <col min="5" max="5" width="6.28515625" style="49" bestFit="1" customWidth="1"/>
    <col min="6" max="11" width="10.7109375" customWidth="1"/>
    <col min="12" max="12" width="10.7109375" style="49" customWidth="1"/>
    <col min="13" max="13" width="107.140625" style="51" customWidth="1"/>
    <col min="15" max="15" width="1.7109375" style="48" customWidth="1"/>
    <col min="17" max="17" width="20.140625" customWidth="1"/>
    <col min="33" max="33" width="8.42578125" bestFit="1" customWidth="1"/>
    <col min="40" max="40" width="13.7109375" bestFit="1" customWidth="1"/>
    <col min="41" max="41" width="28.140625" customWidth="1"/>
    <col min="42" max="45" width="9.85546875" customWidth="1"/>
  </cols>
  <sheetData>
    <row r="1" spans="1:49" ht="15.75" x14ac:dyDescent="0.25">
      <c r="A1" s="1"/>
      <c r="B1" s="1"/>
      <c r="C1" s="1"/>
      <c r="D1" s="1"/>
      <c r="E1" s="104"/>
      <c r="F1" s="862" t="s">
        <v>3047</v>
      </c>
      <c r="G1" s="863"/>
      <c r="H1" s="863"/>
      <c r="I1" s="863"/>
      <c r="J1" s="863"/>
      <c r="K1" s="863"/>
      <c r="L1" s="864"/>
      <c r="M1" s="50"/>
      <c r="N1" s="850" t="s">
        <v>1657</v>
      </c>
      <c r="P1" s="850" t="s">
        <v>1658</v>
      </c>
    </row>
    <row r="2" spans="1:49" ht="81" thickBot="1" x14ac:dyDescent="0.3">
      <c r="A2" s="621" t="s">
        <v>2974</v>
      </c>
      <c r="B2" s="621" t="s">
        <v>3049</v>
      </c>
      <c r="C2" s="621" t="s">
        <v>3037</v>
      </c>
      <c r="D2" s="621" t="s">
        <v>3040</v>
      </c>
      <c r="E2" s="622" t="s">
        <v>3041</v>
      </c>
      <c r="F2" s="621">
        <v>2021</v>
      </c>
      <c r="G2" s="621">
        <v>2025</v>
      </c>
      <c r="H2" s="621">
        <v>2030</v>
      </c>
      <c r="I2" s="621">
        <v>2035</v>
      </c>
      <c r="J2" s="621">
        <v>2040</v>
      </c>
      <c r="K2" s="621">
        <v>2045</v>
      </c>
      <c r="L2" s="622">
        <v>2050</v>
      </c>
      <c r="M2" s="625" t="s">
        <v>3039</v>
      </c>
      <c r="N2" s="850"/>
      <c r="O2" s="627"/>
      <c r="P2" s="850"/>
    </row>
    <row r="3" spans="1:49" ht="15.75" thickTop="1" x14ac:dyDescent="0.25">
      <c r="A3" s="217" t="s">
        <v>3053</v>
      </c>
      <c r="B3" s="217" t="s">
        <v>1227</v>
      </c>
      <c r="C3" s="217" t="s">
        <v>84</v>
      </c>
      <c r="D3" s="217" t="s">
        <v>148</v>
      </c>
      <c r="E3" s="218">
        <v>2023</v>
      </c>
      <c r="F3" s="805">
        <f>$AM$15/CapacityToActivity!$E$2</f>
        <v>7.150904287035513E-2</v>
      </c>
      <c r="G3" s="805">
        <f t="shared" ref="G3" si="0">AVERAGE(F3,H3)</f>
        <v>7.7524837421301909E-2</v>
      </c>
      <c r="H3" s="805">
        <f>$AO$15 / CapacityToActivity!$E$2</f>
        <v>8.3540631972248688E-2</v>
      </c>
      <c r="I3" s="805">
        <f>$AO$15 / CapacityToActivity!$E$2</f>
        <v>8.3540631972248688E-2</v>
      </c>
      <c r="J3" s="845" t="e">
        <f>NA()</f>
        <v>#N/A</v>
      </c>
      <c r="K3" s="845" t="e">
        <f>NA()</f>
        <v>#N/A</v>
      </c>
      <c r="L3" s="845" t="e">
        <f>NA()</f>
        <v>#N/A</v>
      </c>
      <c r="M3" s="219" t="s">
        <v>3084</v>
      </c>
      <c r="N3" s="850"/>
      <c r="P3" s="850"/>
      <c r="Q3" s="879" t="s">
        <v>3076</v>
      </c>
      <c r="R3" s="879"/>
      <c r="S3" s="879"/>
      <c r="T3" s="879"/>
      <c r="U3" s="879"/>
      <c r="V3" s="879"/>
      <c r="W3" s="879"/>
      <c r="X3" s="879"/>
      <c r="Y3" s="879"/>
      <c r="Z3" s="879"/>
      <c r="AA3" s="879"/>
      <c r="AB3" s="879"/>
      <c r="AC3" s="879"/>
      <c r="AD3" s="879"/>
      <c r="AE3" s="879"/>
      <c r="AF3" s="879"/>
      <c r="AG3" s="879"/>
      <c r="AH3" s="879"/>
      <c r="AI3" s="879"/>
      <c r="AJ3" s="879"/>
      <c r="AK3" s="879"/>
      <c r="AL3" s="879"/>
      <c r="AM3" s="879"/>
    </row>
    <row r="4" spans="1:49" ht="15.75" thickBot="1" x14ac:dyDescent="0.3">
      <c r="A4" t="s">
        <v>3068</v>
      </c>
      <c r="B4" t="s">
        <v>1227</v>
      </c>
      <c r="C4" t="s">
        <v>84</v>
      </c>
      <c r="D4" t="s">
        <v>148</v>
      </c>
      <c r="E4" s="49">
        <v>2023</v>
      </c>
      <c r="F4" s="103">
        <f t="shared" ref="F4:F9" si="1">$F$3</f>
        <v>7.150904287035513E-2</v>
      </c>
      <c r="G4" s="103">
        <f t="shared" ref="G4:G9" si="2">$G$3</f>
        <v>7.7524837421301909E-2</v>
      </c>
      <c r="H4" s="103">
        <f t="shared" ref="H4:L9" si="3">$H$3</f>
        <v>8.3540631972248688E-2</v>
      </c>
      <c r="I4" s="103">
        <f t="shared" si="3"/>
        <v>8.3540631972248688E-2</v>
      </c>
      <c r="J4" s="103">
        <f t="shared" si="3"/>
        <v>8.3540631972248688E-2</v>
      </c>
      <c r="K4" s="103">
        <f t="shared" si="3"/>
        <v>8.3540631972248688E-2</v>
      </c>
      <c r="L4" s="802">
        <f t="shared" si="3"/>
        <v>8.3540631972248688E-2</v>
      </c>
      <c r="M4" s="51" t="s">
        <v>3084</v>
      </c>
      <c r="N4" s="850"/>
      <c r="P4" s="850"/>
      <c r="Q4" s="83" t="s">
        <v>3077</v>
      </c>
      <c r="R4" s="83">
        <v>2000</v>
      </c>
      <c r="S4" s="83">
        <v>2001</v>
      </c>
      <c r="T4" s="83">
        <v>2002</v>
      </c>
      <c r="U4" s="83">
        <v>2003</v>
      </c>
      <c r="V4" s="83">
        <v>2004</v>
      </c>
      <c r="W4" s="83">
        <v>2005</v>
      </c>
      <c r="X4" s="83">
        <v>2006</v>
      </c>
      <c r="Y4" s="83">
        <v>2007</v>
      </c>
      <c r="Z4" s="83">
        <v>2008</v>
      </c>
      <c r="AA4" s="83">
        <v>2009</v>
      </c>
      <c r="AB4" s="83">
        <v>2010</v>
      </c>
      <c r="AC4" s="83">
        <v>2011</v>
      </c>
      <c r="AD4" s="83">
        <v>2012</v>
      </c>
      <c r="AE4" s="83">
        <v>2013</v>
      </c>
      <c r="AF4" s="83">
        <v>2014</v>
      </c>
      <c r="AG4" s="83">
        <v>2015</v>
      </c>
      <c r="AH4" s="83">
        <v>2016</v>
      </c>
      <c r="AI4" s="83">
        <v>2017</v>
      </c>
      <c r="AJ4" s="83">
        <v>2018</v>
      </c>
      <c r="AK4" s="83">
        <v>2019</v>
      </c>
      <c r="AL4" s="83">
        <v>2020</v>
      </c>
      <c r="AM4" s="83">
        <v>2021</v>
      </c>
      <c r="AN4" s="492" t="s">
        <v>3078</v>
      </c>
      <c r="AO4" s="796" t="s">
        <v>3079</v>
      </c>
      <c r="AP4" t="s">
        <v>3080</v>
      </c>
      <c r="AQ4" t="s">
        <v>3081</v>
      </c>
      <c r="AR4" t="s">
        <v>3082</v>
      </c>
      <c r="AS4" t="s">
        <v>3083</v>
      </c>
    </row>
    <row r="5" spans="1:49" ht="15.75" thickTop="1" x14ac:dyDescent="0.25">
      <c r="A5" t="s">
        <v>3069</v>
      </c>
      <c r="B5" t="s">
        <v>1227</v>
      </c>
      <c r="C5" t="s">
        <v>84</v>
      </c>
      <c r="D5" t="s">
        <v>148</v>
      </c>
      <c r="E5" s="49">
        <v>2023</v>
      </c>
      <c r="F5" s="103">
        <f t="shared" si="1"/>
        <v>7.150904287035513E-2</v>
      </c>
      <c r="G5" s="103">
        <f t="shared" si="2"/>
        <v>7.7524837421301909E-2</v>
      </c>
      <c r="H5" s="103">
        <f t="shared" si="3"/>
        <v>8.3540631972248688E-2</v>
      </c>
      <c r="I5" s="103">
        <f t="shared" si="3"/>
        <v>8.3540631972248688E-2</v>
      </c>
      <c r="J5" s="103">
        <f t="shared" si="3"/>
        <v>8.3540631972248688E-2</v>
      </c>
      <c r="K5" s="103">
        <f t="shared" si="3"/>
        <v>8.3540631972248688E-2</v>
      </c>
      <c r="L5" s="802">
        <f t="shared" si="3"/>
        <v>8.3540631972248688E-2</v>
      </c>
      <c r="M5" s="51" t="s">
        <v>3084</v>
      </c>
      <c r="N5" s="850"/>
      <c r="P5" s="850"/>
      <c r="Q5" t="s">
        <v>8</v>
      </c>
      <c r="R5" s="57">
        <f>('Background Data'!C22/1000)/'Background Data'!C11</f>
        <v>3.2344641455905251E-2</v>
      </c>
      <c r="S5" s="57">
        <f>('Background Data'!D22/1000)/'Background Data'!D11</f>
        <v>3.1053866784300416E-2</v>
      </c>
      <c r="T5" s="57">
        <f>('Background Data'!E22/1000)/'Background Data'!E11</f>
        <v>3.2578498571603234E-2</v>
      </c>
      <c r="U5" s="57">
        <f>('Background Data'!F22/1000)/'Background Data'!F11</f>
        <v>3.2538768141112021E-2</v>
      </c>
      <c r="V5" s="57">
        <f>('Background Data'!G22/1000)/'Background Data'!G11</f>
        <v>3.264464048866033E-2</v>
      </c>
      <c r="W5" s="57">
        <f>('Background Data'!H22/1000)/'Background Data'!H11</f>
        <v>3.3091951841164743E-2</v>
      </c>
      <c r="X5" s="57">
        <f>('Background Data'!I22/1000)/'Background Data'!I11</f>
        <v>3.2283970632783335E-2</v>
      </c>
      <c r="Y5" s="57">
        <f>('Background Data'!J22/1000)/'Background Data'!J11</f>
        <v>3.2339642376463792E-2</v>
      </c>
      <c r="Z5" s="57">
        <f>('Background Data'!K22/1000)/'Background Data'!K11</f>
        <v>3.1680511311296969E-2</v>
      </c>
      <c r="AA5" s="57">
        <f>('Background Data'!L22/1000)/'Background Data'!L11</f>
        <v>3.2532432107723434E-2</v>
      </c>
      <c r="AB5" s="57">
        <f>('Background Data'!M22/1000)/'Background Data'!M11</f>
        <v>3.2844567065277927E-2</v>
      </c>
      <c r="AC5" s="57">
        <f>('Background Data'!N22/1000)/'Background Data'!N11</f>
        <v>3.2220895183784362E-2</v>
      </c>
      <c r="AD5" s="57">
        <f>('Background Data'!O22/1000)/'Background Data'!O11</f>
        <v>3.0182980822698366E-2</v>
      </c>
      <c r="AE5" s="57">
        <f>('Background Data'!P22/1000)/'Background Data'!P11</f>
        <v>3.1109987031755638E-2</v>
      </c>
      <c r="AF5" s="57">
        <f>('Background Data'!Q22/1000)/'Background Data'!Q11</f>
        <v>2.9214497755787192E-2</v>
      </c>
      <c r="AG5" s="57">
        <f>('Background Data'!R22/1000)/'Background Data'!R11</f>
        <v>2.8547056072091306E-2</v>
      </c>
      <c r="AH5" s="57">
        <f>('Background Data'!S22/1000)/'Background Data'!S11</f>
        <v>2.7740761522067354E-2</v>
      </c>
      <c r="AI5" s="57">
        <f>('Background Data'!T22/1000)/'Background Data'!T11</f>
        <v>2.6341252191109745E-2</v>
      </c>
      <c r="AJ5" s="57">
        <f>('Background Data'!U22/1000)/'Background Data'!U11</f>
        <v>2.5684479099081194E-2</v>
      </c>
      <c r="AK5" s="57">
        <f>('Background Data'!V22/1000)/'Background Data'!V11</f>
        <v>2.6495047866549024E-2</v>
      </c>
      <c r="AL5" s="57">
        <f>('Background Data'!W22/1000)/'Background Data'!W11</f>
        <v>2.1024710993844904E-2</v>
      </c>
      <c r="AM5" s="57">
        <f>('Background Data'!X22/1000)/'Background Data'!X11</f>
        <v>2.1703525725004773E-2</v>
      </c>
      <c r="AN5" s="797">
        <f>MAX(R5:AM5)</f>
        <v>3.3091951841164743E-2</v>
      </c>
      <c r="AO5" s="57">
        <f>AVERAGE(AF5:AK5)</f>
        <v>2.7337182417780968E-2</v>
      </c>
      <c r="AP5" s="81">
        <f t="shared" ref="AP5:AP13" si="4">AN5/AK5 - 1</f>
        <v>0.24898630143425993</v>
      </c>
      <c r="AQ5" s="81">
        <f t="shared" ref="AQ5:AQ13" si="5">AN5/AM5 - 1</f>
        <v>0.52472700797360727</v>
      </c>
      <c r="AR5" s="81">
        <f t="shared" ref="AR5:AR13" si="6">AK5/AM5 - 1</f>
        <v>0.22077160191645295</v>
      </c>
      <c r="AS5" s="81">
        <f>AO5/AM5 - 1</f>
        <v>0.25957334140810229</v>
      </c>
    </row>
    <row r="6" spans="1:49" x14ac:dyDescent="0.25">
      <c r="A6" t="s">
        <v>3070</v>
      </c>
      <c r="B6" t="s">
        <v>1227</v>
      </c>
      <c r="C6" t="s">
        <v>84</v>
      </c>
      <c r="D6" t="s">
        <v>148</v>
      </c>
      <c r="E6" s="49">
        <v>2023</v>
      </c>
      <c r="F6" s="103">
        <f t="shared" si="1"/>
        <v>7.150904287035513E-2</v>
      </c>
      <c r="G6" s="103">
        <f t="shared" si="2"/>
        <v>7.7524837421301909E-2</v>
      </c>
      <c r="H6" s="103">
        <f t="shared" si="3"/>
        <v>8.3540631972248688E-2</v>
      </c>
      <c r="I6" s="103">
        <f t="shared" si="3"/>
        <v>8.3540631972248688E-2</v>
      </c>
      <c r="J6" s="103">
        <f t="shared" si="3"/>
        <v>8.3540631972248688E-2</v>
      </c>
      <c r="K6" s="103">
        <f t="shared" si="3"/>
        <v>8.3540631972248688E-2</v>
      </c>
      <c r="L6" s="802">
        <f t="shared" si="3"/>
        <v>8.3540631972248688E-2</v>
      </c>
      <c r="M6" s="51" t="s">
        <v>3084</v>
      </c>
      <c r="N6" s="850"/>
      <c r="P6" s="850"/>
      <c r="Q6" t="s">
        <v>178</v>
      </c>
      <c r="R6" s="57">
        <f>('Background Data'!C23/1000)/'Background Data'!C12</f>
        <v>3.4571858626768925E-2</v>
      </c>
      <c r="S6" s="57">
        <f>('Background Data'!D23/1000)/'Background Data'!D12</f>
        <v>3.3331462439774681E-2</v>
      </c>
      <c r="T6" s="57">
        <f>('Background Data'!E23/1000)/'Background Data'!E12</f>
        <v>3.4808917490509621E-2</v>
      </c>
      <c r="U6" s="57">
        <f>('Background Data'!F23/1000)/'Background Data'!F12</f>
        <v>3.4676535147371665E-2</v>
      </c>
      <c r="V6" s="57">
        <f>('Background Data'!G23/1000)/'Background Data'!G12</f>
        <v>3.4888728946858551E-2</v>
      </c>
      <c r="W6" s="57">
        <f>('Background Data'!H23/1000)/'Background Data'!H12</f>
        <v>3.5452165670563481E-2</v>
      </c>
      <c r="X6" s="57">
        <f>('Background Data'!I23/1000)/'Background Data'!I12</f>
        <v>3.461712949639946E-2</v>
      </c>
      <c r="Y6" s="57">
        <f>('Background Data'!J23/1000)/'Background Data'!J12</f>
        <v>3.4618994202411997E-2</v>
      </c>
      <c r="Z6" s="57">
        <f>('Background Data'!K23/1000)/'Background Data'!K12</f>
        <v>3.3862308793488331E-2</v>
      </c>
      <c r="AA6" s="57">
        <f>('Background Data'!L23/1000)/'Background Data'!L12</f>
        <v>3.4805427253057929E-2</v>
      </c>
      <c r="AB6" s="57">
        <f>('Background Data'!M23/1000)/'Background Data'!M12</f>
        <v>3.5367126614479168E-2</v>
      </c>
      <c r="AC6" s="57">
        <f>('Background Data'!N23/1000)/'Background Data'!N12</f>
        <v>3.4924048952178176E-2</v>
      </c>
      <c r="AD6" s="57">
        <f>('Background Data'!O23/1000)/'Background Data'!O12</f>
        <v>3.2606861008902352E-2</v>
      </c>
      <c r="AE6" s="57">
        <f>('Background Data'!P23/1000)/'Background Data'!P12</f>
        <v>3.3859710051605527E-2</v>
      </c>
      <c r="AF6" s="57">
        <f>('Background Data'!Q23/1000)/'Background Data'!Q12</f>
        <v>3.1930848492738043E-2</v>
      </c>
      <c r="AG6" s="57">
        <f>('Background Data'!R23/1000)/'Background Data'!R12</f>
        <v>3.139260353733396E-2</v>
      </c>
      <c r="AH6" s="57">
        <f>('Background Data'!S23/1000)/'Background Data'!S12</f>
        <v>3.0839517973884682E-2</v>
      </c>
      <c r="AI6" s="57">
        <f>('Background Data'!T23/1000)/'Background Data'!T12</f>
        <v>2.9547100963760526E-2</v>
      </c>
      <c r="AJ6" s="57">
        <f>('Background Data'!U23/1000)/'Background Data'!U12</f>
        <v>2.9130318639308584E-2</v>
      </c>
      <c r="AK6" s="57">
        <f>('Background Data'!V23/1000)/'Background Data'!V12</f>
        <v>3.0043278510270104E-2</v>
      </c>
      <c r="AL6" s="57">
        <f>('Background Data'!W23/1000)/'Background Data'!W12</f>
        <v>2.3925592614651721E-2</v>
      </c>
      <c r="AM6" s="57">
        <f>('Background Data'!X23/1000)/'Background Data'!X12</f>
        <v>2.5008225709264743E-2</v>
      </c>
      <c r="AN6" s="797">
        <f t="shared" ref="AN6:AN16" si="7">MAX(R6:AM6)</f>
        <v>3.5452165670563481E-2</v>
      </c>
      <c r="AO6" s="57">
        <f t="shared" ref="AO6:AO13" si="8">AVERAGE(AF6:AK6)</f>
        <v>3.0480611352882648E-2</v>
      </c>
      <c r="AP6" s="81">
        <f t="shared" si="4"/>
        <v>0.18003651493775497</v>
      </c>
      <c r="AQ6" s="81">
        <f t="shared" si="5"/>
        <v>0.41762018956145264</v>
      </c>
      <c r="AR6" s="81">
        <f t="shared" si="6"/>
        <v>0.20133586682801075</v>
      </c>
      <c r="AS6" s="81">
        <f t="shared" ref="AS6:AS13" si="9">AO6/AM6 - 1</f>
        <v>0.21882342662920551</v>
      </c>
    </row>
    <row r="7" spans="1:49" s="194" customFormat="1" x14ac:dyDescent="0.25">
      <c r="A7" t="s">
        <v>3071</v>
      </c>
      <c r="B7" t="s">
        <v>1227</v>
      </c>
      <c r="C7" t="s">
        <v>84</v>
      </c>
      <c r="D7" t="s">
        <v>148</v>
      </c>
      <c r="E7" s="49">
        <v>2023</v>
      </c>
      <c r="F7" s="103">
        <f t="shared" si="1"/>
        <v>7.150904287035513E-2</v>
      </c>
      <c r="G7" s="103">
        <f t="shared" si="2"/>
        <v>7.7524837421301909E-2</v>
      </c>
      <c r="H7" s="103">
        <f t="shared" si="3"/>
        <v>8.3540631972248688E-2</v>
      </c>
      <c r="I7" s="103">
        <f t="shared" si="3"/>
        <v>8.3540631972248688E-2</v>
      </c>
      <c r="J7" s="103">
        <f t="shared" si="3"/>
        <v>8.3540631972248688E-2</v>
      </c>
      <c r="K7" s="103">
        <f t="shared" si="3"/>
        <v>8.3540631972248688E-2</v>
      </c>
      <c r="L7" s="802">
        <f t="shared" si="3"/>
        <v>8.3540631972248688E-2</v>
      </c>
      <c r="M7" s="51" t="s">
        <v>3084</v>
      </c>
      <c r="N7" s="850"/>
      <c r="O7" s="48"/>
      <c r="P7" s="850"/>
      <c r="Q7" t="s">
        <v>179</v>
      </c>
      <c r="R7" s="57">
        <f>('Background Data'!C24/1000)/'Background Data'!C13</f>
        <v>1.273925908653681E-2</v>
      </c>
      <c r="S7" s="57">
        <f>('Background Data'!D24/1000)/'Background Data'!D13</f>
        <v>1.2464137792101503E-2</v>
      </c>
      <c r="T7" s="57">
        <f>('Background Data'!E24/1000)/'Background Data'!E13</f>
        <v>1.2885583822679344E-2</v>
      </c>
      <c r="U7" s="57">
        <f>('Background Data'!F24/1000)/'Background Data'!F13</f>
        <v>1.298766431992282E-2</v>
      </c>
      <c r="V7" s="57">
        <f>('Background Data'!G24/1000)/'Background Data'!G13</f>
        <v>1.320514561392663E-2</v>
      </c>
      <c r="W7" s="57">
        <f>('Background Data'!H24/1000)/'Background Data'!H13</f>
        <v>1.3458545846160274E-2</v>
      </c>
      <c r="X7" s="57">
        <f>('Background Data'!I24/1000)/'Background Data'!I13</f>
        <v>1.3501470204126237E-2</v>
      </c>
      <c r="Y7" s="57">
        <f>('Background Data'!J24/1000)/'Background Data'!J13</f>
        <v>1.3635511623447191E-2</v>
      </c>
      <c r="Z7" s="57">
        <f>('Background Data'!K24/1000)/'Background Data'!K13</f>
        <v>1.3383182500437699E-2</v>
      </c>
      <c r="AA7" s="57">
        <f>('Background Data'!L24/1000)/'Background Data'!L13</f>
        <v>1.3619195574545034E-2</v>
      </c>
      <c r="AB7" s="57">
        <f>('Background Data'!M24/1000)/'Background Data'!M13</f>
        <v>1.385656618106414E-2</v>
      </c>
      <c r="AC7" s="57">
        <f>('Background Data'!N24/1000)/'Background Data'!N13</f>
        <v>1.3767956311633595E-2</v>
      </c>
      <c r="AD7" s="57">
        <f>('Background Data'!O24/1000)/'Background Data'!O13</f>
        <v>1.2984622219769152E-2</v>
      </c>
      <c r="AE7" s="57">
        <f>('Background Data'!P24/1000)/'Background Data'!P13</f>
        <v>1.3226894114269682E-2</v>
      </c>
      <c r="AF7" s="57">
        <f>('Background Data'!Q24/1000)/'Background Data'!Q13</f>
        <v>1.2422515330237954E-2</v>
      </c>
      <c r="AG7" s="57">
        <f>('Background Data'!R24/1000)/'Background Data'!R13</f>
        <v>1.2189752767090924E-2</v>
      </c>
      <c r="AH7" s="57">
        <f>('Background Data'!S24/1000)/'Background Data'!S13</f>
        <v>1.2077358446442497E-2</v>
      </c>
      <c r="AI7" s="57">
        <f>('Background Data'!T24/1000)/'Background Data'!T13</f>
        <v>1.155246107365107E-2</v>
      </c>
      <c r="AJ7" s="57">
        <f>('Background Data'!U24/1000)/'Background Data'!U13</f>
        <v>1.1253466320967357E-2</v>
      </c>
      <c r="AK7" s="57">
        <f>('Background Data'!V24/1000)/'Background Data'!V13</f>
        <v>1.159686741620012E-2</v>
      </c>
      <c r="AL7" s="57">
        <f>('Background Data'!W24/1000)/'Background Data'!W13</f>
        <v>9.3020102781985262E-3</v>
      </c>
      <c r="AM7" s="57">
        <f>('Background Data'!X24/1000)/'Background Data'!X13</f>
        <v>9.7535331418949801E-3</v>
      </c>
      <c r="AN7" s="797">
        <f t="shared" si="7"/>
        <v>1.385656618106414E-2</v>
      </c>
      <c r="AO7" s="57">
        <f t="shared" si="8"/>
        <v>1.1848736892431655E-2</v>
      </c>
      <c r="AP7" s="81">
        <f t="shared" si="4"/>
        <v>0.19485423811152303</v>
      </c>
      <c r="AQ7" s="81">
        <f t="shared" si="5"/>
        <v>0.42067146125183474</v>
      </c>
      <c r="AR7" s="81">
        <f t="shared" si="6"/>
        <v>0.18899144007491464</v>
      </c>
      <c r="AS7" s="81">
        <f t="shared" si="9"/>
        <v>0.21481484914804994</v>
      </c>
      <c r="AT7"/>
      <c r="AU7"/>
      <c r="AV7"/>
      <c r="AW7"/>
    </row>
    <row r="8" spans="1:49" x14ac:dyDescent="0.25">
      <c r="A8" t="s">
        <v>3072</v>
      </c>
      <c r="B8" t="s">
        <v>1227</v>
      </c>
      <c r="C8" t="s">
        <v>84</v>
      </c>
      <c r="D8" t="s">
        <v>148</v>
      </c>
      <c r="E8" s="49">
        <v>2023</v>
      </c>
      <c r="F8" s="103">
        <f t="shared" si="1"/>
        <v>7.150904287035513E-2</v>
      </c>
      <c r="G8" s="103">
        <f t="shared" si="2"/>
        <v>7.7524837421301909E-2</v>
      </c>
      <c r="H8" s="103">
        <f t="shared" si="3"/>
        <v>8.3540631972248688E-2</v>
      </c>
      <c r="I8" s="103">
        <f t="shared" si="3"/>
        <v>8.3540631972248688E-2</v>
      </c>
      <c r="J8" s="103">
        <f t="shared" si="3"/>
        <v>8.3540631972248688E-2</v>
      </c>
      <c r="K8" s="103">
        <f t="shared" si="3"/>
        <v>8.3540631972248688E-2</v>
      </c>
      <c r="L8" s="802">
        <f t="shared" si="3"/>
        <v>8.3540631972248688E-2</v>
      </c>
      <c r="M8" s="51" t="s">
        <v>3084</v>
      </c>
      <c r="N8" s="850"/>
      <c r="P8" s="850"/>
      <c r="Q8" t="s">
        <v>19</v>
      </c>
      <c r="R8" s="57">
        <f>('Background Data'!C25/1000)/'Background Data'!C14</f>
        <v>3.6410935210463929E-2</v>
      </c>
      <c r="S8" s="57">
        <f>('Background Data'!D25/1000)/'Background Data'!D14</f>
        <v>3.9172461900047105E-2</v>
      </c>
      <c r="T8" s="57">
        <f>('Background Data'!E25/1000)/'Background Data'!E14</f>
        <v>3.6749746076290959E-2</v>
      </c>
      <c r="U8" s="57">
        <f>('Background Data'!F25/1000)/'Background Data'!F14</f>
        <v>4.2012266409615057E-2</v>
      </c>
      <c r="V8" s="57">
        <f>('Background Data'!G25/1000)/'Background Data'!G14</f>
        <v>3.7878381407843845E-2</v>
      </c>
      <c r="W8" s="57">
        <f>('Background Data'!H25/1000)/'Background Data'!H14</f>
        <v>3.2192589316321102E-2</v>
      </c>
      <c r="X8" s="57">
        <f>('Background Data'!I25/1000)/'Background Data'!I14</f>
        <v>3.6849534233957634E-2</v>
      </c>
      <c r="Y8" s="57">
        <f>('Background Data'!J25/1000)/'Background Data'!J14</f>
        <v>3.7456593710628434E-2</v>
      </c>
      <c r="Z8" s="57">
        <f>('Background Data'!K25/1000)/'Background Data'!K14</f>
        <v>3.3475345080742389E-2</v>
      </c>
      <c r="AA8" s="57">
        <f>('Background Data'!L25/1000)/'Background Data'!L14</f>
        <v>3.2518665325602623E-2</v>
      </c>
      <c r="AB8" s="57">
        <f>('Background Data'!M25/1000)/'Background Data'!M14</f>
        <v>3.4757731982942429E-2</v>
      </c>
      <c r="AC8" s="57">
        <f>('Background Data'!N25/1000)/'Background Data'!N14</f>
        <v>3.4028357218844035E-2</v>
      </c>
      <c r="AD8" s="57">
        <f>('Background Data'!O25/1000)/'Background Data'!O14</f>
        <v>3.1190170171146066E-2</v>
      </c>
      <c r="AE8" s="57">
        <f>('Background Data'!P25/1000)/'Background Data'!P14</f>
        <v>3.0374667115043812E-2</v>
      </c>
      <c r="AF8" s="57">
        <f>('Background Data'!Q25/1000)/'Background Data'!Q14</f>
        <v>2.9060134944391296E-2</v>
      </c>
      <c r="AG8" s="57">
        <f>('Background Data'!R25/1000)/'Background Data'!R14</f>
        <v>2.7547483343615918E-2</v>
      </c>
      <c r="AH8" s="57">
        <f>('Background Data'!S25/1000)/'Background Data'!S14</f>
        <v>2.5952827158539301E-2</v>
      </c>
      <c r="AI8" s="57">
        <f>('Background Data'!T25/1000)/'Background Data'!T14</f>
        <v>2.5891533653123917E-2</v>
      </c>
      <c r="AJ8" s="57">
        <f>('Background Data'!U25/1000)/'Background Data'!U14</f>
        <v>2.6799833667747207E-2</v>
      </c>
      <c r="AK8" s="57">
        <f>('Background Data'!V25/1000)/'Background Data'!V14</f>
        <v>2.6679927463137344E-2</v>
      </c>
      <c r="AL8" s="57">
        <f>('Background Data'!W25/1000)/'Background Data'!W14</f>
        <v>2.2051014964966267E-2</v>
      </c>
      <c r="AM8" s="57">
        <f>('Background Data'!X25/1000)/'Background Data'!X14</f>
        <v>2.4183772144111233E-2</v>
      </c>
      <c r="AN8" s="797">
        <f t="shared" si="7"/>
        <v>4.2012266409615057E-2</v>
      </c>
      <c r="AO8" s="57">
        <f t="shared" si="8"/>
        <v>2.6988623371759168E-2</v>
      </c>
      <c r="AP8" s="81">
        <f t="shared" si="4"/>
        <v>0.57467693522262508</v>
      </c>
      <c r="AQ8" s="81">
        <f t="shared" si="5"/>
        <v>0.73720899118895633</v>
      </c>
      <c r="AR8" s="81">
        <f t="shared" si="6"/>
        <v>0.10321612791220103</v>
      </c>
      <c r="AS8" s="81">
        <f t="shared" si="9"/>
        <v>0.11598071677709387</v>
      </c>
    </row>
    <row r="9" spans="1:49" x14ac:dyDescent="0.25">
      <c r="A9" t="s">
        <v>3073</v>
      </c>
      <c r="B9" t="s">
        <v>1227</v>
      </c>
      <c r="C9" t="s">
        <v>84</v>
      </c>
      <c r="D9" t="s">
        <v>148</v>
      </c>
      <c r="E9" s="49">
        <v>2023</v>
      </c>
      <c r="F9" s="103">
        <f t="shared" si="1"/>
        <v>7.150904287035513E-2</v>
      </c>
      <c r="G9" s="103">
        <f t="shared" si="2"/>
        <v>7.7524837421301909E-2</v>
      </c>
      <c r="H9" s="103">
        <f t="shared" si="3"/>
        <v>8.3540631972248688E-2</v>
      </c>
      <c r="I9" s="103">
        <f t="shared" si="3"/>
        <v>8.3540631972248688E-2</v>
      </c>
      <c r="J9" s="103">
        <f t="shared" si="3"/>
        <v>8.3540631972248688E-2</v>
      </c>
      <c r="K9" s="103">
        <f t="shared" si="3"/>
        <v>8.3540631972248688E-2</v>
      </c>
      <c r="L9" s="802">
        <f t="shared" si="3"/>
        <v>8.3540631972248688E-2</v>
      </c>
      <c r="M9" s="51" t="s">
        <v>3084</v>
      </c>
      <c r="N9" s="850"/>
      <c r="P9" s="850"/>
      <c r="Q9" s="194" t="s">
        <v>20</v>
      </c>
      <c r="R9" s="799">
        <f>('Background Data'!C26/1000)/'Background Data'!C15</f>
        <v>0.71936650297206162</v>
      </c>
      <c r="S9" s="799">
        <f>('Background Data'!D26/1000)/'Background Data'!D15</f>
        <v>0.65495568388977221</v>
      </c>
      <c r="T9" s="799">
        <f>('Background Data'!E26/1000)/'Background Data'!E15</f>
        <v>0.64292607352280018</v>
      </c>
      <c r="U9" s="799">
        <f>('Background Data'!F26/1000)/'Background Data'!F15</f>
        <v>0.6700673095066636</v>
      </c>
      <c r="V9" s="799">
        <f>('Background Data'!G26/1000)/'Background Data'!G15</f>
        <v>0.70896051479660516</v>
      </c>
      <c r="W9" s="799">
        <f>('Background Data'!H26/1000)/'Background Data'!H15</f>
        <v>0.74467627641511125</v>
      </c>
      <c r="X9" s="799">
        <f>('Background Data'!I26/1000)/'Background Data'!I15</f>
        <v>0.65282637539745969</v>
      </c>
      <c r="Y9" s="799">
        <f>('Background Data'!J26/1000)/'Background Data'!J15</f>
        <v>0.62843369196835253</v>
      </c>
      <c r="Z9" s="799">
        <f>('Background Data'!K26/1000)/'Background Data'!K15</f>
        <v>0.62342728494078992</v>
      </c>
      <c r="AA9" s="799">
        <f>('Background Data'!L26/1000)/'Background Data'!L15</f>
        <v>0.60110547051313878</v>
      </c>
      <c r="AB9" s="799">
        <f>('Background Data'!M26/1000)/'Background Data'!M15</f>
        <v>0.66578299829106202</v>
      </c>
      <c r="AC9" s="799">
        <f>('Background Data'!N26/1000)/'Background Data'!N15</f>
        <v>0.68529534961747862</v>
      </c>
      <c r="AD9" s="799">
        <f>('Background Data'!O26/1000)/'Background Data'!O15</f>
        <v>0.70481674852960163</v>
      </c>
      <c r="AE9" s="799">
        <f>('Background Data'!P26/1000)/'Background Data'!P15</f>
        <v>0.71915990016972153</v>
      </c>
      <c r="AF9" s="799">
        <f>('Background Data'!Q26/1000)/'Background Data'!Q15</f>
        <v>0.72876323409925925</v>
      </c>
      <c r="AG9" s="799">
        <f>('Background Data'!R26/1000)/'Background Data'!R15</f>
        <v>0.74036475117179212</v>
      </c>
      <c r="AH9" s="799">
        <f>('Background Data'!S26/1000)/'Background Data'!S15</f>
        <v>0.75210143514021377</v>
      </c>
      <c r="AI9" s="799">
        <f>('Background Data'!T26/1000)/'Background Data'!T15</f>
        <v>0.76133285020770092</v>
      </c>
      <c r="AJ9" s="799">
        <f>('Background Data'!U26/1000)/'Background Data'!U15</f>
        <v>0.68372824088124062</v>
      </c>
      <c r="AK9" s="799">
        <f>('Background Data'!V26/1000)/'Background Data'!V15</f>
        <v>0.69007734330271475</v>
      </c>
      <c r="AL9" s="799">
        <f>('Background Data'!W26/1000)/'Background Data'!W15</f>
        <v>0.60532237621255292</v>
      </c>
      <c r="AM9" s="799">
        <f>('Background Data'!X26/1000)/'Background Data'!X15</f>
        <v>0.62103081629731671</v>
      </c>
      <c r="AN9" s="800">
        <f t="shared" si="7"/>
        <v>0.76133285020770092</v>
      </c>
      <c r="AO9" s="799">
        <f>AVERAGE(AF9:AK9)</f>
        <v>0.72606130913382028</v>
      </c>
      <c r="AP9" s="496">
        <f t="shared" si="4"/>
        <v>0.10325727629885195</v>
      </c>
      <c r="AQ9" s="496">
        <f t="shared" si="5"/>
        <v>0.22591799026477788</v>
      </c>
      <c r="AR9" s="496">
        <f t="shared" si="6"/>
        <v>0.11118051664016337</v>
      </c>
      <c r="AS9" s="496">
        <f t="shared" si="9"/>
        <v>0.16912283590484578</v>
      </c>
      <c r="AT9" s="194"/>
      <c r="AU9" s="194"/>
      <c r="AV9" s="194"/>
      <c r="AW9" s="194"/>
    </row>
    <row r="10" spans="1:49" ht="15" customHeight="1" x14ac:dyDescent="0.25">
      <c r="A10" s="217" t="s">
        <v>2975</v>
      </c>
      <c r="B10" s="217" t="s">
        <v>3011</v>
      </c>
      <c r="C10" s="217" t="s">
        <v>84</v>
      </c>
      <c r="D10" s="217" t="s">
        <v>148</v>
      </c>
      <c r="E10" s="218">
        <v>2023</v>
      </c>
      <c r="F10" s="805">
        <f>$AM$16/CapacityToActivity!$E$2</f>
        <v>0.4074005095675568</v>
      </c>
      <c r="G10" s="805">
        <f t="shared" ref="G10" si="10">AVERAGE(F10,H10)</f>
        <v>0.44167362618516814</v>
      </c>
      <c r="H10" s="805">
        <f>$AO$16 / CapacityToActivity!$E$2</f>
        <v>0.47594674280277949</v>
      </c>
      <c r="I10" s="805">
        <f>$AO$16 / CapacityToActivity!$E$2</f>
        <v>0.47594674280277949</v>
      </c>
      <c r="J10" s="845" t="e">
        <f>NA()</f>
        <v>#N/A</v>
      </c>
      <c r="K10" s="845" t="e">
        <f>NA()</f>
        <v>#N/A</v>
      </c>
      <c r="L10" s="845" t="e">
        <f>NA()</f>
        <v>#N/A</v>
      </c>
      <c r="M10" s="219" t="s">
        <v>3084</v>
      </c>
      <c r="N10" s="850"/>
      <c r="P10" s="850"/>
      <c r="Q10" t="s">
        <v>37</v>
      </c>
      <c r="R10" s="57">
        <f>('Background Data'!C27/1000)/'Background Data'!C16</f>
        <v>5.6167642308379484E-3</v>
      </c>
      <c r="S10" s="57">
        <f>('Background Data'!D27/1000)/'Background Data'!D16</f>
        <v>6.0994816252211009E-3</v>
      </c>
      <c r="T10" s="57">
        <f>('Background Data'!E27/1000)/'Background Data'!E16</f>
        <v>6.7619502278433927E-3</v>
      </c>
      <c r="U10" s="57">
        <f>('Background Data'!F27/1000)/'Background Data'!F16</f>
        <v>6.792069647409988E-3</v>
      </c>
      <c r="V10" s="57">
        <f>('Background Data'!G27/1000)/'Background Data'!G16</f>
        <v>6.8999902786020589E-3</v>
      </c>
      <c r="W10" s="57">
        <f>('Background Data'!H27/1000)/'Background Data'!H16</f>
        <v>7.035395800004683E-3</v>
      </c>
      <c r="X10" s="57">
        <f>('Background Data'!I27/1000)/'Background Data'!I16</f>
        <v>6.85361225199645E-3</v>
      </c>
      <c r="Y10" s="57">
        <f>('Background Data'!J27/1000)/'Background Data'!J16</f>
        <v>6.8671351594423924E-3</v>
      </c>
      <c r="Z10" s="57">
        <f>('Background Data'!K27/1000)/'Background Data'!K16</f>
        <v>6.7131107866171017E-3</v>
      </c>
      <c r="AA10" s="57">
        <f>('Background Data'!L27/1000)/'Background Data'!L16</f>
        <v>5.8960901960784301E-3</v>
      </c>
      <c r="AB10" s="57">
        <f>('Background Data'!M27/1000)/'Background Data'!M16</f>
        <v>5.9942507577585031E-3</v>
      </c>
      <c r="AC10" s="57">
        <f>('Background Data'!N27/1000)/'Background Data'!N16</f>
        <v>5.9115063205577032E-3</v>
      </c>
      <c r="AD10" s="57">
        <f>('Background Data'!O27/1000)/'Background Data'!O16</f>
        <v>5.5145697811013689E-3</v>
      </c>
      <c r="AE10" s="57">
        <f>('Background Data'!P27/1000)/'Background Data'!P16</f>
        <v>5.7649182750101752E-3</v>
      </c>
      <c r="AF10" s="57">
        <f>('Background Data'!Q27/1000)/'Background Data'!Q16</f>
        <v>5.4668415719958926E-3</v>
      </c>
      <c r="AG10" s="57">
        <f>('Background Data'!R27/1000)/'Background Data'!R16</f>
        <v>5.3818062465157629E-3</v>
      </c>
      <c r="AH10" s="57">
        <f>('Background Data'!S27/1000)/'Background Data'!S16</f>
        <v>5.6011971054821244E-3</v>
      </c>
      <c r="AI10" s="57">
        <f>('Background Data'!T27/1000)/'Background Data'!T16</f>
        <v>5.4105613295355147E-3</v>
      </c>
      <c r="AJ10" s="57">
        <f>('Background Data'!U27/1000)/'Background Data'!U16</f>
        <v>5.3105245994624984E-3</v>
      </c>
      <c r="AK10" s="57">
        <f>('Background Data'!V27/1000)/'Background Data'!V16</f>
        <v>5.4779604805621669E-3</v>
      </c>
      <c r="AL10" s="57">
        <f>('Background Data'!W27/1000)/'Background Data'!W16</f>
        <v>4.5292183967089268E-3</v>
      </c>
      <c r="AM10" s="57">
        <f>('Background Data'!X27/1000)/'Background Data'!X16</f>
        <v>6.3204311832980864E-3</v>
      </c>
      <c r="AN10" s="797">
        <f t="shared" si="7"/>
        <v>7.035395800004683E-3</v>
      </c>
      <c r="AO10" s="57">
        <f t="shared" si="8"/>
        <v>5.4414818889256603E-3</v>
      </c>
      <c r="AP10" s="81">
        <f t="shared" si="4"/>
        <v>0.28430933829641036</v>
      </c>
      <c r="AQ10" s="81">
        <f t="shared" si="5"/>
        <v>0.1131195951624171</v>
      </c>
      <c r="AR10" s="81">
        <f t="shared" si="6"/>
        <v>-0.13329323242410607</v>
      </c>
      <c r="AS10" s="81">
        <f t="shared" si="9"/>
        <v>-0.13906476771633458</v>
      </c>
    </row>
    <row r="11" spans="1:49" x14ac:dyDescent="0.25">
      <c r="A11" t="s">
        <v>2976</v>
      </c>
      <c r="B11" t="s">
        <v>3011</v>
      </c>
      <c r="C11" t="s">
        <v>84</v>
      </c>
      <c r="D11" t="s">
        <v>148</v>
      </c>
      <c r="E11" s="49">
        <v>2023</v>
      </c>
      <c r="F11" s="103">
        <f t="shared" ref="F11:I11" si="11">F$10</f>
        <v>0.4074005095675568</v>
      </c>
      <c r="G11" s="103">
        <f t="shared" si="11"/>
        <v>0.44167362618516814</v>
      </c>
      <c r="H11" s="103">
        <f t="shared" si="11"/>
        <v>0.47594674280277949</v>
      </c>
      <c r="I11" s="103">
        <f t="shared" si="11"/>
        <v>0.47594674280277949</v>
      </c>
      <c r="J11" s="103">
        <f>$AO$16 / CapacityToActivity!$E$2</f>
        <v>0.47594674280277949</v>
      </c>
      <c r="K11" s="103">
        <f>$AO$16 / CapacityToActivity!$E$2</f>
        <v>0.47594674280277949</v>
      </c>
      <c r="L11" s="103">
        <f>$AO$16 / CapacityToActivity!$E$2</f>
        <v>0.47594674280277949</v>
      </c>
      <c r="M11" s="51" t="s">
        <v>3084</v>
      </c>
      <c r="N11" s="850"/>
      <c r="P11" s="850"/>
      <c r="Q11" t="s">
        <v>38</v>
      </c>
      <c r="R11" s="57">
        <f>('Background Data'!C28/1000)/'Background Data'!C17</f>
        <v>0.4647683705147731</v>
      </c>
      <c r="S11" s="57">
        <f>('Background Data'!D28/1000)/'Background Data'!D17</f>
        <v>0.42609889585208771</v>
      </c>
      <c r="T11" s="57">
        <f>('Background Data'!E28/1000)/'Background Data'!E17</f>
        <v>0.44376564239143806</v>
      </c>
      <c r="U11" s="57">
        <f>('Background Data'!F28/1000)/'Background Data'!F17</f>
        <v>0.50538224628602124</v>
      </c>
      <c r="V11" s="57">
        <f>('Background Data'!G28/1000)/'Background Data'!G17</f>
        <v>0.48890973313498481</v>
      </c>
      <c r="W11" s="57">
        <f>('Background Data'!H28/1000)/'Background Data'!H17</f>
        <v>0.57200744402264836</v>
      </c>
      <c r="X11" s="57">
        <f>('Background Data'!I28/1000)/'Background Data'!I17</f>
        <v>0.60478188876020966</v>
      </c>
      <c r="Y11" s="57">
        <f>('Background Data'!J28/1000)/'Background Data'!J17</f>
        <v>0.49740914601880881</v>
      </c>
      <c r="Z11" s="57">
        <f>('Background Data'!K28/1000)/'Background Data'!K17</f>
        <v>0.50708868249660788</v>
      </c>
      <c r="AA11" s="57">
        <f>('Background Data'!L28/1000)/'Background Data'!L17</f>
        <v>0.66436284385943722</v>
      </c>
      <c r="AB11" s="57">
        <f>('Background Data'!M28/1000)/'Background Data'!M17</f>
        <v>0.73851888122789144</v>
      </c>
      <c r="AC11" s="57">
        <f>('Background Data'!N28/1000)/'Background Data'!N17</f>
        <v>0.76220384861343526</v>
      </c>
      <c r="AD11" s="57">
        <f>('Background Data'!O28/1000)/'Background Data'!O17</f>
        <v>0.74389131456264501</v>
      </c>
      <c r="AE11" s="57">
        <f>('Background Data'!P28/1000)/'Background Data'!P17</f>
        <v>0.67459329115294409</v>
      </c>
      <c r="AF11" s="57">
        <f>('Background Data'!Q28/1000)/'Background Data'!Q17</f>
        <v>0.57271316051364363</v>
      </c>
      <c r="AG11" s="57">
        <f>('Background Data'!R28/1000)/'Background Data'!R17</f>
        <v>0.55899190913464436</v>
      </c>
      <c r="AH11" s="57">
        <f>('Background Data'!S28/1000)/'Background Data'!S17</f>
        <v>0.55281485877250314</v>
      </c>
      <c r="AI11" s="57">
        <f>('Background Data'!T28/1000)/'Background Data'!T17</f>
        <v>0.53292297093625618</v>
      </c>
      <c r="AJ11" s="57">
        <f>('Background Data'!U28/1000)/'Background Data'!U17</f>
        <v>0.55028722587510503</v>
      </c>
      <c r="AK11" s="57">
        <f>('Background Data'!V28/1000)/'Background Data'!V17</f>
        <v>0.54654554279140244</v>
      </c>
      <c r="AL11" s="57">
        <f>('Background Data'!W28/1000)/'Background Data'!W17</f>
        <v>0.39998273609749263</v>
      </c>
      <c r="AM11" s="57">
        <f>('Background Data'!X28/1000)/'Background Data'!X17</f>
        <v>0.41267241414541422</v>
      </c>
      <c r="AN11" s="797">
        <f t="shared" si="7"/>
        <v>0.76220384861343526</v>
      </c>
      <c r="AO11" s="57">
        <f t="shared" si="8"/>
        <v>0.55237927800392594</v>
      </c>
      <c r="AP11" s="81">
        <f t="shared" si="4"/>
        <v>0.39458432817984246</v>
      </c>
      <c r="AQ11" s="81">
        <f t="shared" si="5"/>
        <v>0.84699491045906439</v>
      </c>
      <c r="AR11" s="81">
        <f t="shared" si="6"/>
        <v>0.32440532504025099</v>
      </c>
      <c r="AS11" s="81">
        <f t="shared" si="9"/>
        <v>0.33854180475771489</v>
      </c>
    </row>
    <row r="12" spans="1:49" s="194" customFormat="1" x14ac:dyDescent="0.25">
      <c r="A12" t="s">
        <v>2981</v>
      </c>
      <c r="B12" t="s">
        <v>3133</v>
      </c>
      <c r="C12" t="s">
        <v>84</v>
      </c>
      <c r="D12" t="s">
        <v>148</v>
      </c>
      <c r="E12" s="49">
        <v>2023</v>
      </c>
      <c r="F12" s="103">
        <f>F$11/'Payload capacity penalty'!C10</f>
        <v>0.4074005095675568</v>
      </c>
      <c r="G12" s="103">
        <f>G$11/'Payload capacity penalty'!D10</f>
        <v>0.44167362618516814</v>
      </c>
      <c r="H12" s="103">
        <f>H$11/'Payload capacity penalty'!E10</f>
        <v>0.47594674280277949</v>
      </c>
      <c r="I12" s="103">
        <f>I$11/'Payload capacity penalty'!F10</f>
        <v>0.47594674280277949</v>
      </c>
      <c r="J12" s="103">
        <f>J$11/'Payload capacity penalty'!G10</f>
        <v>0.47594674280277949</v>
      </c>
      <c r="K12" s="103">
        <f>K$11/'Payload capacity penalty'!H10</f>
        <v>0.47594674280277949</v>
      </c>
      <c r="L12" s="103">
        <f>L$11/'Payload capacity penalty'!I10</f>
        <v>0.47594674280277949</v>
      </c>
      <c r="M12" s="51" t="s">
        <v>3087</v>
      </c>
      <c r="N12" s="850"/>
      <c r="O12" s="48"/>
      <c r="P12" s="850"/>
      <c r="Q12" t="s">
        <v>252</v>
      </c>
      <c r="R12" s="57">
        <f>('Background Data'!C29/1000)/'Background Data'!C18</f>
        <v>0.59423917566577078</v>
      </c>
      <c r="S12" s="57">
        <f>('Background Data'!D29/1000)/'Background Data'!D18</f>
        <v>0.61946974477094829</v>
      </c>
      <c r="T12" s="57">
        <f>('Background Data'!E29/1000)/'Background Data'!E18</f>
        <v>0.65920277772675084</v>
      </c>
      <c r="U12" s="57">
        <f>('Background Data'!F29/1000)/'Background Data'!F18</f>
        <v>0.7066628640696716</v>
      </c>
      <c r="V12" s="57">
        <f>('Background Data'!G29/1000)/'Background Data'!G18</f>
        <v>0.80120178789833574</v>
      </c>
      <c r="W12" s="57">
        <f>('Background Data'!H29/1000)/'Background Data'!H18</f>
        <v>0.91363129201759896</v>
      </c>
      <c r="X12" s="57">
        <f>('Background Data'!I29/1000)/'Background Data'!I18</f>
        <v>0.91902055610647193</v>
      </c>
      <c r="Y12" s="57">
        <f>('Background Data'!J29/1000)/'Background Data'!J18</f>
        <v>0.67009587796373782</v>
      </c>
      <c r="Z12" s="57">
        <f>('Background Data'!K29/1000)/'Background Data'!K18</f>
        <v>0.68546894877456388</v>
      </c>
      <c r="AA12" s="57">
        <f>('Background Data'!L29/1000)/'Background Data'!L18</f>
        <v>0.76130183957446806</v>
      </c>
      <c r="AB12" s="57">
        <f>('Background Data'!M29/1000)/'Background Data'!M18</f>
        <v>0.85016130872340423</v>
      </c>
      <c r="AC12" s="57">
        <f>('Background Data'!N29/1000)/'Background Data'!N18</f>
        <v>0.94684658812577582</v>
      </c>
      <c r="AD12" s="57">
        <f>('Background Data'!O29/1000)/'Background Data'!O18</f>
        <v>0.89459498023477468</v>
      </c>
      <c r="AE12" s="57">
        <f>('Background Data'!P29/1000)/'Background Data'!P18</f>
        <v>0.87538620981633275</v>
      </c>
      <c r="AF12" s="57">
        <f>('Background Data'!Q29/1000)/'Background Data'!Q18</f>
        <v>0.8427377697382652</v>
      </c>
      <c r="AG12" s="57">
        <f>('Background Data'!R29/1000)/'Background Data'!R18</f>
        <v>0.762954569509804</v>
      </c>
      <c r="AH12" s="57">
        <f>('Background Data'!S29/1000)/'Background Data'!S18</f>
        <v>0.61855095313634012</v>
      </c>
      <c r="AI12" s="57">
        <f>('Background Data'!T29/1000)/'Background Data'!T18</f>
        <v>0.74367053067858602</v>
      </c>
      <c r="AJ12" s="57">
        <f>('Background Data'!U29/1000)/'Background Data'!U18</f>
        <v>0.68773003178185244</v>
      </c>
      <c r="AK12" s="57">
        <f>('Background Data'!V29/1000)/'Background Data'!V18</f>
        <v>0.69258549841772155</v>
      </c>
      <c r="AL12" s="57">
        <f>('Background Data'!W29/1000)/'Background Data'!W18</f>
        <v>0.5089421108636476</v>
      </c>
      <c r="AM12" s="57">
        <f>('Background Data'!X29/1000)/'Background Data'!X18</f>
        <v>0.53103464258670308</v>
      </c>
      <c r="AN12" s="797">
        <f t="shared" si="7"/>
        <v>0.94684658812577582</v>
      </c>
      <c r="AO12" s="57">
        <f t="shared" si="8"/>
        <v>0.72470489221042822</v>
      </c>
      <c r="AP12" s="81">
        <f t="shared" si="4"/>
        <v>0.36711870272903235</v>
      </c>
      <c r="AQ12" s="81">
        <f t="shared" si="5"/>
        <v>0.78302225917621238</v>
      </c>
      <c r="AR12" s="81">
        <f t="shared" si="6"/>
        <v>0.30421905253505521</v>
      </c>
      <c r="AS12" s="81">
        <f t="shared" si="9"/>
        <v>0.36470360705724425</v>
      </c>
      <c r="AT12"/>
      <c r="AU12"/>
      <c r="AV12"/>
      <c r="AW12"/>
    </row>
    <row r="13" spans="1:49" x14ac:dyDescent="0.25">
      <c r="A13" t="s">
        <v>2982</v>
      </c>
      <c r="B13" t="s">
        <v>3133</v>
      </c>
      <c r="C13" t="s">
        <v>84</v>
      </c>
      <c r="D13" t="s">
        <v>148</v>
      </c>
      <c r="E13" s="49">
        <v>2023</v>
      </c>
      <c r="F13" s="103">
        <f>F$11/'Payload capacity penalty'!C11</f>
        <v>0.4074005095675568</v>
      </c>
      <c r="G13" s="103">
        <f>G$11/'Payload capacity penalty'!D11</f>
        <v>0.44167362618516814</v>
      </c>
      <c r="H13" s="103">
        <f>H$11/'Payload capacity penalty'!E11</f>
        <v>0.47594674280277949</v>
      </c>
      <c r="I13" s="103">
        <f>I$11/'Payload capacity penalty'!F11</f>
        <v>0.47594674280277949</v>
      </c>
      <c r="J13" s="103">
        <f>J$11/'Payload capacity penalty'!G11</f>
        <v>0.47594674280277949</v>
      </c>
      <c r="K13" s="103">
        <f>K$11/'Payload capacity penalty'!H11</f>
        <v>0.47594674280277949</v>
      </c>
      <c r="L13" s="103">
        <f>L$11/'Payload capacity penalty'!I11</f>
        <v>0.47594674280277949</v>
      </c>
      <c r="M13" s="51" t="s">
        <v>3087</v>
      </c>
      <c r="N13" s="850"/>
      <c r="P13" s="850"/>
      <c r="Q13" t="s">
        <v>266</v>
      </c>
      <c r="R13" s="57">
        <f>('Background Data'!C30/1000)/'Background Data'!C19</f>
        <v>1.159124545117429</v>
      </c>
      <c r="S13" s="57">
        <f>('Background Data'!D30/1000)/'Background Data'!D19</f>
        <v>0.92768096732522798</v>
      </c>
      <c r="T13" s="57">
        <f>('Background Data'!E30/1000)/'Background Data'!E19</f>
        <v>1.0600822458791208</v>
      </c>
      <c r="U13" s="57">
        <f>('Background Data'!F30/1000)/'Background Data'!F19</f>
        <v>0.99137253064019171</v>
      </c>
      <c r="V13" s="57">
        <f>('Background Data'!G30/1000)/'Background Data'!G19</f>
        <v>1.0708795120162933</v>
      </c>
      <c r="W13" s="57">
        <f>('Background Data'!H30/1000)/'Background Data'!H19</f>
        <v>1.192290170621469</v>
      </c>
      <c r="X13" s="57">
        <f>('Background Data'!I30/1000)/'Background Data'!I19</f>
        <v>0.87508076511289157</v>
      </c>
      <c r="Y13" s="57">
        <f>('Background Data'!J30/1000)/'Background Data'!J19</f>
        <v>0.93620393041681016</v>
      </c>
      <c r="Z13" s="57">
        <f>('Background Data'!K30/1000)/'Background Data'!K19</f>
        <v>0.8782866680497925</v>
      </c>
      <c r="AA13" s="57">
        <f>('Background Data'!L30/1000)/'Background Data'!L19</f>
        <v>0.94609655898771872</v>
      </c>
      <c r="AB13" s="57">
        <f>('Background Data'!M30/1000)/'Background Data'!M19</f>
        <v>0.90036596624629073</v>
      </c>
      <c r="AC13" s="57">
        <f>('Background Data'!N30/1000)/'Background Data'!N19</f>
        <v>0.99729882717431895</v>
      </c>
      <c r="AD13" s="57">
        <f>('Background Data'!O30/1000)/'Background Data'!O19</f>
        <v>0.86400545532831008</v>
      </c>
      <c r="AE13" s="57">
        <f>('Background Data'!P30/1000)/'Background Data'!P19</f>
        <v>0.87024938449707789</v>
      </c>
      <c r="AF13" s="57">
        <f>('Background Data'!Q30/1000)/'Background Data'!Q19</f>
        <v>0.75760092906861121</v>
      </c>
      <c r="AG13" s="57">
        <f>('Background Data'!R30/1000)/'Background Data'!R19</f>
        <v>0.71820322499169165</v>
      </c>
      <c r="AH13" s="57">
        <f>('Background Data'!S30/1000)/'Background Data'!S19</f>
        <v>0.53612210569105689</v>
      </c>
      <c r="AI13" s="57">
        <f>('Background Data'!T30/1000)/'Background Data'!T19</f>
        <v>0.87217824449648718</v>
      </c>
      <c r="AJ13" s="57">
        <f>('Background Data'!U30/1000)/'Background Data'!U19</f>
        <v>0.86431610204081621</v>
      </c>
      <c r="AK13" s="57">
        <f>('Background Data'!V30/1000)/'Background Data'!V19</f>
        <v>0.8309341100959341</v>
      </c>
      <c r="AL13" s="57">
        <f>('Background Data'!W30/1000)/'Background Data'!W19</f>
        <v>0.5740394277498202</v>
      </c>
      <c r="AM13" s="57">
        <f>('Background Data'!X30/1000)/'Background Data'!X19</f>
        <v>0.57892416245136191</v>
      </c>
      <c r="AN13" s="797">
        <f t="shared" si="7"/>
        <v>1.192290170621469</v>
      </c>
      <c r="AO13" s="57">
        <f t="shared" si="8"/>
        <v>0.76322578606409952</v>
      </c>
      <c r="AP13" s="81">
        <f t="shared" si="4"/>
        <v>0.43487931971382809</v>
      </c>
      <c r="AQ13" s="81">
        <f t="shared" si="5"/>
        <v>1.0594928454409414</v>
      </c>
      <c r="AR13" s="81">
        <f t="shared" si="6"/>
        <v>0.43530735800951259</v>
      </c>
      <c r="AS13" s="81">
        <f t="shared" si="9"/>
        <v>0.31835192857099237</v>
      </c>
    </row>
    <row r="14" spans="1:49" x14ac:dyDescent="0.25">
      <c r="A14" t="s">
        <v>2983</v>
      </c>
      <c r="B14" t="s">
        <v>3133</v>
      </c>
      <c r="C14" t="s">
        <v>84</v>
      </c>
      <c r="D14" t="s">
        <v>148</v>
      </c>
      <c r="E14" s="49">
        <v>2023</v>
      </c>
      <c r="F14" s="103">
        <f>F$11/'Payload capacity penalty'!C12</f>
        <v>0.4074005095675568</v>
      </c>
      <c r="G14" s="103">
        <f>G$11/'Payload capacity penalty'!D12</f>
        <v>0.44167362618516814</v>
      </c>
      <c r="H14" s="103">
        <f>H$11/'Payload capacity penalty'!E12</f>
        <v>0.47594674280277949</v>
      </c>
      <c r="I14" s="103">
        <f>I$11/'Payload capacity penalty'!F12</f>
        <v>0.47594674280277949</v>
      </c>
      <c r="J14" s="103">
        <f>J$11/'Payload capacity penalty'!G12</f>
        <v>0.47594674280277949</v>
      </c>
      <c r="K14" s="103">
        <f>K$11/'Payload capacity penalty'!H12</f>
        <v>0.47594674280277949</v>
      </c>
      <c r="L14" s="103">
        <f>L$11/'Payload capacity penalty'!I12</f>
        <v>0.47594674280277949</v>
      </c>
      <c r="M14" s="51" t="s">
        <v>3087</v>
      </c>
      <c r="N14" s="850"/>
      <c r="P14" s="850"/>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c r="AP14" s="194"/>
      <c r="AQ14" s="194"/>
      <c r="AR14" s="194"/>
      <c r="AS14" s="194"/>
      <c r="AT14" s="194"/>
      <c r="AU14" s="194"/>
      <c r="AV14" s="194"/>
      <c r="AW14" s="194"/>
    </row>
    <row r="15" spans="1:49" x14ac:dyDescent="0.25">
      <c r="A15" t="s">
        <v>2984</v>
      </c>
      <c r="B15" t="s">
        <v>3133</v>
      </c>
      <c r="C15" t="s">
        <v>84</v>
      </c>
      <c r="D15" t="s">
        <v>148</v>
      </c>
      <c r="E15" s="49">
        <v>2023</v>
      </c>
      <c r="F15" s="103">
        <f>F$11/'Payload capacity penalty'!C13</f>
        <v>0.4074005095675568</v>
      </c>
      <c r="G15" s="103">
        <f>G$11/'Payload capacity penalty'!D13</f>
        <v>0.44167362618516814</v>
      </c>
      <c r="H15" s="103">
        <f>H$11/'Payload capacity penalty'!E13</f>
        <v>0.47594674280277949</v>
      </c>
      <c r="I15" s="103">
        <f>I$11/'Payload capacity penalty'!F13</f>
        <v>0.47594674280277949</v>
      </c>
      <c r="J15" s="103">
        <f>J$11/'Payload capacity penalty'!G13</f>
        <v>0.47594674280277949</v>
      </c>
      <c r="K15" s="103">
        <f>K$11/'Payload capacity penalty'!H13</f>
        <v>0.47594674280277949</v>
      </c>
      <c r="L15" s="103">
        <f>L$11/'Payload capacity penalty'!I13</f>
        <v>0.47594674280277949</v>
      </c>
      <c r="M15" s="51" t="s">
        <v>3087</v>
      </c>
      <c r="N15" s="850"/>
      <c r="P15" s="850"/>
      <c r="Q15" s="194" t="s">
        <v>3085</v>
      </c>
      <c r="AG15" s="57">
        <f>((1-CFAF!$E$4)*'Background Data'!R26/1000)/((1-CFAF!$E$3)*'Background Data'!R15)</f>
        <v>0.27706196433602781</v>
      </c>
      <c r="AH15" s="57">
        <f>((1-CFAF!$E$4)*'Background Data'!S26/1000)/((1-CFAF!$E$3)*'Background Data'!S15)</f>
        <v>0.28145410849191227</v>
      </c>
      <c r="AI15" s="57">
        <f>((1-CFAF!$E$4)*'Background Data'!T26/1000)/((1-CFAF!$E$3)*'Background Data'!T15)</f>
        <v>0.28490872189449673</v>
      </c>
      <c r="AJ15" s="57">
        <f>((1-CFAF!$E$4)*'Background Data'!U26/1000)/((1-CFAF!$E$3)*'Background Data'!U15)</f>
        <v>0.2558672454229487</v>
      </c>
      <c r="AK15" s="57">
        <f>((1-CFAF!$E$4)*'Background Data'!V26/1000)/((1-CFAF!$E$3)*'Background Data'!V15)</f>
        <v>0.25824322940365568</v>
      </c>
      <c r="AL15" s="57">
        <f>((1-CFAF!$E$4)*'Background Data'!W26/1000)/((1-CFAF!$E$3)*'Background Data'!W15)</f>
        <v>0.22652592029072238</v>
      </c>
      <c r="AM15" s="228">
        <f>((1-CFAF!$E$4)*'Background Data'!X26/1000)/((1-CFAF!$E$3)*'Background Data'!X15)</f>
        <v>0.23240438932865418</v>
      </c>
      <c r="AN15" s="803">
        <f t="shared" si="7"/>
        <v>0.28490872189449673</v>
      </c>
      <c r="AO15" s="228">
        <f t="shared" ref="AO15:AO16" si="12">AVERAGE(AF15:AK15)</f>
        <v>0.27150705390980823</v>
      </c>
      <c r="AP15" s="804">
        <f t="shared" ref="AP15:AP16" si="13">AN15/AK15 - 1</f>
        <v>0.10325727629885173</v>
      </c>
      <c r="AQ15" s="804">
        <f t="shared" ref="AQ15:AQ16" si="14">AN15/AM15 - 1</f>
        <v>0.22591799026477788</v>
      </c>
      <c r="AR15" s="804">
        <f t="shared" ref="AR15:AR16" si="15">AK15/AM15 - 1</f>
        <v>0.1111805166401636</v>
      </c>
      <c r="AS15" s="804">
        <f t="shared" ref="AS15:AS16" si="16">AO15/AM15 - 1</f>
        <v>0.1682526939104283</v>
      </c>
      <c r="AT15" s="217"/>
    </row>
    <row r="16" spans="1:49" s="194" customFormat="1" x14ac:dyDescent="0.25">
      <c r="A16" t="s">
        <v>2985</v>
      </c>
      <c r="B16" t="s">
        <v>3133</v>
      </c>
      <c r="C16" t="s">
        <v>84</v>
      </c>
      <c r="D16" t="s">
        <v>148</v>
      </c>
      <c r="E16" s="49">
        <v>2023</v>
      </c>
      <c r="F16" s="103">
        <f>F$11/'Payload capacity penalty'!C14</f>
        <v>0.4074005095675568</v>
      </c>
      <c r="G16" s="103">
        <f>G$11/'Payload capacity penalty'!D14</f>
        <v>0.44167362618516814</v>
      </c>
      <c r="H16" s="103">
        <f>H$11/'Payload capacity penalty'!E14</f>
        <v>0.47594674280277949</v>
      </c>
      <c r="I16" s="103">
        <f>I$11/'Payload capacity penalty'!F14</f>
        <v>0.47594674280277949</v>
      </c>
      <c r="J16" s="103">
        <f>J$11/'Payload capacity penalty'!G14</f>
        <v>0.47594674280277949</v>
      </c>
      <c r="K16" s="103">
        <f>K$11/'Payload capacity penalty'!H14</f>
        <v>0.47594674280277949</v>
      </c>
      <c r="L16" s="103">
        <f>L$11/'Payload capacity penalty'!I14</f>
        <v>0.47594674280277949</v>
      </c>
      <c r="M16" s="51" t="s">
        <v>3087</v>
      </c>
      <c r="N16" s="850"/>
      <c r="O16" s="48"/>
      <c r="P16" s="850"/>
      <c r="Q16" s="194" t="s">
        <v>3086</v>
      </c>
      <c r="AG16" s="799">
        <f>((CFAF!$E$4)*'Background Data'!R26/1000)/((CFAF!$E$3)*'Background Data'!R15)</f>
        <v>1.5784742869083994</v>
      </c>
      <c r="AH16" s="799">
        <f>((CFAF!$E$4)*'Background Data'!S26/1000)/((CFAF!$E$3)*'Background Data'!S15)</f>
        <v>1.6034971608747819</v>
      </c>
      <c r="AI16" s="799">
        <f>((CFAF!$E$4)*'Background Data'!T26/1000)/((CFAF!$E$3)*'Background Data'!T15)</f>
        <v>1.6231787452461939</v>
      </c>
      <c r="AJ16" s="799">
        <f>((CFAF!$E$4)*'Background Data'!U26/1000)/((CFAF!$E$3)*'Background Data'!U15)</f>
        <v>1.4577239742383754</v>
      </c>
      <c r="AK16" s="799">
        <f>((CFAF!$E$4)*'Background Data'!V26/1000)/((CFAF!$E$3)*'Background Data'!V15)</f>
        <v>1.471260403277417</v>
      </c>
      <c r="AL16" s="799">
        <f>((CFAF!$E$4)*'Background Data'!W26/1000)/((CFAF!$E$3)*'Background Data'!W15)</f>
        <v>1.2905609088351901</v>
      </c>
      <c r="AM16" s="799">
        <f>((CFAF!$E$4)*'Background Data'!X26/1000)/((CFAF!$E$3)*'Background Data'!X15)</f>
        <v>1.3240516560945597</v>
      </c>
      <c r="AN16" s="800">
        <f t="shared" si="7"/>
        <v>1.6231787452461939</v>
      </c>
      <c r="AO16" s="799">
        <f t="shared" si="12"/>
        <v>1.5468269141090334</v>
      </c>
      <c r="AP16" s="496">
        <f t="shared" si="13"/>
        <v>0.10325727629885217</v>
      </c>
      <c r="AQ16" s="496">
        <f t="shared" si="14"/>
        <v>0.22591799026477832</v>
      </c>
      <c r="AR16" s="496">
        <f t="shared" si="15"/>
        <v>0.1111805166401636</v>
      </c>
      <c r="AS16" s="496">
        <f t="shared" si="16"/>
        <v>0.1682526939104283</v>
      </c>
    </row>
    <row r="17" spans="1:16" x14ac:dyDescent="0.25">
      <c r="A17" t="s">
        <v>2986</v>
      </c>
      <c r="B17" t="s">
        <v>3133</v>
      </c>
      <c r="C17" t="s">
        <v>84</v>
      </c>
      <c r="D17" t="s">
        <v>148</v>
      </c>
      <c r="E17" s="49">
        <v>2023</v>
      </c>
      <c r="F17" s="103">
        <f>F$11/'Payload capacity penalty'!C15</f>
        <v>0.4074005095675568</v>
      </c>
      <c r="G17" s="103">
        <f>G$11/'Payload capacity penalty'!D15</f>
        <v>0.44167362618516814</v>
      </c>
      <c r="H17" s="103">
        <f>H$11/'Payload capacity penalty'!E15</f>
        <v>0.47594674280277949</v>
      </c>
      <c r="I17" s="103">
        <f>I$11/'Payload capacity penalty'!F15</f>
        <v>0.47594674280277949</v>
      </c>
      <c r="J17" s="103">
        <f>J$11/'Payload capacity penalty'!G15</f>
        <v>0.47594674280277949</v>
      </c>
      <c r="K17" s="103">
        <f>K$11/'Payload capacity penalty'!H15</f>
        <v>0.47594674280277949</v>
      </c>
      <c r="L17" s="103">
        <f>L$11/'Payload capacity penalty'!I15</f>
        <v>0.47594674280277949</v>
      </c>
      <c r="M17" s="51" t="s">
        <v>3087</v>
      </c>
      <c r="N17" s="850"/>
      <c r="P17" s="850"/>
    </row>
    <row r="18" spans="1:16" x14ac:dyDescent="0.25">
      <c r="A18" t="s">
        <v>2987</v>
      </c>
      <c r="B18" t="s">
        <v>3133</v>
      </c>
      <c r="C18" t="s">
        <v>84</v>
      </c>
      <c r="D18" t="s">
        <v>148</v>
      </c>
      <c r="E18" s="49">
        <v>2023</v>
      </c>
      <c r="F18" s="103">
        <f>F$11/'Payload capacity penalty'!C16</f>
        <v>0.4074005095675568</v>
      </c>
      <c r="G18" s="103">
        <f>G$11/'Payload capacity penalty'!D16</f>
        <v>0.44167362618516814</v>
      </c>
      <c r="H18" s="103">
        <f>H$11/'Payload capacity penalty'!E16</f>
        <v>0.47594674280277949</v>
      </c>
      <c r="I18" s="103">
        <f>I$11/'Payload capacity penalty'!F16</f>
        <v>0.47594674280277949</v>
      </c>
      <c r="J18" s="103">
        <f>J$11/'Payload capacity penalty'!G16</f>
        <v>0.47594674280277949</v>
      </c>
      <c r="K18" s="103">
        <f>K$11/'Payload capacity penalty'!H16</f>
        <v>0.47594674280277949</v>
      </c>
      <c r="L18" s="103">
        <f>L$11/'Payload capacity penalty'!I16</f>
        <v>0.47594674280277949</v>
      </c>
      <c r="M18" s="51" t="s">
        <v>3087</v>
      </c>
      <c r="N18" s="850"/>
      <c r="P18" s="850"/>
    </row>
    <row r="19" spans="1:16" x14ac:dyDescent="0.25">
      <c r="A19" t="s">
        <v>2977</v>
      </c>
      <c r="B19" t="s">
        <v>3133</v>
      </c>
      <c r="C19" t="s">
        <v>84</v>
      </c>
      <c r="D19" t="s">
        <v>148</v>
      </c>
      <c r="E19" s="49">
        <v>2023</v>
      </c>
      <c r="F19" s="103">
        <f>F$11/'Payload capacity penalty'!C17</f>
        <v>0.4074005095675568</v>
      </c>
      <c r="G19" s="103">
        <f>G$11/'Payload capacity penalty'!D17</f>
        <v>0.44167362618516814</v>
      </c>
      <c r="H19" s="103">
        <f>H$11/'Payload capacity penalty'!E17</f>
        <v>0.47594674280277949</v>
      </c>
      <c r="I19" s="103">
        <f>I$11/'Payload capacity penalty'!F17</f>
        <v>0.47594674280277949</v>
      </c>
      <c r="J19" s="103">
        <f>J$11/'Payload capacity penalty'!G17</f>
        <v>0.47594674280277949</v>
      </c>
      <c r="K19" s="103">
        <f>K$11/'Payload capacity penalty'!H17</f>
        <v>0.47594674280277949</v>
      </c>
      <c r="L19" s="103">
        <f>L$11/'Payload capacity penalty'!I17</f>
        <v>0.47594674280277949</v>
      </c>
      <c r="M19" s="51" t="s">
        <v>3087</v>
      </c>
      <c r="N19" s="850"/>
      <c r="P19" s="850"/>
    </row>
    <row r="20" spans="1:16" x14ac:dyDescent="0.25">
      <c r="L20"/>
      <c r="N20" s="850"/>
      <c r="P20" s="850"/>
    </row>
    <row r="21" spans="1:16" x14ac:dyDescent="0.25">
      <c r="N21" s="850"/>
      <c r="P21" s="850"/>
    </row>
    <row r="22" spans="1:16" x14ac:dyDescent="0.25">
      <c r="N22" s="850"/>
      <c r="P22" s="850"/>
    </row>
    <row r="23" spans="1:16" x14ac:dyDescent="0.25">
      <c r="N23" s="850"/>
      <c r="P23" s="850"/>
    </row>
    <row r="24" spans="1:16" x14ac:dyDescent="0.25">
      <c r="N24" s="850"/>
      <c r="P24" s="850"/>
    </row>
    <row r="25" spans="1:16" x14ac:dyDescent="0.25">
      <c r="N25" s="850"/>
      <c r="P25" s="850"/>
    </row>
    <row r="26" spans="1:16" x14ac:dyDescent="0.25">
      <c r="N26" s="850"/>
      <c r="P26" s="850"/>
    </row>
    <row r="27" spans="1:16" s="194" customFormat="1" x14ac:dyDescent="0.25">
      <c r="E27" s="195"/>
      <c r="L27" s="195"/>
      <c r="M27" s="220"/>
      <c r="N27" s="850"/>
      <c r="O27" s="48"/>
      <c r="P27" s="850"/>
    </row>
    <row r="28" spans="1:16" x14ac:dyDescent="0.25">
      <c r="F28" s="103"/>
      <c r="G28" s="103"/>
      <c r="H28" s="103"/>
      <c r="I28" s="103"/>
      <c r="J28" s="103"/>
      <c r="K28" s="103"/>
      <c r="L28" s="802"/>
      <c r="N28" s="850"/>
      <c r="P28" s="850"/>
    </row>
    <row r="29" spans="1:16" x14ac:dyDescent="0.25">
      <c r="F29" s="103"/>
      <c r="G29" s="103"/>
      <c r="H29" s="103"/>
      <c r="I29" s="103"/>
      <c r="J29" s="103"/>
      <c r="K29" s="103"/>
      <c r="L29" s="802"/>
      <c r="N29" s="850"/>
      <c r="P29" s="850"/>
    </row>
    <row r="30" spans="1:16" x14ac:dyDescent="0.25">
      <c r="F30" s="103"/>
      <c r="G30" s="103"/>
      <c r="H30" s="103"/>
      <c r="I30" s="103"/>
      <c r="J30" s="103"/>
      <c r="K30" s="103"/>
      <c r="L30" s="802"/>
      <c r="N30" s="850"/>
      <c r="P30" s="850"/>
    </row>
    <row r="31" spans="1:16" x14ac:dyDescent="0.25">
      <c r="F31" s="103"/>
      <c r="G31" s="103"/>
      <c r="H31" s="103"/>
      <c r="I31" s="103"/>
      <c r="J31" s="103"/>
      <c r="K31" s="103"/>
      <c r="L31" s="802"/>
      <c r="N31" s="850"/>
      <c r="P31" s="850"/>
    </row>
    <row r="32" spans="1:16" x14ac:dyDescent="0.25">
      <c r="F32" s="103"/>
      <c r="G32" s="103"/>
      <c r="H32" s="103"/>
      <c r="I32" s="103"/>
      <c r="J32" s="103"/>
      <c r="K32" s="103"/>
      <c r="L32" s="802"/>
      <c r="N32" s="850"/>
      <c r="P32" s="850"/>
    </row>
    <row r="33" spans="5:16" x14ac:dyDescent="0.25">
      <c r="F33" s="103"/>
      <c r="G33" s="103"/>
      <c r="H33" s="103"/>
      <c r="I33" s="103"/>
      <c r="J33" s="103"/>
      <c r="K33" s="103"/>
      <c r="L33" s="802"/>
      <c r="N33" s="850"/>
      <c r="P33" s="850"/>
    </row>
    <row r="34" spans="5:16" s="194" customFormat="1" x14ac:dyDescent="0.25">
      <c r="E34" s="195"/>
      <c r="F34" s="798"/>
      <c r="G34" s="798"/>
      <c r="H34" s="798"/>
      <c r="I34" s="798"/>
      <c r="J34" s="798"/>
      <c r="K34" s="798"/>
      <c r="L34" s="806"/>
      <c r="M34" s="220"/>
      <c r="N34" s="850"/>
      <c r="O34" s="48"/>
      <c r="P34" s="850"/>
    </row>
    <row r="35" spans="5:16" x14ac:dyDescent="0.25">
      <c r="N35" s="850"/>
      <c r="P35" s="850"/>
    </row>
    <row r="36" spans="5:16" x14ac:dyDescent="0.25">
      <c r="N36" s="850"/>
      <c r="P36" s="850"/>
    </row>
    <row r="37" spans="5:16" x14ac:dyDescent="0.25">
      <c r="N37" s="850"/>
      <c r="P37" s="850"/>
    </row>
    <row r="38" spans="5:16" x14ac:dyDescent="0.25">
      <c r="N38" s="850"/>
      <c r="P38" s="850"/>
    </row>
    <row r="39" spans="5:16" x14ac:dyDescent="0.25">
      <c r="N39" s="850"/>
      <c r="P39" s="850"/>
    </row>
    <row r="40" spans="5:16" s="194" customFormat="1" x14ac:dyDescent="0.25">
      <c r="E40" s="195"/>
      <c r="L40" s="195"/>
      <c r="M40" s="220"/>
      <c r="N40" s="850"/>
      <c r="O40" s="48"/>
      <c r="P40" s="850"/>
    </row>
    <row r="41" spans="5:16" x14ac:dyDescent="0.25">
      <c r="F41" s="103"/>
      <c r="G41" s="103"/>
      <c r="H41" s="103"/>
      <c r="I41" s="103"/>
      <c r="J41" s="103"/>
      <c r="K41" s="103"/>
      <c r="L41" s="802"/>
      <c r="N41" s="850"/>
      <c r="P41" s="850"/>
    </row>
    <row r="42" spans="5:16" s="194" customFormat="1" x14ac:dyDescent="0.25">
      <c r="E42" s="195"/>
      <c r="F42" s="798"/>
      <c r="G42" s="798"/>
      <c r="H42" s="798"/>
      <c r="I42" s="798"/>
      <c r="J42" s="798"/>
      <c r="K42" s="798"/>
      <c r="L42" s="806"/>
      <c r="M42" s="220"/>
      <c r="N42" s="850"/>
      <c r="O42" s="48"/>
      <c r="P42" s="850"/>
    </row>
    <row r="43" spans="5:16" x14ac:dyDescent="0.25">
      <c r="F43" s="103"/>
      <c r="G43" s="103"/>
      <c r="H43" s="103"/>
      <c r="I43" s="103"/>
      <c r="J43" s="103"/>
      <c r="K43" s="103"/>
      <c r="L43" s="802"/>
      <c r="N43" s="850"/>
      <c r="P43" s="850"/>
    </row>
    <row r="44" spans="5:16" x14ac:dyDescent="0.25">
      <c r="F44" s="103"/>
      <c r="G44" s="103"/>
      <c r="H44" s="103"/>
      <c r="I44" s="103"/>
      <c r="J44" s="103"/>
      <c r="K44" s="103"/>
      <c r="L44" s="802"/>
      <c r="N44" s="850"/>
      <c r="P44" s="850"/>
    </row>
    <row r="45" spans="5:16" x14ac:dyDescent="0.25">
      <c r="F45" s="103"/>
      <c r="G45" s="103"/>
      <c r="H45" s="103"/>
      <c r="I45" s="103"/>
      <c r="J45" s="103"/>
      <c r="K45" s="103"/>
      <c r="L45" s="802"/>
      <c r="N45" s="850"/>
      <c r="P45" s="850"/>
    </row>
    <row r="46" spans="5:16" x14ac:dyDescent="0.25">
      <c r="F46" s="103"/>
      <c r="G46" s="103"/>
      <c r="H46" s="103"/>
      <c r="I46" s="103"/>
      <c r="J46" s="103"/>
      <c r="K46" s="103"/>
      <c r="L46" s="802"/>
      <c r="N46" s="850"/>
      <c r="P46" s="850"/>
    </row>
    <row r="47" spans="5:16" x14ac:dyDescent="0.25">
      <c r="F47" s="103"/>
      <c r="G47" s="103"/>
      <c r="H47" s="103"/>
      <c r="I47" s="103"/>
      <c r="J47" s="103"/>
      <c r="K47" s="103"/>
      <c r="L47" s="802"/>
      <c r="N47" s="850"/>
      <c r="P47" s="850"/>
    </row>
    <row r="48" spans="5:16" x14ac:dyDescent="0.25">
      <c r="F48" s="103"/>
      <c r="G48" s="103"/>
      <c r="H48" s="103"/>
      <c r="I48" s="103"/>
      <c r="J48" s="103"/>
      <c r="K48" s="103"/>
      <c r="L48" s="802"/>
      <c r="N48" s="850"/>
      <c r="P48" s="850"/>
    </row>
    <row r="49" spans="3:16" x14ac:dyDescent="0.25">
      <c r="F49" s="103"/>
      <c r="G49" s="103"/>
      <c r="H49" s="103"/>
      <c r="I49" s="103"/>
      <c r="J49" s="103"/>
      <c r="K49" s="103"/>
      <c r="L49" s="802"/>
      <c r="N49" s="850"/>
      <c r="P49" s="850"/>
    </row>
    <row r="50" spans="3:16" s="194" customFormat="1" x14ac:dyDescent="0.25">
      <c r="E50" s="195"/>
      <c r="F50" s="798"/>
      <c r="G50" s="798"/>
      <c r="H50" s="798"/>
      <c r="I50" s="798"/>
      <c r="J50" s="798"/>
      <c r="K50" s="798"/>
      <c r="L50" s="806"/>
      <c r="M50" s="220"/>
      <c r="N50" s="850"/>
      <c r="O50" s="48"/>
      <c r="P50" s="850"/>
    </row>
    <row r="51" spans="3:16" x14ac:dyDescent="0.25">
      <c r="F51" s="103"/>
      <c r="G51" s="103"/>
      <c r="H51" s="103"/>
      <c r="I51" s="103"/>
      <c r="J51" s="103"/>
      <c r="K51" s="103"/>
      <c r="L51" s="802"/>
    </row>
    <row r="52" spans="3:16" x14ac:dyDescent="0.25">
      <c r="F52" s="103"/>
      <c r="G52" s="103"/>
      <c r="H52" s="103"/>
      <c r="I52" s="103"/>
      <c r="J52" s="103"/>
      <c r="K52" s="103"/>
      <c r="L52" s="802"/>
    </row>
    <row r="53" spans="3:16" x14ac:dyDescent="0.25">
      <c r="F53" s="103"/>
      <c r="G53" s="103"/>
      <c r="H53" s="103"/>
      <c r="I53" s="103"/>
      <c r="J53" s="103"/>
      <c r="K53" s="103"/>
      <c r="L53" s="802"/>
    </row>
    <row r="54" spans="3:16" x14ac:dyDescent="0.25">
      <c r="F54" s="103"/>
      <c r="G54" s="103"/>
      <c r="H54" s="103"/>
      <c r="I54" s="103"/>
      <c r="J54" s="103"/>
      <c r="K54" s="103"/>
      <c r="L54" s="802"/>
    </row>
    <row r="55" spans="3:16" x14ac:dyDescent="0.25">
      <c r="F55" s="103"/>
      <c r="G55" s="103"/>
      <c r="H55" s="103"/>
      <c r="I55" s="103"/>
      <c r="J55" s="103"/>
      <c r="K55" s="103"/>
      <c r="L55" s="802"/>
    </row>
    <row r="56" spans="3:16" x14ac:dyDescent="0.25">
      <c r="F56" s="103"/>
      <c r="G56" s="103"/>
      <c r="H56" s="103"/>
      <c r="I56" s="103"/>
      <c r="J56" s="103"/>
      <c r="K56" s="103"/>
      <c r="L56" s="802"/>
    </row>
    <row r="57" spans="3:16" x14ac:dyDescent="0.25">
      <c r="F57" s="103"/>
      <c r="G57" s="103"/>
      <c r="H57" s="103"/>
      <c r="I57" s="103"/>
      <c r="J57" s="103"/>
      <c r="K57" s="103"/>
      <c r="L57" s="802"/>
    </row>
    <row r="58" spans="3:16" s="194" customFormat="1" x14ac:dyDescent="0.25">
      <c r="E58" s="195"/>
      <c r="F58" s="798"/>
      <c r="G58" s="798"/>
      <c r="H58" s="798"/>
      <c r="I58" s="798"/>
      <c r="J58" s="798"/>
      <c r="K58" s="798"/>
      <c r="L58" s="806"/>
      <c r="M58" s="220"/>
      <c r="N58"/>
      <c r="O58" s="48"/>
      <c r="P58"/>
    </row>
    <row r="59" spans="3:16" x14ac:dyDescent="0.25">
      <c r="F59" s="103"/>
      <c r="G59" s="103"/>
      <c r="H59" s="103"/>
      <c r="I59" s="103"/>
      <c r="J59" s="103"/>
      <c r="K59" s="103"/>
      <c r="L59" s="802"/>
    </row>
    <row r="60" spans="3:16" x14ac:dyDescent="0.25">
      <c r="F60" s="103"/>
      <c r="G60" s="103"/>
      <c r="H60" s="103"/>
      <c r="I60" s="103"/>
      <c r="J60" s="103"/>
      <c r="K60" s="103"/>
      <c r="L60" s="802"/>
    </row>
    <row r="61" spans="3:16" x14ac:dyDescent="0.25">
      <c r="F61" s="103"/>
      <c r="G61" s="103"/>
      <c r="H61" s="103"/>
      <c r="I61" s="103"/>
      <c r="J61" s="103"/>
      <c r="K61" s="103"/>
      <c r="L61" s="802"/>
    </row>
    <row r="62" spans="3:16" x14ac:dyDescent="0.25">
      <c r="F62" s="103"/>
      <c r="G62" s="103"/>
      <c r="H62" s="103"/>
      <c r="I62" s="103"/>
      <c r="J62" s="103"/>
      <c r="K62" s="103"/>
      <c r="L62" s="802"/>
    </row>
    <row r="63" spans="3:16" s="194" customFormat="1" x14ac:dyDescent="0.25">
      <c r="C63"/>
      <c r="E63" s="195"/>
      <c r="F63" s="798"/>
      <c r="G63" s="798"/>
      <c r="H63" s="798"/>
      <c r="I63" s="798"/>
      <c r="J63" s="798"/>
      <c r="K63" s="798"/>
      <c r="L63" s="806"/>
      <c r="M63" s="220"/>
      <c r="N63"/>
      <c r="O63" s="48"/>
      <c r="P63"/>
    </row>
    <row r="64" spans="3:16" x14ac:dyDescent="0.25">
      <c r="C64" s="217"/>
      <c r="F64" s="103"/>
      <c r="G64" s="103"/>
      <c r="H64" s="103"/>
      <c r="I64" s="103"/>
      <c r="J64" s="103"/>
      <c r="K64" s="103"/>
      <c r="L64" s="801"/>
    </row>
    <row r="65" spans="6:12" x14ac:dyDescent="0.25">
      <c r="F65" s="103"/>
      <c r="G65" s="103"/>
      <c r="H65" s="103"/>
      <c r="I65" s="103"/>
      <c r="J65" s="103"/>
      <c r="K65" s="103"/>
      <c r="L65" s="802"/>
    </row>
  </sheetData>
  <mergeCells count="4">
    <mergeCell ref="F1:L1"/>
    <mergeCell ref="Q3:AM3"/>
    <mergeCell ref="N1:N50"/>
    <mergeCell ref="P1:P50"/>
  </mergeCells>
  <conditionalFormatting sqref="F3:L10">
    <cfRule type="cellIs" dxfId="19" priority="1" operator="lessThan">
      <formula>0</formula>
    </cfRule>
  </conditionalFormatting>
  <conditionalFormatting sqref="F3:L19 F28:L34 F41:L65">
    <cfRule type="cellIs" dxfId="18" priority="6" operator="between">
      <formula>0.0000001</formula>
      <formula>0.001</formula>
    </cfRule>
  </conditionalFormatting>
  <conditionalFormatting sqref="AP5:AS13">
    <cfRule type="colorScale" priority="7">
      <colorScale>
        <cfvo type="min"/>
        <cfvo type="max"/>
        <color rgb="FFFCFCFF"/>
        <color rgb="FFF8696B"/>
      </colorScale>
    </cfRule>
  </conditionalFormatting>
  <conditionalFormatting sqref="AP15:AS15">
    <cfRule type="colorScale" priority="5">
      <colorScale>
        <cfvo type="min"/>
        <cfvo type="max"/>
        <color rgb="FFFCFCFF"/>
        <color rgb="FFF8696B"/>
      </colorScale>
    </cfRule>
  </conditionalFormatting>
  <conditionalFormatting sqref="AP16:AS16">
    <cfRule type="colorScale" priority="4">
      <colorScale>
        <cfvo type="min"/>
        <cfvo type="max"/>
        <color rgb="FFFCFCFF"/>
        <color rgb="FFF8696B"/>
      </colorScale>
    </cfRule>
  </conditionalFormatting>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76A95-BA4A-45B3-A64A-6E782614FBB9}">
  <sheetPr>
    <tabColor theme="9" tint="0.59999389629810485"/>
    <pageSetUpPr autoPageBreaks="0"/>
  </sheetPr>
  <dimension ref="A1:AW65"/>
  <sheetViews>
    <sheetView tabSelected="1" topLeftCell="B1" zoomScale="80" zoomScaleNormal="80" workbookViewId="0">
      <selection activeCell="F13" sqref="F13"/>
    </sheetView>
  </sheetViews>
  <sheetFormatPr defaultRowHeight="15" x14ac:dyDescent="0.25"/>
  <cols>
    <col min="1" max="1" width="33.42578125" bestFit="1" customWidth="1"/>
    <col min="2" max="2" width="30" bestFit="1" customWidth="1"/>
    <col min="3" max="3" width="5" bestFit="1" customWidth="1"/>
    <col min="4" max="4" width="35.28515625" customWidth="1"/>
    <col min="5" max="5" width="6.28515625" style="49" bestFit="1" customWidth="1"/>
    <col min="6" max="11" width="10.7109375" customWidth="1"/>
    <col min="12" max="12" width="10.7109375" style="49" customWidth="1"/>
    <col min="13" max="13" width="107.140625" style="51" customWidth="1"/>
    <col min="15" max="15" width="1.7109375" style="48" customWidth="1"/>
    <col min="17" max="17" width="20.140625" customWidth="1"/>
    <col min="33" max="33" width="8.42578125" bestFit="1" customWidth="1"/>
    <col min="40" max="40" width="13.7109375" bestFit="1" customWidth="1"/>
    <col min="41" max="41" width="28.140625" customWidth="1"/>
    <col min="42" max="45" width="9.85546875" customWidth="1"/>
  </cols>
  <sheetData>
    <row r="1" spans="1:49" ht="15.75" x14ac:dyDescent="0.25">
      <c r="A1" s="1"/>
      <c r="B1" s="1"/>
      <c r="C1" s="1"/>
      <c r="D1" s="1"/>
      <c r="E1" s="104"/>
      <c r="F1" s="862" t="s">
        <v>3047</v>
      </c>
      <c r="G1" s="863"/>
      <c r="H1" s="863"/>
      <c r="I1" s="863"/>
      <c r="J1" s="863"/>
      <c r="K1" s="863"/>
      <c r="L1" s="864"/>
      <c r="M1" s="50"/>
      <c r="N1" s="850" t="s">
        <v>1657</v>
      </c>
      <c r="P1" s="850" t="s">
        <v>1658</v>
      </c>
    </row>
    <row r="2" spans="1:49" ht="81" thickBot="1" x14ac:dyDescent="0.3">
      <c r="A2" s="621" t="s">
        <v>2974</v>
      </c>
      <c r="B2" s="621" t="s">
        <v>3049</v>
      </c>
      <c r="C2" s="621" t="s">
        <v>3037</v>
      </c>
      <c r="D2" s="621" t="s">
        <v>3040</v>
      </c>
      <c r="E2" s="622" t="s">
        <v>3041</v>
      </c>
      <c r="F2" s="621">
        <v>2021</v>
      </c>
      <c r="G2" s="621">
        <v>2025</v>
      </c>
      <c r="H2" s="621">
        <v>2030</v>
      </c>
      <c r="I2" s="621">
        <v>2035</v>
      </c>
      <c r="J2" s="621">
        <v>2040</v>
      </c>
      <c r="K2" s="621">
        <v>2045</v>
      </c>
      <c r="L2" s="622">
        <v>2050</v>
      </c>
      <c r="M2" s="625" t="s">
        <v>3039</v>
      </c>
      <c r="N2" s="850"/>
      <c r="O2" s="627"/>
      <c r="P2" s="850"/>
    </row>
    <row r="3" spans="1:49" ht="15.75" thickTop="1" x14ac:dyDescent="0.25">
      <c r="A3" s="217" t="s">
        <v>3053</v>
      </c>
      <c r="B3" s="217" t="s">
        <v>1227</v>
      </c>
      <c r="C3" s="217" t="s">
        <v>84</v>
      </c>
      <c r="D3" s="217" t="s">
        <v>148</v>
      </c>
      <c r="E3" s="218">
        <v>2023</v>
      </c>
      <c r="F3" s="805" cm="1">
        <f t="array" ref="F3:L19">0.99*MaxAnnualCapacityFactor!F3:L19</f>
        <v>7.0793952441651584E-2</v>
      </c>
      <c r="G3" s="805">
        <v>7.6749589047088895E-2</v>
      </c>
      <c r="H3" s="805">
        <v>8.2705225652526207E-2</v>
      </c>
      <c r="I3" s="805">
        <v>8.2705225652526207E-2</v>
      </c>
      <c r="J3" s="805" t="e">
        <v>#N/A</v>
      </c>
      <c r="K3" s="805" t="e">
        <v>#N/A</v>
      </c>
      <c r="L3" s="801" t="e">
        <v>#N/A</v>
      </c>
      <c r="M3" s="219" t="s">
        <v>3084</v>
      </c>
      <c r="N3" s="850"/>
      <c r="P3" s="850"/>
      <c r="Q3" s="879" t="s">
        <v>3076</v>
      </c>
      <c r="R3" s="879"/>
      <c r="S3" s="879"/>
      <c r="T3" s="879"/>
      <c r="U3" s="879"/>
      <c r="V3" s="879"/>
      <c r="W3" s="879"/>
      <c r="X3" s="879"/>
      <c r="Y3" s="879"/>
      <c r="Z3" s="879"/>
      <c r="AA3" s="879"/>
      <c r="AB3" s="879"/>
      <c r="AC3" s="879"/>
      <c r="AD3" s="879"/>
      <c r="AE3" s="879"/>
      <c r="AF3" s="879"/>
      <c r="AG3" s="879"/>
      <c r="AH3" s="879"/>
      <c r="AI3" s="879"/>
      <c r="AJ3" s="879"/>
      <c r="AK3" s="879"/>
      <c r="AL3" s="879"/>
      <c r="AM3" s="879"/>
    </row>
    <row r="4" spans="1:49" ht="15.75" thickBot="1" x14ac:dyDescent="0.3">
      <c r="A4" t="s">
        <v>3068</v>
      </c>
      <c r="B4" t="s">
        <v>1227</v>
      </c>
      <c r="C4" t="s">
        <v>84</v>
      </c>
      <c r="D4" t="s">
        <v>148</v>
      </c>
      <c r="E4" s="49">
        <v>2023</v>
      </c>
      <c r="F4" s="103">
        <v>7.0793952441651584E-2</v>
      </c>
      <c r="G4" s="103">
        <v>7.6749589047088895E-2</v>
      </c>
      <c r="H4" s="103">
        <v>8.2705225652526207E-2</v>
      </c>
      <c r="I4" s="103">
        <v>8.2705225652526207E-2</v>
      </c>
      <c r="J4" s="103">
        <v>8.2705225652526207E-2</v>
      </c>
      <c r="K4" s="103">
        <v>8.2705225652526207E-2</v>
      </c>
      <c r="L4" s="802">
        <v>8.2705225652526207E-2</v>
      </c>
      <c r="M4" s="51" t="s">
        <v>3084</v>
      </c>
      <c r="N4" s="850"/>
      <c r="P4" s="850"/>
      <c r="Q4" s="83" t="s">
        <v>3077</v>
      </c>
      <c r="R4" s="83">
        <v>2000</v>
      </c>
      <c r="S4" s="83">
        <v>2001</v>
      </c>
      <c r="T4" s="83">
        <v>2002</v>
      </c>
      <c r="U4" s="83">
        <v>2003</v>
      </c>
      <c r="V4" s="83">
        <v>2004</v>
      </c>
      <c r="W4" s="83">
        <v>2005</v>
      </c>
      <c r="X4" s="83">
        <v>2006</v>
      </c>
      <c r="Y4" s="83">
        <v>2007</v>
      </c>
      <c r="Z4" s="83">
        <v>2008</v>
      </c>
      <c r="AA4" s="83">
        <v>2009</v>
      </c>
      <c r="AB4" s="83">
        <v>2010</v>
      </c>
      <c r="AC4" s="83">
        <v>2011</v>
      </c>
      <c r="AD4" s="83">
        <v>2012</v>
      </c>
      <c r="AE4" s="83">
        <v>2013</v>
      </c>
      <c r="AF4" s="83">
        <v>2014</v>
      </c>
      <c r="AG4" s="83">
        <v>2015</v>
      </c>
      <c r="AH4" s="83">
        <v>2016</v>
      </c>
      <c r="AI4" s="83">
        <v>2017</v>
      </c>
      <c r="AJ4" s="83">
        <v>2018</v>
      </c>
      <c r="AK4" s="83">
        <v>2019</v>
      </c>
      <c r="AL4" s="83">
        <v>2020</v>
      </c>
      <c r="AM4" s="83">
        <v>2021</v>
      </c>
      <c r="AN4" s="492" t="s">
        <v>3078</v>
      </c>
      <c r="AO4" s="796" t="s">
        <v>3079</v>
      </c>
      <c r="AP4" t="s">
        <v>3080</v>
      </c>
      <c r="AQ4" t="s">
        <v>3081</v>
      </c>
      <c r="AR4" t="s">
        <v>3082</v>
      </c>
      <c r="AS4" t="s">
        <v>3083</v>
      </c>
    </row>
    <row r="5" spans="1:49" ht="15.75" thickTop="1" x14ac:dyDescent="0.25">
      <c r="A5" t="s">
        <v>3069</v>
      </c>
      <c r="B5" t="s">
        <v>1227</v>
      </c>
      <c r="C5" t="s">
        <v>84</v>
      </c>
      <c r="D5" t="s">
        <v>148</v>
      </c>
      <c r="E5" s="49">
        <v>2023</v>
      </c>
      <c r="F5" s="103">
        <v>7.0793952441651584E-2</v>
      </c>
      <c r="G5" s="103">
        <v>7.6749589047088895E-2</v>
      </c>
      <c r="H5" s="103">
        <v>8.2705225652526207E-2</v>
      </c>
      <c r="I5" s="103">
        <v>8.2705225652526207E-2</v>
      </c>
      <c r="J5" s="103">
        <v>8.2705225652526207E-2</v>
      </c>
      <c r="K5" s="103">
        <v>8.2705225652526207E-2</v>
      </c>
      <c r="L5" s="802">
        <v>8.2705225652526207E-2</v>
      </c>
      <c r="M5" s="51" t="s">
        <v>3084</v>
      </c>
      <c r="N5" s="850"/>
      <c r="P5" s="850"/>
      <c r="Q5" t="s">
        <v>8</v>
      </c>
      <c r="R5" s="57">
        <f>('Background Data'!C22/1000)/'Background Data'!C11</f>
        <v>3.2344641455905251E-2</v>
      </c>
      <c r="S5" s="57">
        <f>('Background Data'!D22/1000)/'Background Data'!D11</f>
        <v>3.1053866784300416E-2</v>
      </c>
      <c r="T5" s="57">
        <f>('Background Data'!E22/1000)/'Background Data'!E11</f>
        <v>3.2578498571603234E-2</v>
      </c>
      <c r="U5" s="57">
        <f>('Background Data'!F22/1000)/'Background Data'!F11</f>
        <v>3.2538768141112021E-2</v>
      </c>
      <c r="V5" s="57">
        <f>('Background Data'!G22/1000)/'Background Data'!G11</f>
        <v>3.264464048866033E-2</v>
      </c>
      <c r="W5" s="57">
        <f>('Background Data'!H22/1000)/'Background Data'!H11</f>
        <v>3.3091951841164743E-2</v>
      </c>
      <c r="X5" s="57">
        <f>('Background Data'!I22/1000)/'Background Data'!I11</f>
        <v>3.2283970632783335E-2</v>
      </c>
      <c r="Y5" s="57">
        <f>('Background Data'!J22/1000)/'Background Data'!J11</f>
        <v>3.2339642376463792E-2</v>
      </c>
      <c r="Z5" s="57">
        <f>('Background Data'!K22/1000)/'Background Data'!K11</f>
        <v>3.1680511311296969E-2</v>
      </c>
      <c r="AA5" s="57">
        <f>('Background Data'!L22/1000)/'Background Data'!L11</f>
        <v>3.2532432107723434E-2</v>
      </c>
      <c r="AB5" s="57">
        <f>('Background Data'!M22/1000)/'Background Data'!M11</f>
        <v>3.2844567065277927E-2</v>
      </c>
      <c r="AC5" s="57">
        <f>('Background Data'!N22/1000)/'Background Data'!N11</f>
        <v>3.2220895183784362E-2</v>
      </c>
      <c r="AD5" s="57">
        <f>('Background Data'!O22/1000)/'Background Data'!O11</f>
        <v>3.0182980822698366E-2</v>
      </c>
      <c r="AE5" s="57">
        <f>('Background Data'!P22/1000)/'Background Data'!P11</f>
        <v>3.1109987031755638E-2</v>
      </c>
      <c r="AF5" s="57">
        <f>('Background Data'!Q22/1000)/'Background Data'!Q11</f>
        <v>2.9214497755787192E-2</v>
      </c>
      <c r="AG5" s="57">
        <f>('Background Data'!R22/1000)/'Background Data'!R11</f>
        <v>2.8547056072091306E-2</v>
      </c>
      <c r="AH5" s="57">
        <f>('Background Data'!S22/1000)/'Background Data'!S11</f>
        <v>2.7740761522067354E-2</v>
      </c>
      <c r="AI5" s="57">
        <f>('Background Data'!T22/1000)/'Background Data'!T11</f>
        <v>2.6341252191109745E-2</v>
      </c>
      <c r="AJ5" s="57">
        <f>('Background Data'!U22/1000)/'Background Data'!U11</f>
        <v>2.5684479099081194E-2</v>
      </c>
      <c r="AK5" s="57">
        <f>('Background Data'!V22/1000)/'Background Data'!V11</f>
        <v>2.6495047866549024E-2</v>
      </c>
      <c r="AL5" s="57">
        <f>('Background Data'!W22/1000)/'Background Data'!W11</f>
        <v>2.1024710993844904E-2</v>
      </c>
      <c r="AM5" s="57">
        <f>('Background Data'!X22/1000)/'Background Data'!X11</f>
        <v>2.1703525725004773E-2</v>
      </c>
      <c r="AN5" s="797">
        <f>MAX(R5:AM5)</f>
        <v>3.3091951841164743E-2</v>
      </c>
      <c r="AO5" s="57">
        <f>AVERAGE(AF5:AK5)</f>
        <v>2.7337182417780968E-2</v>
      </c>
      <c r="AP5" s="81">
        <f t="shared" ref="AP5:AP13" si="0">AN5/AK5 - 1</f>
        <v>0.24898630143425993</v>
      </c>
      <c r="AQ5" s="81">
        <f t="shared" ref="AQ5:AQ13" si="1">AN5/AM5 - 1</f>
        <v>0.52472700797360727</v>
      </c>
      <c r="AR5" s="81">
        <f t="shared" ref="AR5:AR13" si="2">AK5/AM5 - 1</f>
        <v>0.22077160191645295</v>
      </c>
      <c r="AS5" s="81">
        <f>AO5/AM5 - 1</f>
        <v>0.25957334140810229</v>
      </c>
    </row>
    <row r="6" spans="1:49" x14ac:dyDescent="0.25">
      <c r="A6" t="s">
        <v>3070</v>
      </c>
      <c r="B6" t="s">
        <v>1227</v>
      </c>
      <c r="C6" t="s">
        <v>84</v>
      </c>
      <c r="D6" t="s">
        <v>148</v>
      </c>
      <c r="E6" s="49">
        <v>2023</v>
      </c>
      <c r="F6" s="103">
        <v>7.0793952441651584E-2</v>
      </c>
      <c r="G6" s="103">
        <v>7.6749589047088895E-2</v>
      </c>
      <c r="H6" s="103">
        <v>8.2705225652526207E-2</v>
      </c>
      <c r="I6" s="103">
        <v>8.2705225652526207E-2</v>
      </c>
      <c r="J6" s="103">
        <v>8.2705225652526207E-2</v>
      </c>
      <c r="K6" s="103">
        <v>8.2705225652526207E-2</v>
      </c>
      <c r="L6" s="802">
        <v>8.2705225652526207E-2</v>
      </c>
      <c r="M6" s="51" t="s">
        <v>3084</v>
      </c>
      <c r="N6" s="850"/>
      <c r="P6" s="850"/>
      <c r="Q6" t="s">
        <v>178</v>
      </c>
      <c r="R6" s="57">
        <f>('Background Data'!C23/1000)/'Background Data'!C12</f>
        <v>3.4571858626768925E-2</v>
      </c>
      <c r="S6" s="57">
        <f>('Background Data'!D23/1000)/'Background Data'!D12</f>
        <v>3.3331462439774681E-2</v>
      </c>
      <c r="T6" s="57">
        <f>('Background Data'!E23/1000)/'Background Data'!E12</f>
        <v>3.4808917490509621E-2</v>
      </c>
      <c r="U6" s="57">
        <f>('Background Data'!F23/1000)/'Background Data'!F12</f>
        <v>3.4676535147371665E-2</v>
      </c>
      <c r="V6" s="57">
        <f>('Background Data'!G23/1000)/'Background Data'!G12</f>
        <v>3.4888728946858551E-2</v>
      </c>
      <c r="W6" s="57">
        <f>('Background Data'!H23/1000)/'Background Data'!H12</f>
        <v>3.5452165670563481E-2</v>
      </c>
      <c r="X6" s="57">
        <f>('Background Data'!I23/1000)/'Background Data'!I12</f>
        <v>3.461712949639946E-2</v>
      </c>
      <c r="Y6" s="57">
        <f>('Background Data'!J23/1000)/'Background Data'!J12</f>
        <v>3.4618994202411997E-2</v>
      </c>
      <c r="Z6" s="57">
        <f>('Background Data'!K23/1000)/'Background Data'!K12</f>
        <v>3.3862308793488331E-2</v>
      </c>
      <c r="AA6" s="57">
        <f>('Background Data'!L23/1000)/'Background Data'!L12</f>
        <v>3.4805427253057929E-2</v>
      </c>
      <c r="AB6" s="57">
        <f>('Background Data'!M23/1000)/'Background Data'!M12</f>
        <v>3.5367126614479168E-2</v>
      </c>
      <c r="AC6" s="57">
        <f>('Background Data'!N23/1000)/'Background Data'!N12</f>
        <v>3.4924048952178176E-2</v>
      </c>
      <c r="AD6" s="57">
        <f>('Background Data'!O23/1000)/'Background Data'!O12</f>
        <v>3.2606861008902352E-2</v>
      </c>
      <c r="AE6" s="57">
        <f>('Background Data'!P23/1000)/'Background Data'!P12</f>
        <v>3.3859710051605527E-2</v>
      </c>
      <c r="AF6" s="57">
        <f>('Background Data'!Q23/1000)/'Background Data'!Q12</f>
        <v>3.1930848492738043E-2</v>
      </c>
      <c r="AG6" s="57">
        <f>('Background Data'!R23/1000)/'Background Data'!R12</f>
        <v>3.139260353733396E-2</v>
      </c>
      <c r="AH6" s="57">
        <f>('Background Data'!S23/1000)/'Background Data'!S12</f>
        <v>3.0839517973884682E-2</v>
      </c>
      <c r="AI6" s="57">
        <f>('Background Data'!T23/1000)/'Background Data'!T12</f>
        <v>2.9547100963760526E-2</v>
      </c>
      <c r="AJ6" s="57">
        <f>('Background Data'!U23/1000)/'Background Data'!U12</f>
        <v>2.9130318639308584E-2</v>
      </c>
      <c r="AK6" s="57">
        <f>('Background Data'!V23/1000)/'Background Data'!V12</f>
        <v>3.0043278510270104E-2</v>
      </c>
      <c r="AL6" s="57">
        <f>('Background Data'!W23/1000)/'Background Data'!W12</f>
        <v>2.3925592614651721E-2</v>
      </c>
      <c r="AM6" s="57">
        <f>('Background Data'!X23/1000)/'Background Data'!X12</f>
        <v>2.5008225709264743E-2</v>
      </c>
      <c r="AN6" s="797">
        <f t="shared" ref="AN6:AN16" si="3">MAX(R6:AM6)</f>
        <v>3.5452165670563481E-2</v>
      </c>
      <c r="AO6" s="57">
        <f t="shared" ref="AO6:AO13" si="4">AVERAGE(AF6:AK6)</f>
        <v>3.0480611352882648E-2</v>
      </c>
      <c r="AP6" s="81">
        <f t="shared" si="0"/>
        <v>0.18003651493775497</v>
      </c>
      <c r="AQ6" s="81">
        <f t="shared" si="1"/>
        <v>0.41762018956145264</v>
      </c>
      <c r="AR6" s="81">
        <f t="shared" si="2"/>
        <v>0.20133586682801075</v>
      </c>
      <c r="AS6" s="81">
        <f t="shared" ref="AS6:AS13" si="5">AO6/AM6 - 1</f>
        <v>0.21882342662920551</v>
      </c>
    </row>
    <row r="7" spans="1:49" s="194" customFormat="1" x14ac:dyDescent="0.25">
      <c r="A7" t="s">
        <v>3071</v>
      </c>
      <c r="B7" t="s">
        <v>1227</v>
      </c>
      <c r="C7" t="s">
        <v>84</v>
      </c>
      <c r="D7" t="s">
        <v>148</v>
      </c>
      <c r="E7" s="49">
        <v>2023</v>
      </c>
      <c r="F7" s="103">
        <v>7.0793952441651584E-2</v>
      </c>
      <c r="G7" s="103">
        <v>7.6749589047088895E-2</v>
      </c>
      <c r="H7" s="103">
        <v>8.2705225652526207E-2</v>
      </c>
      <c r="I7" s="103">
        <v>8.2705225652526207E-2</v>
      </c>
      <c r="J7" s="103">
        <v>8.2705225652526207E-2</v>
      </c>
      <c r="K7" s="103">
        <v>8.2705225652526207E-2</v>
      </c>
      <c r="L7" s="802">
        <v>8.2705225652526207E-2</v>
      </c>
      <c r="M7" s="51" t="s">
        <v>3084</v>
      </c>
      <c r="N7" s="850"/>
      <c r="O7" s="48"/>
      <c r="P7" s="850"/>
      <c r="Q7" t="s">
        <v>179</v>
      </c>
      <c r="R7" s="57">
        <f>('Background Data'!C24/1000)/'Background Data'!C13</f>
        <v>1.273925908653681E-2</v>
      </c>
      <c r="S7" s="57">
        <f>('Background Data'!D24/1000)/'Background Data'!D13</f>
        <v>1.2464137792101503E-2</v>
      </c>
      <c r="T7" s="57">
        <f>('Background Data'!E24/1000)/'Background Data'!E13</f>
        <v>1.2885583822679344E-2</v>
      </c>
      <c r="U7" s="57">
        <f>('Background Data'!F24/1000)/'Background Data'!F13</f>
        <v>1.298766431992282E-2</v>
      </c>
      <c r="V7" s="57">
        <f>('Background Data'!G24/1000)/'Background Data'!G13</f>
        <v>1.320514561392663E-2</v>
      </c>
      <c r="W7" s="57">
        <f>('Background Data'!H24/1000)/'Background Data'!H13</f>
        <v>1.3458545846160274E-2</v>
      </c>
      <c r="X7" s="57">
        <f>('Background Data'!I24/1000)/'Background Data'!I13</f>
        <v>1.3501470204126237E-2</v>
      </c>
      <c r="Y7" s="57">
        <f>('Background Data'!J24/1000)/'Background Data'!J13</f>
        <v>1.3635511623447191E-2</v>
      </c>
      <c r="Z7" s="57">
        <f>('Background Data'!K24/1000)/'Background Data'!K13</f>
        <v>1.3383182500437699E-2</v>
      </c>
      <c r="AA7" s="57">
        <f>('Background Data'!L24/1000)/'Background Data'!L13</f>
        <v>1.3619195574545034E-2</v>
      </c>
      <c r="AB7" s="57">
        <f>('Background Data'!M24/1000)/'Background Data'!M13</f>
        <v>1.385656618106414E-2</v>
      </c>
      <c r="AC7" s="57">
        <f>('Background Data'!N24/1000)/'Background Data'!N13</f>
        <v>1.3767956311633595E-2</v>
      </c>
      <c r="AD7" s="57">
        <f>('Background Data'!O24/1000)/'Background Data'!O13</f>
        <v>1.2984622219769152E-2</v>
      </c>
      <c r="AE7" s="57">
        <f>('Background Data'!P24/1000)/'Background Data'!P13</f>
        <v>1.3226894114269682E-2</v>
      </c>
      <c r="AF7" s="57">
        <f>('Background Data'!Q24/1000)/'Background Data'!Q13</f>
        <v>1.2422515330237954E-2</v>
      </c>
      <c r="AG7" s="57">
        <f>('Background Data'!R24/1000)/'Background Data'!R13</f>
        <v>1.2189752767090924E-2</v>
      </c>
      <c r="AH7" s="57">
        <f>('Background Data'!S24/1000)/'Background Data'!S13</f>
        <v>1.2077358446442497E-2</v>
      </c>
      <c r="AI7" s="57">
        <f>('Background Data'!T24/1000)/'Background Data'!T13</f>
        <v>1.155246107365107E-2</v>
      </c>
      <c r="AJ7" s="57">
        <f>('Background Data'!U24/1000)/'Background Data'!U13</f>
        <v>1.1253466320967357E-2</v>
      </c>
      <c r="AK7" s="57">
        <f>('Background Data'!V24/1000)/'Background Data'!V13</f>
        <v>1.159686741620012E-2</v>
      </c>
      <c r="AL7" s="57">
        <f>('Background Data'!W24/1000)/'Background Data'!W13</f>
        <v>9.3020102781985262E-3</v>
      </c>
      <c r="AM7" s="57">
        <f>('Background Data'!X24/1000)/'Background Data'!X13</f>
        <v>9.7535331418949801E-3</v>
      </c>
      <c r="AN7" s="797">
        <f t="shared" si="3"/>
        <v>1.385656618106414E-2</v>
      </c>
      <c r="AO7" s="57">
        <f t="shared" si="4"/>
        <v>1.1848736892431655E-2</v>
      </c>
      <c r="AP7" s="81">
        <f t="shared" si="0"/>
        <v>0.19485423811152303</v>
      </c>
      <c r="AQ7" s="81">
        <f t="shared" si="1"/>
        <v>0.42067146125183474</v>
      </c>
      <c r="AR7" s="81">
        <f t="shared" si="2"/>
        <v>0.18899144007491464</v>
      </c>
      <c r="AS7" s="81">
        <f t="shared" si="5"/>
        <v>0.21481484914804994</v>
      </c>
      <c r="AT7"/>
      <c r="AU7"/>
      <c r="AV7"/>
      <c r="AW7"/>
    </row>
    <row r="8" spans="1:49" x14ac:dyDescent="0.25">
      <c r="A8" t="s">
        <v>3072</v>
      </c>
      <c r="B8" t="s">
        <v>1227</v>
      </c>
      <c r="C8" t="s">
        <v>84</v>
      </c>
      <c r="D8" t="s">
        <v>148</v>
      </c>
      <c r="E8" s="49">
        <v>2023</v>
      </c>
      <c r="F8" s="103">
        <v>7.0793952441651584E-2</v>
      </c>
      <c r="G8" s="103">
        <v>7.6749589047088895E-2</v>
      </c>
      <c r="H8" s="103">
        <v>8.2705225652526207E-2</v>
      </c>
      <c r="I8" s="103">
        <v>8.2705225652526207E-2</v>
      </c>
      <c r="J8" s="103">
        <v>8.2705225652526207E-2</v>
      </c>
      <c r="K8" s="103">
        <v>8.2705225652526207E-2</v>
      </c>
      <c r="L8" s="802">
        <v>8.2705225652526207E-2</v>
      </c>
      <c r="M8" s="51" t="s">
        <v>3084</v>
      </c>
      <c r="N8" s="850"/>
      <c r="P8" s="850"/>
      <c r="Q8" t="s">
        <v>19</v>
      </c>
      <c r="R8" s="57">
        <f>('Background Data'!C25/1000)/'Background Data'!C14</f>
        <v>3.6410935210463929E-2</v>
      </c>
      <c r="S8" s="57">
        <f>('Background Data'!D25/1000)/'Background Data'!D14</f>
        <v>3.9172461900047105E-2</v>
      </c>
      <c r="T8" s="57">
        <f>('Background Data'!E25/1000)/'Background Data'!E14</f>
        <v>3.6749746076290959E-2</v>
      </c>
      <c r="U8" s="57">
        <f>('Background Data'!F25/1000)/'Background Data'!F14</f>
        <v>4.2012266409615057E-2</v>
      </c>
      <c r="V8" s="57">
        <f>('Background Data'!G25/1000)/'Background Data'!G14</f>
        <v>3.7878381407843845E-2</v>
      </c>
      <c r="W8" s="57">
        <f>('Background Data'!H25/1000)/'Background Data'!H14</f>
        <v>3.2192589316321102E-2</v>
      </c>
      <c r="X8" s="57">
        <f>('Background Data'!I25/1000)/'Background Data'!I14</f>
        <v>3.6849534233957634E-2</v>
      </c>
      <c r="Y8" s="57">
        <f>('Background Data'!J25/1000)/'Background Data'!J14</f>
        <v>3.7456593710628434E-2</v>
      </c>
      <c r="Z8" s="57">
        <f>('Background Data'!K25/1000)/'Background Data'!K14</f>
        <v>3.3475345080742389E-2</v>
      </c>
      <c r="AA8" s="57">
        <f>('Background Data'!L25/1000)/'Background Data'!L14</f>
        <v>3.2518665325602623E-2</v>
      </c>
      <c r="AB8" s="57">
        <f>('Background Data'!M25/1000)/'Background Data'!M14</f>
        <v>3.4757731982942429E-2</v>
      </c>
      <c r="AC8" s="57">
        <f>('Background Data'!N25/1000)/'Background Data'!N14</f>
        <v>3.4028357218844035E-2</v>
      </c>
      <c r="AD8" s="57">
        <f>('Background Data'!O25/1000)/'Background Data'!O14</f>
        <v>3.1190170171146066E-2</v>
      </c>
      <c r="AE8" s="57">
        <f>('Background Data'!P25/1000)/'Background Data'!P14</f>
        <v>3.0374667115043812E-2</v>
      </c>
      <c r="AF8" s="57">
        <f>('Background Data'!Q25/1000)/'Background Data'!Q14</f>
        <v>2.9060134944391296E-2</v>
      </c>
      <c r="AG8" s="57">
        <f>('Background Data'!R25/1000)/'Background Data'!R14</f>
        <v>2.7547483343615918E-2</v>
      </c>
      <c r="AH8" s="57">
        <f>('Background Data'!S25/1000)/'Background Data'!S14</f>
        <v>2.5952827158539301E-2</v>
      </c>
      <c r="AI8" s="57">
        <f>('Background Data'!T25/1000)/'Background Data'!T14</f>
        <v>2.5891533653123917E-2</v>
      </c>
      <c r="AJ8" s="57">
        <f>('Background Data'!U25/1000)/'Background Data'!U14</f>
        <v>2.6799833667747207E-2</v>
      </c>
      <c r="AK8" s="57">
        <f>('Background Data'!V25/1000)/'Background Data'!V14</f>
        <v>2.6679927463137344E-2</v>
      </c>
      <c r="AL8" s="57">
        <f>('Background Data'!W25/1000)/'Background Data'!W14</f>
        <v>2.2051014964966267E-2</v>
      </c>
      <c r="AM8" s="57">
        <f>('Background Data'!X25/1000)/'Background Data'!X14</f>
        <v>2.4183772144111233E-2</v>
      </c>
      <c r="AN8" s="797">
        <f t="shared" si="3"/>
        <v>4.2012266409615057E-2</v>
      </c>
      <c r="AO8" s="57">
        <f t="shared" si="4"/>
        <v>2.6988623371759168E-2</v>
      </c>
      <c r="AP8" s="81">
        <f t="shared" si="0"/>
        <v>0.57467693522262508</v>
      </c>
      <c r="AQ8" s="81">
        <f t="shared" si="1"/>
        <v>0.73720899118895633</v>
      </c>
      <c r="AR8" s="81">
        <f t="shared" si="2"/>
        <v>0.10321612791220103</v>
      </c>
      <c r="AS8" s="81">
        <f t="shared" si="5"/>
        <v>0.11598071677709387</v>
      </c>
    </row>
    <row r="9" spans="1:49" x14ac:dyDescent="0.25">
      <c r="A9" t="s">
        <v>3073</v>
      </c>
      <c r="B9" t="s">
        <v>1227</v>
      </c>
      <c r="C9" t="s">
        <v>84</v>
      </c>
      <c r="D9" t="s">
        <v>148</v>
      </c>
      <c r="E9" s="49">
        <v>2023</v>
      </c>
      <c r="F9" s="103">
        <v>7.0793952441651584E-2</v>
      </c>
      <c r="G9" s="103">
        <v>7.6749589047088895E-2</v>
      </c>
      <c r="H9" s="103">
        <v>8.2705225652526207E-2</v>
      </c>
      <c r="I9" s="103">
        <v>8.2705225652526207E-2</v>
      </c>
      <c r="J9" s="103">
        <v>8.2705225652526207E-2</v>
      </c>
      <c r="K9" s="103">
        <v>8.2705225652526207E-2</v>
      </c>
      <c r="L9" s="802">
        <v>8.2705225652526207E-2</v>
      </c>
      <c r="M9" s="51" t="s">
        <v>3084</v>
      </c>
      <c r="N9" s="850"/>
      <c r="P9" s="850"/>
      <c r="Q9" s="194" t="s">
        <v>20</v>
      </c>
      <c r="R9" s="799">
        <f>('Background Data'!C26/1000)/'Background Data'!C15</f>
        <v>0.71936650297206162</v>
      </c>
      <c r="S9" s="799">
        <f>('Background Data'!D26/1000)/'Background Data'!D15</f>
        <v>0.65495568388977221</v>
      </c>
      <c r="T9" s="799">
        <f>('Background Data'!E26/1000)/'Background Data'!E15</f>
        <v>0.64292607352280018</v>
      </c>
      <c r="U9" s="799">
        <f>('Background Data'!F26/1000)/'Background Data'!F15</f>
        <v>0.6700673095066636</v>
      </c>
      <c r="V9" s="799">
        <f>('Background Data'!G26/1000)/'Background Data'!G15</f>
        <v>0.70896051479660516</v>
      </c>
      <c r="W9" s="799">
        <f>('Background Data'!H26/1000)/'Background Data'!H15</f>
        <v>0.74467627641511125</v>
      </c>
      <c r="X9" s="799">
        <f>('Background Data'!I26/1000)/'Background Data'!I15</f>
        <v>0.65282637539745969</v>
      </c>
      <c r="Y9" s="799">
        <f>('Background Data'!J26/1000)/'Background Data'!J15</f>
        <v>0.62843369196835253</v>
      </c>
      <c r="Z9" s="799">
        <f>('Background Data'!K26/1000)/'Background Data'!K15</f>
        <v>0.62342728494078992</v>
      </c>
      <c r="AA9" s="799">
        <f>('Background Data'!L26/1000)/'Background Data'!L15</f>
        <v>0.60110547051313878</v>
      </c>
      <c r="AB9" s="799">
        <f>('Background Data'!M26/1000)/'Background Data'!M15</f>
        <v>0.66578299829106202</v>
      </c>
      <c r="AC9" s="799">
        <f>('Background Data'!N26/1000)/'Background Data'!N15</f>
        <v>0.68529534961747862</v>
      </c>
      <c r="AD9" s="799">
        <f>('Background Data'!O26/1000)/'Background Data'!O15</f>
        <v>0.70481674852960163</v>
      </c>
      <c r="AE9" s="799">
        <f>('Background Data'!P26/1000)/'Background Data'!P15</f>
        <v>0.71915990016972153</v>
      </c>
      <c r="AF9" s="799">
        <f>('Background Data'!Q26/1000)/'Background Data'!Q15</f>
        <v>0.72876323409925925</v>
      </c>
      <c r="AG9" s="799">
        <f>('Background Data'!R26/1000)/'Background Data'!R15</f>
        <v>0.74036475117179212</v>
      </c>
      <c r="AH9" s="799">
        <f>('Background Data'!S26/1000)/'Background Data'!S15</f>
        <v>0.75210143514021377</v>
      </c>
      <c r="AI9" s="799">
        <f>('Background Data'!T26/1000)/'Background Data'!T15</f>
        <v>0.76133285020770092</v>
      </c>
      <c r="AJ9" s="799">
        <f>('Background Data'!U26/1000)/'Background Data'!U15</f>
        <v>0.68372824088124062</v>
      </c>
      <c r="AK9" s="799">
        <f>('Background Data'!V26/1000)/'Background Data'!V15</f>
        <v>0.69007734330271475</v>
      </c>
      <c r="AL9" s="799">
        <f>('Background Data'!W26/1000)/'Background Data'!W15</f>
        <v>0.60532237621255292</v>
      </c>
      <c r="AM9" s="799">
        <f>('Background Data'!X26/1000)/'Background Data'!X15</f>
        <v>0.62103081629731671</v>
      </c>
      <c r="AN9" s="800">
        <f t="shared" si="3"/>
        <v>0.76133285020770092</v>
      </c>
      <c r="AO9" s="799">
        <f>AVERAGE(AF9:AK9)</f>
        <v>0.72606130913382028</v>
      </c>
      <c r="AP9" s="496">
        <f t="shared" si="0"/>
        <v>0.10325727629885195</v>
      </c>
      <c r="AQ9" s="496">
        <f t="shared" si="1"/>
        <v>0.22591799026477788</v>
      </c>
      <c r="AR9" s="496">
        <f t="shared" si="2"/>
        <v>0.11118051664016337</v>
      </c>
      <c r="AS9" s="496">
        <f t="shared" si="5"/>
        <v>0.16912283590484578</v>
      </c>
      <c r="AT9" s="194"/>
      <c r="AU9" s="194"/>
      <c r="AV9" s="194"/>
      <c r="AW9" s="194"/>
    </row>
    <row r="10" spans="1:49" ht="15" customHeight="1" x14ac:dyDescent="0.25">
      <c r="A10" s="217" t="s">
        <v>2975</v>
      </c>
      <c r="B10" s="217" t="s">
        <v>3011</v>
      </c>
      <c r="C10" s="217" t="s">
        <v>84</v>
      </c>
      <c r="D10" s="217" t="s">
        <v>148</v>
      </c>
      <c r="E10" s="218">
        <v>2023</v>
      </c>
      <c r="F10" s="805">
        <v>0.40332650447188123</v>
      </c>
      <c r="G10" s="805">
        <v>0.43725688992331646</v>
      </c>
      <c r="H10" s="805">
        <v>0.47118727537475169</v>
      </c>
      <c r="I10" s="805">
        <v>0.47118727537475169</v>
      </c>
      <c r="J10" s="805" t="e">
        <v>#N/A</v>
      </c>
      <c r="K10" s="805" t="e">
        <v>#N/A</v>
      </c>
      <c r="L10" s="801" t="e">
        <v>#N/A</v>
      </c>
      <c r="M10" s="219" t="s">
        <v>3084</v>
      </c>
      <c r="N10" s="850"/>
      <c r="P10" s="850"/>
      <c r="Q10" t="s">
        <v>37</v>
      </c>
      <c r="R10" s="57">
        <f>('Background Data'!C27/1000)/'Background Data'!C16</f>
        <v>5.6167642308379484E-3</v>
      </c>
      <c r="S10" s="57">
        <f>('Background Data'!D27/1000)/'Background Data'!D16</f>
        <v>6.0994816252211009E-3</v>
      </c>
      <c r="T10" s="57">
        <f>('Background Data'!E27/1000)/'Background Data'!E16</f>
        <v>6.7619502278433927E-3</v>
      </c>
      <c r="U10" s="57">
        <f>('Background Data'!F27/1000)/'Background Data'!F16</f>
        <v>6.792069647409988E-3</v>
      </c>
      <c r="V10" s="57">
        <f>('Background Data'!G27/1000)/'Background Data'!G16</f>
        <v>6.8999902786020589E-3</v>
      </c>
      <c r="W10" s="57">
        <f>('Background Data'!H27/1000)/'Background Data'!H16</f>
        <v>7.035395800004683E-3</v>
      </c>
      <c r="X10" s="57">
        <f>('Background Data'!I27/1000)/'Background Data'!I16</f>
        <v>6.85361225199645E-3</v>
      </c>
      <c r="Y10" s="57">
        <f>('Background Data'!J27/1000)/'Background Data'!J16</f>
        <v>6.8671351594423924E-3</v>
      </c>
      <c r="Z10" s="57">
        <f>('Background Data'!K27/1000)/'Background Data'!K16</f>
        <v>6.7131107866171017E-3</v>
      </c>
      <c r="AA10" s="57">
        <f>('Background Data'!L27/1000)/'Background Data'!L16</f>
        <v>5.8960901960784301E-3</v>
      </c>
      <c r="AB10" s="57">
        <f>('Background Data'!M27/1000)/'Background Data'!M16</f>
        <v>5.9942507577585031E-3</v>
      </c>
      <c r="AC10" s="57">
        <f>('Background Data'!N27/1000)/'Background Data'!N16</f>
        <v>5.9115063205577032E-3</v>
      </c>
      <c r="AD10" s="57">
        <f>('Background Data'!O27/1000)/'Background Data'!O16</f>
        <v>5.5145697811013689E-3</v>
      </c>
      <c r="AE10" s="57">
        <f>('Background Data'!P27/1000)/'Background Data'!P16</f>
        <v>5.7649182750101752E-3</v>
      </c>
      <c r="AF10" s="57">
        <f>('Background Data'!Q27/1000)/'Background Data'!Q16</f>
        <v>5.4668415719958926E-3</v>
      </c>
      <c r="AG10" s="57">
        <f>('Background Data'!R27/1000)/'Background Data'!R16</f>
        <v>5.3818062465157629E-3</v>
      </c>
      <c r="AH10" s="57">
        <f>('Background Data'!S27/1000)/'Background Data'!S16</f>
        <v>5.6011971054821244E-3</v>
      </c>
      <c r="AI10" s="57">
        <f>('Background Data'!T27/1000)/'Background Data'!T16</f>
        <v>5.4105613295355147E-3</v>
      </c>
      <c r="AJ10" s="57">
        <f>('Background Data'!U27/1000)/'Background Data'!U16</f>
        <v>5.3105245994624984E-3</v>
      </c>
      <c r="AK10" s="57">
        <f>('Background Data'!V27/1000)/'Background Data'!V16</f>
        <v>5.4779604805621669E-3</v>
      </c>
      <c r="AL10" s="57">
        <f>('Background Data'!W27/1000)/'Background Data'!W16</f>
        <v>4.5292183967089268E-3</v>
      </c>
      <c r="AM10" s="57">
        <f>('Background Data'!X27/1000)/'Background Data'!X16</f>
        <v>6.3204311832980864E-3</v>
      </c>
      <c r="AN10" s="797">
        <f t="shared" si="3"/>
        <v>7.035395800004683E-3</v>
      </c>
      <c r="AO10" s="57">
        <f t="shared" si="4"/>
        <v>5.4414818889256603E-3</v>
      </c>
      <c r="AP10" s="81">
        <f t="shared" si="0"/>
        <v>0.28430933829641036</v>
      </c>
      <c r="AQ10" s="81">
        <f t="shared" si="1"/>
        <v>0.1131195951624171</v>
      </c>
      <c r="AR10" s="81">
        <f t="shared" si="2"/>
        <v>-0.13329323242410607</v>
      </c>
      <c r="AS10" s="81">
        <f t="shared" si="5"/>
        <v>-0.13906476771633458</v>
      </c>
    </row>
    <row r="11" spans="1:49" x14ac:dyDescent="0.25">
      <c r="A11" t="s">
        <v>2976</v>
      </c>
      <c r="B11" t="s">
        <v>3011</v>
      </c>
      <c r="C11" t="s">
        <v>84</v>
      </c>
      <c r="D11" t="s">
        <v>148</v>
      </c>
      <c r="E11" s="49">
        <v>2023</v>
      </c>
      <c r="F11" s="103">
        <v>0.40332650447188123</v>
      </c>
      <c r="G11" s="103">
        <v>0.43725688992331646</v>
      </c>
      <c r="H11" s="103">
        <v>0.47118727537475169</v>
      </c>
      <c r="I11" s="103">
        <v>0.47118727537475169</v>
      </c>
      <c r="J11" s="103">
        <v>0.47118727537475169</v>
      </c>
      <c r="K11" s="103">
        <v>0.47118727537475169</v>
      </c>
      <c r="L11" s="802">
        <v>0.47118727537475169</v>
      </c>
      <c r="M11" s="51" t="s">
        <v>3084</v>
      </c>
      <c r="N11" s="850"/>
      <c r="P11" s="850"/>
      <c r="Q11" t="s">
        <v>38</v>
      </c>
      <c r="R11" s="57">
        <f>('Background Data'!C28/1000)/'Background Data'!C17</f>
        <v>0.4647683705147731</v>
      </c>
      <c r="S11" s="57">
        <f>('Background Data'!D28/1000)/'Background Data'!D17</f>
        <v>0.42609889585208771</v>
      </c>
      <c r="T11" s="57">
        <f>('Background Data'!E28/1000)/'Background Data'!E17</f>
        <v>0.44376564239143806</v>
      </c>
      <c r="U11" s="57">
        <f>('Background Data'!F28/1000)/'Background Data'!F17</f>
        <v>0.50538224628602124</v>
      </c>
      <c r="V11" s="57">
        <f>('Background Data'!G28/1000)/'Background Data'!G17</f>
        <v>0.48890973313498481</v>
      </c>
      <c r="W11" s="57">
        <f>('Background Data'!H28/1000)/'Background Data'!H17</f>
        <v>0.57200744402264836</v>
      </c>
      <c r="X11" s="57">
        <f>('Background Data'!I28/1000)/'Background Data'!I17</f>
        <v>0.60478188876020966</v>
      </c>
      <c r="Y11" s="57">
        <f>('Background Data'!J28/1000)/'Background Data'!J17</f>
        <v>0.49740914601880881</v>
      </c>
      <c r="Z11" s="57">
        <f>('Background Data'!K28/1000)/'Background Data'!K17</f>
        <v>0.50708868249660788</v>
      </c>
      <c r="AA11" s="57">
        <f>('Background Data'!L28/1000)/'Background Data'!L17</f>
        <v>0.66436284385943722</v>
      </c>
      <c r="AB11" s="57">
        <f>('Background Data'!M28/1000)/'Background Data'!M17</f>
        <v>0.73851888122789144</v>
      </c>
      <c r="AC11" s="57">
        <f>('Background Data'!N28/1000)/'Background Data'!N17</f>
        <v>0.76220384861343526</v>
      </c>
      <c r="AD11" s="57">
        <f>('Background Data'!O28/1000)/'Background Data'!O17</f>
        <v>0.74389131456264501</v>
      </c>
      <c r="AE11" s="57">
        <f>('Background Data'!P28/1000)/'Background Data'!P17</f>
        <v>0.67459329115294409</v>
      </c>
      <c r="AF11" s="57">
        <f>('Background Data'!Q28/1000)/'Background Data'!Q17</f>
        <v>0.57271316051364363</v>
      </c>
      <c r="AG11" s="57">
        <f>('Background Data'!R28/1000)/'Background Data'!R17</f>
        <v>0.55899190913464436</v>
      </c>
      <c r="AH11" s="57">
        <f>('Background Data'!S28/1000)/'Background Data'!S17</f>
        <v>0.55281485877250314</v>
      </c>
      <c r="AI11" s="57">
        <f>('Background Data'!T28/1000)/'Background Data'!T17</f>
        <v>0.53292297093625618</v>
      </c>
      <c r="AJ11" s="57">
        <f>('Background Data'!U28/1000)/'Background Data'!U17</f>
        <v>0.55028722587510503</v>
      </c>
      <c r="AK11" s="57">
        <f>('Background Data'!V28/1000)/'Background Data'!V17</f>
        <v>0.54654554279140244</v>
      </c>
      <c r="AL11" s="57">
        <f>('Background Data'!W28/1000)/'Background Data'!W17</f>
        <v>0.39998273609749263</v>
      </c>
      <c r="AM11" s="57">
        <f>('Background Data'!X28/1000)/'Background Data'!X17</f>
        <v>0.41267241414541422</v>
      </c>
      <c r="AN11" s="797">
        <f t="shared" si="3"/>
        <v>0.76220384861343526</v>
      </c>
      <c r="AO11" s="57">
        <f t="shared" si="4"/>
        <v>0.55237927800392594</v>
      </c>
      <c r="AP11" s="81">
        <f t="shared" si="0"/>
        <v>0.39458432817984246</v>
      </c>
      <c r="AQ11" s="81">
        <f t="shared" si="1"/>
        <v>0.84699491045906439</v>
      </c>
      <c r="AR11" s="81">
        <f t="shared" si="2"/>
        <v>0.32440532504025099</v>
      </c>
      <c r="AS11" s="81">
        <f t="shared" si="5"/>
        <v>0.33854180475771489</v>
      </c>
    </row>
    <row r="12" spans="1:49" s="194" customFormat="1" x14ac:dyDescent="0.25">
      <c r="A12" t="s">
        <v>2981</v>
      </c>
      <c r="B12" t="s">
        <v>3133</v>
      </c>
      <c r="C12" t="s">
        <v>84</v>
      </c>
      <c r="D12" t="s">
        <v>148</v>
      </c>
      <c r="E12" s="49">
        <v>2023</v>
      </c>
      <c r="F12" s="103">
        <v>0.40332650447188123</v>
      </c>
      <c r="G12" s="103">
        <v>0.43725688992331646</v>
      </c>
      <c r="H12" s="103">
        <v>0.47118727537475169</v>
      </c>
      <c r="I12" s="103">
        <v>0.47118727537475169</v>
      </c>
      <c r="J12" s="103">
        <v>0.47118727537475169</v>
      </c>
      <c r="K12" s="103">
        <v>0.47118727537475169</v>
      </c>
      <c r="L12" s="103">
        <v>0.47118727537475169</v>
      </c>
      <c r="M12" s="51" t="s">
        <v>3087</v>
      </c>
      <c r="N12" s="850"/>
      <c r="O12" s="48"/>
      <c r="P12" s="850"/>
      <c r="Q12" t="s">
        <v>252</v>
      </c>
      <c r="R12" s="57">
        <f>('Background Data'!C29/1000)/'Background Data'!C18</f>
        <v>0.59423917566577078</v>
      </c>
      <c r="S12" s="57">
        <f>('Background Data'!D29/1000)/'Background Data'!D18</f>
        <v>0.61946974477094829</v>
      </c>
      <c r="T12" s="57">
        <f>('Background Data'!E29/1000)/'Background Data'!E18</f>
        <v>0.65920277772675084</v>
      </c>
      <c r="U12" s="57">
        <f>('Background Data'!F29/1000)/'Background Data'!F18</f>
        <v>0.7066628640696716</v>
      </c>
      <c r="V12" s="57">
        <f>('Background Data'!G29/1000)/'Background Data'!G18</f>
        <v>0.80120178789833574</v>
      </c>
      <c r="W12" s="57">
        <f>('Background Data'!H29/1000)/'Background Data'!H18</f>
        <v>0.91363129201759896</v>
      </c>
      <c r="X12" s="57">
        <f>('Background Data'!I29/1000)/'Background Data'!I18</f>
        <v>0.91902055610647193</v>
      </c>
      <c r="Y12" s="57">
        <f>('Background Data'!J29/1000)/'Background Data'!J18</f>
        <v>0.67009587796373782</v>
      </c>
      <c r="Z12" s="57">
        <f>('Background Data'!K29/1000)/'Background Data'!K18</f>
        <v>0.68546894877456388</v>
      </c>
      <c r="AA12" s="57">
        <f>('Background Data'!L29/1000)/'Background Data'!L18</f>
        <v>0.76130183957446806</v>
      </c>
      <c r="AB12" s="57">
        <f>('Background Data'!M29/1000)/'Background Data'!M18</f>
        <v>0.85016130872340423</v>
      </c>
      <c r="AC12" s="57">
        <f>('Background Data'!N29/1000)/'Background Data'!N18</f>
        <v>0.94684658812577582</v>
      </c>
      <c r="AD12" s="57">
        <f>('Background Data'!O29/1000)/'Background Data'!O18</f>
        <v>0.89459498023477468</v>
      </c>
      <c r="AE12" s="57">
        <f>('Background Data'!P29/1000)/'Background Data'!P18</f>
        <v>0.87538620981633275</v>
      </c>
      <c r="AF12" s="57">
        <f>('Background Data'!Q29/1000)/'Background Data'!Q18</f>
        <v>0.8427377697382652</v>
      </c>
      <c r="AG12" s="57">
        <f>('Background Data'!R29/1000)/'Background Data'!R18</f>
        <v>0.762954569509804</v>
      </c>
      <c r="AH12" s="57">
        <f>('Background Data'!S29/1000)/'Background Data'!S18</f>
        <v>0.61855095313634012</v>
      </c>
      <c r="AI12" s="57">
        <f>('Background Data'!T29/1000)/'Background Data'!T18</f>
        <v>0.74367053067858602</v>
      </c>
      <c r="AJ12" s="57">
        <f>('Background Data'!U29/1000)/'Background Data'!U18</f>
        <v>0.68773003178185244</v>
      </c>
      <c r="AK12" s="57">
        <f>('Background Data'!V29/1000)/'Background Data'!V18</f>
        <v>0.69258549841772155</v>
      </c>
      <c r="AL12" s="57">
        <f>('Background Data'!W29/1000)/'Background Data'!W18</f>
        <v>0.5089421108636476</v>
      </c>
      <c r="AM12" s="57">
        <f>('Background Data'!X29/1000)/'Background Data'!X18</f>
        <v>0.53103464258670308</v>
      </c>
      <c r="AN12" s="797">
        <f t="shared" si="3"/>
        <v>0.94684658812577582</v>
      </c>
      <c r="AO12" s="57">
        <f t="shared" si="4"/>
        <v>0.72470489221042822</v>
      </c>
      <c r="AP12" s="81">
        <f t="shared" si="0"/>
        <v>0.36711870272903235</v>
      </c>
      <c r="AQ12" s="81">
        <f t="shared" si="1"/>
        <v>0.78302225917621238</v>
      </c>
      <c r="AR12" s="81">
        <f t="shared" si="2"/>
        <v>0.30421905253505521</v>
      </c>
      <c r="AS12" s="81">
        <f t="shared" si="5"/>
        <v>0.36470360705724425</v>
      </c>
      <c r="AT12"/>
      <c r="AU12"/>
      <c r="AV12"/>
      <c r="AW12"/>
    </row>
    <row r="13" spans="1:49" x14ac:dyDescent="0.25">
      <c r="A13" t="s">
        <v>2982</v>
      </c>
      <c r="B13" t="s">
        <v>3133</v>
      </c>
      <c r="C13" t="s">
        <v>84</v>
      </c>
      <c r="D13" t="s">
        <v>148</v>
      </c>
      <c r="E13" s="49">
        <v>2023</v>
      </c>
      <c r="F13" s="103">
        <v>0.40332650447188123</v>
      </c>
      <c r="G13" s="103">
        <v>0.43725688992331646</v>
      </c>
      <c r="H13" s="103">
        <v>0.47118727537475169</v>
      </c>
      <c r="I13" s="103">
        <v>0.47118727537475169</v>
      </c>
      <c r="J13" s="103">
        <v>0.47118727537475169</v>
      </c>
      <c r="K13" s="103">
        <v>0.47118727537475169</v>
      </c>
      <c r="L13" s="103">
        <v>0.47118727537475169</v>
      </c>
      <c r="M13" s="51" t="s">
        <v>3087</v>
      </c>
      <c r="N13" s="850"/>
      <c r="P13" s="850"/>
      <c r="Q13" t="s">
        <v>266</v>
      </c>
      <c r="R13" s="57">
        <f>('Background Data'!C30/1000)/'Background Data'!C19</f>
        <v>1.159124545117429</v>
      </c>
      <c r="S13" s="57">
        <f>('Background Data'!D30/1000)/'Background Data'!D19</f>
        <v>0.92768096732522798</v>
      </c>
      <c r="T13" s="57">
        <f>('Background Data'!E30/1000)/'Background Data'!E19</f>
        <v>1.0600822458791208</v>
      </c>
      <c r="U13" s="57">
        <f>('Background Data'!F30/1000)/'Background Data'!F19</f>
        <v>0.99137253064019171</v>
      </c>
      <c r="V13" s="57">
        <f>('Background Data'!G30/1000)/'Background Data'!G19</f>
        <v>1.0708795120162933</v>
      </c>
      <c r="W13" s="57">
        <f>('Background Data'!H30/1000)/'Background Data'!H19</f>
        <v>1.192290170621469</v>
      </c>
      <c r="X13" s="57">
        <f>('Background Data'!I30/1000)/'Background Data'!I19</f>
        <v>0.87508076511289157</v>
      </c>
      <c r="Y13" s="57">
        <f>('Background Data'!J30/1000)/'Background Data'!J19</f>
        <v>0.93620393041681016</v>
      </c>
      <c r="Z13" s="57">
        <f>('Background Data'!K30/1000)/'Background Data'!K19</f>
        <v>0.8782866680497925</v>
      </c>
      <c r="AA13" s="57">
        <f>('Background Data'!L30/1000)/'Background Data'!L19</f>
        <v>0.94609655898771872</v>
      </c>
      <c r="AB13" s="57">
        <f>('Background Data'!M30/1000)/'Background Data'!M19</f>
        <v>0.90036596624629073</v>
      </c>
      <c r="AC13" s="57">
        <f>('Background Data'!N30/1000)/'Background Data'!N19</f>
        <v>0.99729882717431895</v>
      </c>
      <c r="AD13" s="57">
        <f>('Background Data'!O30/1000)/'Background Data'!O19</f>
        <v>0.86400545532831008</v>
      </c>
      <c r="AE13" s="57">
        <f>('Background Data'!P30/1000)/'Background Data'!P19</f>
        <v>0.87024938449707789</v>
      </c>
      <c r="AF13" s="57">
        <f>('Background Data'!Q30/1000)/'Background Data'!Q19</f>
        <v>0.75760092906861121</v>
      </c>
      <c r="AG13" s="57">
        <f>('Background Data'!R30/1000)/'Background Data'!R19</f>
        <v>0.71820322499169165</v>
      </c>
      <c r="AH13" s="57">
        <f>('Background Data'!S30/1000)/'Background Data'!S19</f>
        <v>0.53612210569105689</v>
      </c>
      <c r="AI13" s="57">
        <f>('Background Data'!T30/1000)/'Background Data'!T19</f>
        <v>0.87217824449648718</v>
      </c>
      <c r="AJ13" s="57">
        <f>('Background Data'!U30/1000)/'Background Data'!U19</f>
        <v>0.86431610204081621</v>
      </c>
      <c r="AK13" s="57">
        <f>('Background Data'!V30/1000)/'Background Data'!V19</f>
        <v>0.8309341100959341</v>
      </c>
      <c r="AL13" s="57">
        <f>('Background Data'!W30/1000)/'Background Data'!W19</f>
        <v>0.5740394277498202</v>
      </c>
      <c r="AM13" s="57">
        <f>('Background Data'!X30/1000)/'Background Data'!X19</f>
        <v>0.57892416245136191</v>
      </c>
      <c r="AN13" s="797">
        <f t="shared" si="3"/>
        <v>1.192290170621469</v>
      </c>
      <c r="AO13" s="57">
        <f t="shared" si="4"/>
        <v>0.76322578606409952</v>
      </c>
      <c r="AP13" s="81">
        <f t="shared" si="0"/>
        <v>0.43487931971382809</v>
      </c>
      <c r="AQ13" s="81">
        <f t="shared" si="1"/>
        <v>1.0594928454409414</v>
      </c>
      <c r="AR13" s="81">
        <f t="shared" si="2"/>
        <v>0.43530735800951259</v>
      </c>
      <c r="AS13" s="81">
        <f t="shared" si="5"/>
        <v>0.31835192857099237</v>
      </c>
    </row>
    <row r="14" spans="1:49" x14ac:dyDescent="0.25">
      <c r="A14" t="s">
        <v>2983</v>
      </c>
      <c r="B14" t="s">
        <v>3133</v>
      </c>
      <c r="C14" t="s">
        <v>84</v>
      </c>
      <c r="D14" t="s">
        <v>148</v>
      </c>
      <c r="E14" s="49">
        <v>2023</v>
      </c>
      <c r="F14" s="103">
        <v>0.40332650447188123</v>
      </c>
      <c r="G14" s="103">
        <v>0.43725688992331646</v>
      </c>
      <c r="H14" s="103">
        <v>0.47118727537475169</v>
      </c>
      <c r="I14" s="103">
        <v>0.47118727537475169</v>
      </c>
      <c r="J14" s="103">
        <v>0.47118727537475169</v>
      </c>
      <c r="K14" s="103">
        <v>0.47118727537475169</v>
      </c>
      <c r="L14" s="103">
        <v>0.47118727537475169</v>
      </c>
      <c r="M14" s="51" t="s">
        <v>3087</v>
      </c>
      <c r="N14" s="850"/>
      <c r="P14" s="850"/>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c r="AP14" s="194"/>
      <c r="AQ14" s="194"/>
      <c r="AR14" s="194"/>
      <c r="AS14" s="194"/>
      <c r="AT14" s="194"/>
      <c r="AU14" s="194"/>
      <c r="AV14" s="194"/>
      <c r="AW14" s="194"/>
    </row>
    <row r="15" spans="1:49" x14ac:dyDescent="0.25">
      <c r="A15" t="s">
        <v>2984</v>
      </c>
      <c r="B15" t="s">
        <v>3133</v>
      </c>
      <c r="C15" t="s">
        <v>84</v>
      </c>
      <c r="D15" t="s">
        <v>148</v>
      </c>
      <c r="E15" s="49">
        <v>2023</v>
      </c>
      <c r="F15" s="103">
        <v>0.40332650447188123</v>
      </c>
      <c r="G15" s="103">
        <v>0.43725688992331646</v>
      </c>
      <c r="H15" s="103">
        <v>0.47118727537475169</v>
      </c>
      <c r="I15" s="103">
        <v>0.47118727537475169</v>
      </c>
      <c r="J15" s="103">
        <v>0.47118727537475169</v>
      </c>
      <c r="K15" s="103">
        <v>0.47118727537475169</v>
      </c>
      <c r="L15" s="103">
        <v>0.47118727537475169</v>
      </c>
      <c r="M15" s="51" t="s">
        <v>3087</v>
      </c>
      <c r="N15" s="850"/>
      <c r="P15" s="850"/>
      <c r="Q15" s="194" t="s">
        <v>3085</v>
      </c>
      <c r="AG15" s="57">
        <f>((1-CFAF!$E$4)*'Background Data'!R26/1000)/((1-CFAF!$E$3)*'Background Data'!R15)</f>
        <v>0.27706196433602781</v>
      </c>
      <c r="AH15" s="57">
        <f>((1-CFAF!$E$4)*'Background Data'!S26/1000)/((1-CFAF!$E$3)*'Background Data'!S15)</f>
        <v>0.28145410849191227</v>
      </c>
      <c r="AI15" s="57">
        <f>((1-CFAF!$E$4)*'Background Data'!T26/1000)/((1-CFAF!$E$3)*'Background Data'!T15)</f>
        <v>0.28490872189449673</v>
      </c>
      <c r="AJ15" s="57">
        <f>((1-CFAF!$E$4)*'Background Data'!U26/1000)/((1-CFAF!$E$3)*'Background Data'!U15)</f>
        <v>0.2558672454229487</v>
      </c>
      <c r="AK15" s="57">
        <f>((1-CFAF!$E$4)*'Background Data'!V26/1000)/((1-CFAF!$E$3)*'Background Data'!V15)</f>
        <v>0.25824322940365568</v>
      </c>
      <c r="AL15" s="57">
        <f>((1-CFAF!$E$4)*'Background Data'!W26/1000)/((1-CFAF!$E$3)*'Background Data'!W15)</f>
        <v>0.22652592029072238</v>
      </c>
      <c r="AM15" s="228">
        <f>((1-CFAF!$E$4)*'Background Data'!X26/1000)/((1-CFAF!$E$3)*'Background Data'!X15)</f>
        <v>0.23240438932865418</v>
      </c>
      <c r="AN15" s="803">
        <f t="shared" si="3"/>
        <v>0.28490872189449673</v>
      </c>
      <c r="AO15" s="228">
        <f t="shared" ref="AO15:AO16" si="6">AVERAGE(AF15:AK15)</f>
        <v>0.27150705390980823</v>
      </c>
      <c r="AP15" s="804">
        <f t="shared" ref="AP15:AP16" si="7">AN15/AK15 - 1</f>
        <v>0.10325727629885173</v>
      </c>
      <c r="AQ15" s="804">
        <f t="shared" ref="AQ15:AQ16" si="8">AN15/AM15 - 1</f>
        <v>0.22591799026477788</v>
      </c>
      <c r="AR15" s="804">
        <f t="shared" ref="AR15:AR16" si="9">AK15/AM15 - 1</f>
        <v>0.1111805166401636</v>
      </c>
      <c r="AS15" s="804">
        <f t="shared" ref="AS15:AS16" si="10">AO15/AM15 - 1</f>
        <v>0.1682526939104283</v>
      </c>
      <c r="AT15" s="217"/>
    </row>
    <row r="16" spans="1:49" s="194" customFormat="1" x14ac:dyDescent="0.25">
      <c r="A16" t="s">
        <v>2985</v>
      </c>
      <c r="B16" t="s">
        <v>3133</v>
      </c>
      <c r="C16" t="s">
        <v>84</v>
      </c>
      <c r="D16" t="s">
        <v>148</v>
      </c>
      <c r="E16" s="49">
        <v>2023</v>
      </c>
      <c r="F16" s="103">
        <v>0.40332650447188123</v>
      </c>
      <c r="G16" s="103">
        <v>0.43725688992331646</v>
      </c>
      <c r="H16" s="103">
        <v>0.47118727537475169</v>
      </c>
      <c r="I16" s="103">
        <v>0.47118727537475169</v>
      </c>
      <c r="J16" s="103">
        <v>0.47118727537475169</v>
      </c>
      <c r="K16" s="103">
        <v>0.47118727537475169</v>
      </c>
      <c r="L16" s="103">
        <v>0.47118727537475169</v>
      </c>
      <c r="M16" s="51" t="s">
        <v>3087</v>
      </c>
      <c r="N16" s="850"/>
      <c r="O16" s="48"/>
      <c r="P16" s="850"/>
      <c r="Q16" s="194" t="s">
        <v>3086</v>
      </c>
      <c r="AG16" s="799">
        <f>((CFAF!$E$4)*'Background Data'!R26/1000)/((CFAF!$E$3)*'Background Data'!R15)</f>
        <v>1.5784742869083994</v>
      </c>
      <c r="AH16" s="799">
        <f>((CFAF!$E$4)*'Background Data'!S26/1000)/((CFAF!$E$3)*'Background Data'!S15)</f>
        <v>1.6034971608747819</v>
      </c>
      <c r="AI16" s="799">
        <f>((CFAF!$E$4)*'Background Data'!T26/1000)/((CFAF!$E$3)*'Background Data'!T15)</f>
        <v>1.6231787452461939</v>
      </c>
      <c r="AJ16" s="799">
        <f>((CFAF!$E$4)*'Background Data'!U26/1000)/((CFAF!$E$3)*'Background Data'!U15)</f>
        <v>1.4577239742383754</v>
      </c>
      <c r="AK16" s="799">
        <f>((CFAF!$E$4)*'Background Data'!V26/1000)/((CFAF!$E$3)*'Background Data'!V15)</f>
        <v>1.471260403277417</v>
      </c>
      <c r="AL16" s="799">
        <f>((CFAF!$E$4)*'Background Data'!W26/1000)/((CFAF!$E$3)*'Background Data'!W15)</f>
        <v>1.2905609088351901</v>
      </c>
      <c r="AM16" s="799">
        <f>((CFAF!$E$4)*'Background Data'!X26/1000)/((CFAF!$E$3)*'Background Data'!X15)</f>
        <v>1.3240516560945597</v>
      </c>
      <c r="AN16" s="800">
        <f t="shared" si="3"/>
        <v>1.6231787452461939</v>
      </c>
      <c r="AO16" s="799">
        <f t="shared" si="6"/>
        <v>1.5468269141090334</v>
      </c>
      <c r="AP16" s="496">
        <f t="shared" si="7"/>
        <v>0.10325727629885217</v>
      </c>
      <c r="AQ16" s="496">
        <f t="shared" si="8"/>
        <v>0.22591799026477832</v>
      </c>
      <c r="AR16" s="496">
        <f t="shared" si="9"/>
        <v>0.1111805166401636</v>
      </c>
      <c r="AS16" s="496">
        <f t="shared" si="10"/>
        <v>0.1682526939104283</v>
      </c>
    </row>
    <row r="17" spans="1:16" x14ac:dyDescent="0.25">
      <c r="A17" t="s">
        <v>2986</v>
      </c>
      <c r="B17" t="s">
        <v>3133</v>
      </c>
      <c r="C17" t="s">
        <v>84</v>
      </c>
      <c r="D17" t="s">
        <v>148</v>
      </c>
      <c r="E17" s="49">
        <v>2023</v>
      </c>
      <c r="F17" s="103">
        <v>0.40332650447188123</v>
      </c>
      <c r="G17" s="103">
        <v>0.43725688992331646</v>
      </c>
      <c r="H17" s="103">
        <v>0.47118727537475169</v>
      </c>
      <c r="I17" s="103">
        <v>0.47118727537475169</v>
      </c>
      <c r="J17" s="103">
        <v>0.47118727537475169</v>
      </c>
      <c r="K17" s="103">
        <v>0.47118727537475169</v>
      </c>
      <c r="L17" s="103">
        <v>0.47118727537475169</v>
      </c>
      <c r="M17" s="51" t="s">
        <v>3087</v>
      </c>
      <c r="N17" s="850"/>
      <c r="P17" s="850"/>
    </row>
    <row r="18" spans="1:16" x14ac:dyDescent="0.25">
      <c r="A18" t="s">
        <v>2987</v>
      </c>
      <c r="B18" t="s">
        <v>3133</v>
      </c>
      <c r="C18" t="s">
        <v>84</v>
      </c>
      <c r="D18" t="s">
        <v>148</v>
      </c>
      <c r="E18" s="49">
        <v>2023</v>
      </c>
      <c r="F18" s="103">
        <v>0.40332650447188123</v>
      </c>
      <c r="G18" s="103">
        <v>0.43725688992331646</v>
      </c>
      <c r="H18" s="103">
        <v>0.47118727537475169</v>
      </c>
      <c r="I18" s="103">
        <v>0.47118727537475169</v>
      </c>
      <c r="J18" s="103">
        <v>0.47118727537475169</v>
      </c>
      <c r="K18" s="103">
        <v>0.47118727537475169</v>
      </c>
      <c r="L18" s="103">
        <v>0.47118727537475169</v>
      </c>
      <c r="M18" s="51" t="s">
        <v>3087</v>
      </c>
      <c r="N18" s="850"/>
      <c r="P18" s="850"/>
    </row>
    <row r="19" spans="1:16" x14ac:dyDescent="0.25">
      <c r="A19" t="s">
        <v>2977</v>
      </c>
      <c r="B19" t="s">
        <v>3133</v>
      </c>
      <c r="C19" t="s">
        <v>84</v>
      </c>
      <c r="D19" t="s">
        <v>148</v>
      </c>
      <c r="E19" s="49">
        <v>2023</v>
      </c>
      <c r="F19" s="103">
        <v>0.40332650447188123</v>
      </c>
      <c r="G19" s="103">
        <v>0.43725688992331646</v>
      </c>
      <c r="H19" s="103">
        <v>0.47118727537475169</v>
      </c>
      <c r="I19" s="103">
        <v>0.47118727537475169</v>
      </c>
      <c r="J19" s="103">
        <v>0.47118727537475169</v>
      </c>
      <c r="K19" s="103">
        <v>0.47118727537475169</v>
      </c>
      <c r="L19" s="103">
        <v>0.47118727537475169</v>
      </c>
      <c r="M19" s="51" t="s">
        <v>3087</v>
      </c>
      <c r="N19" s="850"/>
      <c r="P19" s="850"/>
    </row>
    <row r="20" spans="1:16" x14ac:dyDescent="0.25">
      <c r="L20"/>
      <c r="N20" s="850"/>
      <c r="P20" s="850"/>
    </row>
    <row r="21" spans="1:16" x14ac:dyDescent="0.25">
      <c r="N21" s="850"/>
      <c r="P21" s="850"/>
    </row>
    <row r="22" spans="1:16" x14ac:dyDescent="0.25">
      <c r="N22" s="850"/>
      <c r="P22" s="850"/>
    </row>
    <row r="23" spans="1:16" x14ac:dyDescent="0.25">
      <c r="N23" s="850"/>
      <c r="P23" s="850"/>
    </row>
    <row r="24" spans="1:16" x14ac:dyDescent="0.25">
      <c r="N24" s="850"/>
      <c r="P24" s="850"/>
    </row>
    <row r="25" spans="1:16" x14ac:dyDescent="0.25">
      <c r="N25" s="850"/>
      <c r="P25" s="850"/>
    </row>
    <row r="26" spans="1:16" x14ac:dyDescent="0.25">
      <c r="N26" s="850"/>
      <c r="P26" s="850"/>
    </row>
    <row r="27" spans="1:16" s="194" customFormat="1" x14ac:dyDescent="0.25">
      <c r="E27" s="195"/>
      <c r="L27" s="195"/>
      <c r="M27" s="220"/>
      <c r="N27" s="850"/>
      <c r="O27" s="48"/>
      <c r="P27" s="850"/>
    </row>
    <row r="28" spans="1:16" x14ac:dyDescent="0.25">
      <c r="F28" s="103"/>
      <c r="G28" s="103"/>
      <c r="H28" s="103"/>
      <c r="I28" s="103"/>
      <c r="J28" s="103"/>
      <c r="K28" s="103"/>
      <c r="L28" s="802"/>
      <c r="N28" s="850"/>
      <c r="P28" s="850"/>
    </row>
    <row r="29" spans="1:16" x14ac:dyDescent="0.25">
      <c r="F29" s="103"/>
      <c r="G29" s="103"/>
      <c r="H29" s="103"/>
      <c r="I29" s="103"/>
      <c r="J29" s="103"/>
      <c r="K29" s="103"/>
      <c r="L29" s="802"/>
      <c r="N29" s="850"/>
      <c r="P29" s="850"/>
    </row>
    <row r="30" spans="1:16" x14ac:dyDescent="0.25">
      <c r="F30" s="103"/>
      <c r="G30" s="103"/>
      <c r="H30" s="103"/>
      <c r="I30" s="103"/>
      <c r="J30" s="103"/>
      <c r="K30" s="103"/>
      <c r="L30" s="802"/>
      <c r="N30" s="850"/>
      <c r="P30" s="850"/>
    </row>
    <row r="31" spans="1:16" x14ac:dyDescent="0.25">
      <c r="F31" s="103"/>
      <c r="G31" s="103"/>
      <c r="H31" s="103"/>
      <c r="I31" s="103"/>
      <c r="J31" s="103"/>
      <c r="K31" s="103"/>
      <c r="L31" s="802"/>
      <c r="N31" s="850"/>
      <c r="P31" s="850"/>
    </row>
    <row r="32" spans="1:16" x14ac:dyDescent="0.25">
      <c r="F32" s="103"/>
      <c r="G32" s="103"/>
      <c r="H32" s="103"/>
      <c r="I32" s="103"/>
      <c r="J32" s="103"/>
      <c r="K32" s="103"/>
      <c r="L32" s="802"/>
      <c r="N32" s="850"/>
      <c r="P32" s="850"/>
    </row>
    <row r="33" spans="5:16" x14ac:dyDescent="0.25">
      <c r="F33" s="103"/>
      <c r="G33" s="103"/>
      <c r="H33" s="103"/>
      <c r="I33" s="103"/>
      <c r="J33" s="103"/>
      <c r="K33" s="103"/>
      <c r="L33" s="802"/>
      <c r="N33" s="850"/>
      <c r="P33" s="850"/>
    </row>
    <row r="34" spans="5:16" s="194" customFormat="1" x14ac:dyDescent="0.25">
      <c r="E34" s="195"/>
      <c r="F34" s="798"/>
      <c r="G34" s="798"/>
      <c r="H34" s="798"/>
      <c r="I34" s="798"/>
      <c r="J34" s="798"/>
      <c r="K34" s="798"/>
      <c r="L34" s="806"/>
      <c r="M34" s="220"/>
      <c r="N34" s="850"/>
      <c r="O34" s="48"/>
      <c r="P34" s="850"/>
    </row>
    <row r="35" spans="5:16" x14ac:dyDescent="0.25">
      <c r="N35" s="850"/>
      <c r="P35" s="850"/>
    </row>
    <row r="36" spans="5:16" x14ac:dyDescent="0.25">
      <c r="N36" s="850"/>
      <c r="P36" s="850"/>
    </row>
    <row r="37" spans="5:16" x14ac:dyDescent="0.25">
      <c r="N37" s="850"/>
      <c r="P37" s="850"/>
    </row>
    <row r="38" spans="5:16" x14ac:dyDescent="0.25">
      <c r="N38" s="850"/>
      <c r="P38" s="850"/>
    </row>
    <row r="39" spans="5:16" x14ac:dyDescent="0.25">
      <c r="N39" s="850"/>
      <c r="P39" s="850"/>
    </row>
    <row r="40" spans="5:16" s="194" customFormat="1" x14ac:dyDescent="0.25">
      <c r="E40" s="195"/>
      <c r="L40" s="195"/>
      <c r="M40" s="220"/>
      <c r="N40" s="850"/>
      <c r="O40" s="48"/>
      <c r="P40" s="850"/>
    </row>
    <row r="41" spans="5:16" x14ac:dyDescent="0.25">
      <c r="F41" s="103"/>
      <c r="G41" s="103"/>
      <c r="H41" s="103"/>
      <c r="I41" s="103"/>
      <c r="J41" s="103"/>
      <c r="K41" s="103"/>
      <c r="L41" s="802"/>
      <c r="N41" s="850"/>
      <c r="P41" s="850"/>
    </row>
    <row r="42" spans="5:16" s="194" customFormat="1" x14ac:dyDescent="0.25">
      <c r="E42" s="195"/>
      <c r="F42" s="798"/>
      <c r="G42" s="798"/>
      <c r="H42" s="798"/>
      <c r="I42" s="798"/>
      <c r="J42" s="798"/>
      <c r="K42" s="798"/>
      <c r="L42" s="806"/>
      <c r="M42" s="220"/>
      <c r="N42" s="850"/>
      <c r="O42" s="48"/>
      <c r="P42" s="850"/>
    </row>
    <row r="43" spans="5:16" x14ac:dyDescent="0.25">
      <c r="F43" s="103"/>
      <c r="G43" s="103"/>
      <c r="H43" s="103"/>
      <c r="I43" s="103"/>
      <c r="J43" s="103"/>
      <c r="K43" s="103"/>
      <c r="L43" s="802"/>
      <c r="N43" s="850"/>
      <c r="P43" s="850"/>
    </row>
    <row r="44" spans="5:16" x14ac:dyDescent="0.25">
      <c r="F44" s="103"/>
      <c r="G44" s="103"/>
      <c r="H44" s="103"/>
      <c r="I44" s="103"/>
      <c r="J44" s="103"/>
      <c r="K44" s="103"/>
      <c r="L44" s="802"/>
      <c r="N44" s="850"/>
      <c r="P44" s="850"/>
    </row>
    <row r="45" spans="5:16" x14ac:dyDescent="0.25">
      <c r="F45" s="103"/>
      <c r="G45" s="103"/>
      <c r="H45" s="103"/>
      <c r="I45" s="103"/>
      <c r="J45" s="103"/>
      <c r="K45" s="103"/>
      <c r="L45" s="802"/>
      <c r="N45" s="850"/>
      <c r="P45" s="850"/>
    </row>
    <row r="46" spans="5:16" x14ac:dyDescent="0.25">
      <c r="F46" s="103"/>
      <c r="G46" s="103"/>
      <c r="H46" s="103"/>
      <c r="I46" s="103"/>
      <c r="J46" s="103"/>
      <c r="K46" s="103"/>
      <c r="L46" s="802"/>
      <c r="N46" s="850"/>
      <c r="P46" s="850"/>
    </row>
    <row r="47" spans="5:16" x14ac:dyDescent="0.25">
      <c r="F47" s="103"/>
      <c r="G47" s="103"/>
      <c r="H47" s="103"/>
      <c r="I47" s="103"/>
      <c r="J47" s="103"/>
      <c r="K47" s="103"/>
      <c r="L47" s="802"/>
      <c r="N47" s="850"/>
      <c r="P47" s="850"/>
    </row>
    <row r="48" spans="5:16" x14ac:dyDescent="0.25">
      <c r="F48" s="103"/>
      <c r="G48" s="103"/>
      <c r="H48" s="103"/>
      <c r="I48" s="103"/>
      <c r="J48" s="103"/>
      <c r="K48" s="103"/>
      <c r="L48" s="802"/>
      <c r="N48" s="850"/>
      <c r="P48" s="850"/>
    </row>
    <row r="49" spans="3:16" x14ac:dyDescent="0.25">
      <c r="F49" s="103"/>
      <c r="G49" s="103"/>
      <c r="H49" s="103"/>
      <c r="I49" s="103"/>
      <c r="J49" s="103"/>
      <c r="K49" s="103"/>
      <c r="L49" s="802"/>
      <c r="N49" s="850"/>
      <c r="P49" s="850"/>
    </row>
    <row r="50" spans="3:16" s="194" customFormat="1" x14ac:dyDescent="0.25">
      <c r="E50" s="195"/>
      <c r="F50" s="798"/>
      <c r="G50" s="798"/>
      <c r="H50" s="798"/>
      <c r="I50" s="798"/>
      <c r="J50" s="798"/>
      <c r="K50" s="798"/>
      <c r="L50" s="806"/>
      <c r="M50" s="220"/>
      <c r="N50" s="850"/>
      <c r="O50" s="48"/>
      <c r="P50" s="850"/>
    </row>
    <row r="51" spans="3:16" x14ac:dyDescent="0.25">
      <c r="F51" s="103"/>
      <c r="G51" s="103"/>
      <c r="H51" s="103"/>
      <c r="I51" s="103"/>
      <c r="J51" s="103"/>
      <c r="K51" s="103"/>
      <c r="L51" s="802"/>
    </row>
    <row r="52" spans="3:16" x14ac:dyDescent="0.25">
      <c r="F52" s="103"/>
      <c r="G52" s="103"/>
      <c r="H52" s="103"/>
      <c r="I52" s="103"/>
      <c r="J52" s="103"/>
      <c r="K52" s="103"/>
      <c r="L52" s="802"/>
    </row>
    <row r="53" spans="3:16" x14ac:dyDescent="0.25">
      <c r="F53" s="103"/>
      <c r="G53" s="103"/>
      <c r="H53" s="103"/>
      <c r="I53" s="103"/>
      <c r="J53" s="103"/>
      <c r="K53" s="103"/>
      <c r="L53" s="802"/>
    </row>
    <row r="54" spans="3:16" x14ac:dyDescent="0.25">
      <c r="F54" s="103"/>
      <c r="G54" s="103"/>
      <c r="H54" s="103"/>
      <c r="I54" s="103"/>
      <c r="J54" s="103"/>
      <c r="K54" s="103"/>
      <c r="L54" s="802"/>
    </row>
    <row r="55" spans="3:16" x14ac:dyDescent="0.25">
      <c r="F55" s="103"/>
      <c r="G55" s="103"/>
      <c r="H55" s="103"/>
      <c r="I55" s="103"/>
      <c r="J55" s="103"/>
      <c r="K55" s="103"/>
      <c r="L55" s="802"/>
    </row>
    <row r="56" spans="3:16" x14ac:dyDescent="0.25">
      <c r="F56" s="103"/>
      <c r="G56" s="103"/>
      <c r="H56" s="103"/>
      <c r="I56" s="103"/>
      <c r="J56" s="103"/>
      <c r="K56" s="103"/>
      <c r="L56" s="802"/>
    </row>
    <row r="57" spans="3:16" x14ac:dyDescent="0.25">
      <c r="F57" s="103"/>
      <c r="G57" s="103"/>
      <c r="H57" s="103"/>
      <c r="I57" s="103"/>
      <c r="J57" s="103"/>
      <c r="K57" s="103"/>
      <c r="L57" s="802"/>
    </row>
    <row r="58" spans="3:16" s="194" customFormat="1" x14ac:dyDescent="0.25">
      <c r="E58" s="195"/>
      <c r="F58" s="798"/>
      <c r="G58" s="798"/>
      <c r="H58" s="798"/>
      <c r="I58" s="798"/>
      <c r="J58" s="798"/>
      <c r="K58" s="798"/>
      <c r="L58" s="806"/>
      <c r="M58" s="220"/>
      <c r="N58"/>
      <c r="O58" s="48"/>
      <c r="P58"/>
    </row>
    <row r="59" spans="3:16" x14ac:dyDescent="0.25">
      <c r="F59" s="103"/>
      <c r="G59" s="103"/>
      <c r="H59" s="103"/>
      <c r="I59" s="103"/>
      <c r="J59" s="103"/>
      <c r="K59" s="103"/>
      <c r="L59" s="802"/>
    </row>
    <row r="60" spans="3:16" x14ac:dyDescent="0.25">
      <c r="F60" s="103"/>
      <c r="G60" s="103"/>
      <c r="H60" s="103"/>
      <c r="I60" s="103"/>
      <c r="J60" s="103"/>
      <c r="K60" s="103"/>
      <c r="L60" s="802"/>
    </row>
    <row r="61" spans="3:16" x14ac:dyDescent="0.25">
      <c r="F61" s="103"/>
      <c r="G61" s="103"/>
      <c r="H61" s="103"/>
      <c r="I61" s="103"/>
      <c r="J61" s="103"/>
      <c r="K61" s="103"/>
      <c r="L61" s="802"/>
    </row>
    <row r="62" spans="3:16" x14ac:dyDescent="0.25">
      <c r="F62" s="103"/>
      <c r="G62" s="103"/>
      <c r="H62" s="103"/>
      <c r="I62" s="103"/>
      <c r="J62" s="103"/>
      <c r="K62" s="103"/>
      <c r="L62" s="802"/>
    </row>
    <row r="63" spans="3:16" s="194" customFormat="1" x14ac:dyDescent="0.25">
      <c r="C63"/>
      <c r="E63" s="195"/>
      <c r="F63" s="798"/>
      <c r="G63" s="798"/>
      <c r="H63" s="798"/>
      <c r="I63" s="798"/>
      <c r="J63" s="798"/>
      <c r="K63" s="798"/>
      <c r="L63" s="806"/>
      <c r="M63" s="220"/>
      <c r="N63"/>
      <c r="O63" s="48"/>
      <c r="P63"/>
    </row>
    <row r="64" spans="3:16" x14ac:dyDescent="0.25">
      <c r="C64" s="217"/>
      <c r="F64" s="103"/>
      <c r="G64" s="103"/>
      <c r="H64" s="103"/>
      <c r="I64" s="103"/>
      <c r="J64" s="103"/>
      <c r="K64" s="103"/>
      <c r="L64" s="801"/>
    </row>
    <row r="65" spans="6:12" x14ac:dyDescent="0.25">
      <c r="F65" s="103"/>
      <c r="G65" s="103"/>
      <c r="H65" s="103"/>
      <c r="I65" s="103"/>
      <c r="J65" s="103"/>
      <c r="K65" s="103"/>
      <c r="L65" s="802"/>
    </row>
  </sheetData>
  <mergeCells count="4">
    <mergeCell ref="F1:L1"/>
    <mergeCell ref="N1:N50"/>
    <mergeCell ref="P1:P50"/>
    <mergeCell ref="Q3:AM3"/>
  </mergeCells>
  <conditionalFormatting sqref="F3:L10">
    <cfRule type="cellIs" dxfId="17" priority="1" operator="lessThan">
      <formula>0</formula>
    </cfRule>
  </conditionalFormatting>
  <conditionalFormatting sqref="F3:L19 F28:L34 F41:L65">
    <cfRule type="cellIs" dxfId="16" priority="4" operator="between">
      <formula>0.0000001</formula>
      <formula>0.001</formula>
    </cfRule>
  </conditionalFormatting>
  <conditionalFormatting sqref="AP5:AS13">
    <cfRule type="colorScale" priority="5">
      <colorScale>
        <cfvo type="min"/>
        <cfvo type="max"/>
        <color rgb="FFFCFCFF"/>
        <color rgb="FFF8696B"/>
      </colorScale>
    </cfRule>
  </conditionalFormatting>
  <conditionalFormatting sqref="AP15:AS15">
    <cfRule type="colorScale" priority="3">
      <colorScale>
        <cfvo type="min"/>
        <cfvo type="max"/>
        <color rgb="FFFCFCFF"/>
        <color rgb="FFF8696B"/>
      </colorScale>
    </cfRule>
  </conditionalFormatting>
  <conditionalFormatting sqref="AP16:AS16">
    <cfRule type="colorScale" priority="2">
      <colorScale>
        <cfvo type="min"/>
        <cfvo type="max"/>
        <color rgb="FFFCFCFF"/>
        <color rgb="FFF8696B"/>
      </colorScale>
    </cfRule>
  </conditionalFormatting>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D0055-9870-4FD7-8232-2E376AC6C2D4}">
  <sheetPr>
    <tabColor theme="9" tint="0.59999389629810485"/>
  </sheetPr>
  <dimension ref="A1:F36"/>
  <sheetViews>
    <sheetView workbookViewId="0">
      <selection activeCell="H2" sqref="H2:H36"/>
    </sheetView>
  </sheetViews>
  <sheetFormatPr defaultRowHeight="15" x14ac:dyDescent="0.25"/>
  <cols>
    <col min="1" max="1" width="24.7109375" bestFit="1" customWidth="1"/>
    <col min="2" max="2" width="6.7109375" bestFit="1" customWidth="1"/>
    <col min="3" max="3" width="6.85546875" bestFit="1" customWidth="1"/>
    <col min="4" max="4" width="8.7109375" bestFit="1" customWidth="1"/>
    <col min="5" max="5" width="5.5703125" bestFit="1" customWidth="1"/>
    <col min="6" max="6" width="36.140625" bestFit="1" customWidth="1"/>
  </cols>
  <sheetData>
    <row r="1" spans="1:6" x14ac:dyDescent="0.25">
      <c r="A1" t="s">
        <v>2974</v>
      </c>
      <c r="B1" t="s">
        <v>3037</v>
      </c>
      <c r="C1" t="s">
        <v>3047</v>
      </c>
      <c r="D1" t="s">
        <v>3113</v>
      </c>
      <c r="E1" t="s">
        <v>3044</v>
      </c>
      <c r="F1" t="s">
        <v>3039</v>
      </c>
    </row>
    <row r="2" spans="1:6" x14ac:dyDescent="0.25">
      <c r="A2" t="s">
        <v>2999</v>
      </c>
      <c r="B2" t="s">
        <v>84</v>
      </c>
      <c r="C2">
        <v>2021</v>
      </c>
      <c r="D2">
        <v>838.85</v>
      </c>
      <c r="E2" t="s">
        <v>788</v>
      </c>
      <c r="F2" t="s">
        <v>3114</v>
      </c>
    </row>
    <row r="3" spans="1:6" x14ac:dyDescent="0.25">
      <c r="A3" t="s">
        <v>2999</v>
      </c>
      <c r="B3" t="s">
        <v>84</v>
      </c>
      <c r="C3">
        <v>2025</v>
      </c>
      <c r="D3">
        <v>838.85</v>
      </c>
      <c r="E3" t="s">
        <v>788</v>
      </c>
      <c r="F3" t="s">
        <v>3114</v>
      </c>
    </row>
    <row r="4" spans="1:6" x14ac:dyDescent="0.25">
      <c r="A4" t="s">
        <v>2999</v>
      </c>
      <c r="B4" t="s">
        <v>84</v>
      </c>
      <c r="C4">
        <v>2030</v>
      </c>
      <c r="D4">
        <v>838.85</v>
      </c>
      <c r="E4" t="s">
        <v>788</v>
      </c>
      <c r="F4" t="s">
        <v>3114</v>
      </c>
    </row>
    <row r="5" spans="1:6" x14ac:dyDescent="0.25">
      <c r="A5" t="s">
        <v>2999</v>
      </c>
      <c r="B5" t="s">
        <v>84</v>
      </c>
      <c r="C5">
        <v>2035</v>
      </c>
      <c r="D5">
        <v>838.85</v>
      </c>
      <c r="E5" t="s">
        <v>788</v>
      </c>
      <c r="F5" t="s">
        <v>3114</v>
      </c>
    </row>
    <row r="6" spans="1:6" x14ac:dyDescent="0.25">
      <c r="A6" t="s">
        <v>2999</v>
      </c>
      <c r="B6" t="s">
        <v>84</v>
      </c>
      <c r="C6">
        <v>2040</v>
      </c>
      <c r="D6">
        <v>838.85</v>
      </c>
      <c r="E6" t="s">
        <v>788</v>
      </c>
      <c r="F6" t="s">
        <v>3114</v>
      </c>
    </row>
    <row r="7" spans="1:6" x14ac:dyDescent="0.25">
      <c r="A7" t="s">
        <v>2999</v>
      </c>
      <c r="B7" t="s">
        <v>84</v>
      </c>
      <c r="C7">
        <v>2045</v>
      </c>
      <c r="D7">
        <v>838.85</v>
      </c>
      <c r="E7" t="s">
        <v>788</v>
      </c>
      <c r="F7" t="s">
        <v>3114</v>
      </c>
    </row>
    <row r="8" spans="1:6" x14ac:dyDescent="0.25">
      <c r="A8" t="s">
        <v>2999</v>
      </c>
      <c r="B8" t="s">
        <v>84</v>
      </c>
      <c r="C8">
        <v>2050</v>
      </c>
      <c r="D8">
        <v>838.85</v>
      </c>
      <c r="E8" t="s">
        <v>788</v>
      </c>
      <c r="F8" t="s">
        <v>3114</v>
      </c>
    </row>
    <row r="9" spans="1:6" x14ac:dyDescent="0.25">
      <c r="A9" t="s">
        <v>3000</v>
      </c>
      <c r="B9" t="s">
        <v>84</v>
      </c>
      <c r="C9">
        <v>2021</v>
      </c>
      <c r="D9">
        <v>838.87</v>
      </c>
      <c r="E9" t="s">
        <v>788</v>
      </c>
      <c r="F9" t="s">
        <v>3114</v>
      </c>
    </row>
    <row r="10" spans="1:6" x14ac:dyDescent="0.25">
      <c r="A10" t="s">
        <v>3000</v>
      </c>
      <c r="B10" t="s">
        <v>84</v>
      </c>
      <c r="C10">
        <v>2025</v>
      </c>
      <c r="D10">
        <v>838.87</v>
      </c>
      <c r="E10" t="s">
        <v>788</v>
      </c>
      <c r="F10" t="s">
        <v>3114</v>
      </c>
    </row>
    <row r="11" spans="1:6" x14ac:dyDescent="0.25">
      <c r="A11" t="s">
        <v>3000</v>
      </c>
      <c r="B11" t="s">
        <v>84</v>
      </c>
      <c r="C11">
        <v>2030</v>
      </c>
      <c r="D11">
        <v>838.87</v>
      </c>
      <c r="E11" t="s">
        <v>788</v>
      </c>
      <c r="F11" t="s">
        <v>3114</v>
      </c>
    </row>
    <row r="12" spans="1:6" x14ac:dyDescent="0.25">
      <c r="A12" t="s">
        <v>3000</v>
      </c>
      <c r="B12" t="s">
        <v>84</v>
      </c>
      <c r="C12">
        <v>2035</v>
      </c>
      <c r="D12">
        <v>838.87</v>
      </c>
      <c r="E12" t="s">
        <v>788</v>
      </c>
      <c r="F12" t="s">
        <v>3114</v>
      </c>
    </row>
    <row r="13" spans="1:6" x14ac:dyDescent="0.25">
      <c r="A13" t="s">
        <v>3000</v>
      </c>
      <c r="B13" t="s">
        <v>84</v>
      </c>
      <c r="C13">
        <v>2040</v>
      </c>
      <c r="D13">
        <v>838.87</v>
      </c>
      <c r="E13" t="s">
        <v>788</v>
      </c>
      <c r="F13" t="s">
        <v>3114</v>
      </c>
    </row>
    <row r="14" spans="1:6" x14ac:dyDescent="0.25">
      <c r="A14" t="s">
        <v>3000</v>
      </c>
      <c r="B14" t="s">
        <v>84</v>
      </c>
      <c r="C14">
        <v>2045</v>
      </c>
      <c r="D14">
        <v>838.87</v>
      </c>
      <c r="E14" t="s">
        <v>788</v>
      </c>
      <c r="F14" t="s">
        <v>3114</v>
      </c>
    </row>
    <row r="15" spans="1:6" x14ac:dyDescent="0.25">
      <c r="A15" t="s">
        <v>3000</v>
      </c>
      <c r="B15" t="s">
        <v>84</v>
      </c>
      <c r="C15">
        <v>2050</v>
      </c>
      <c r="D15">
        <v>838.87</v>
      </c>
      <c r="E15" t="s">
        <v>788</v>
      </c>
      <c r="F15" t="s">
        <v>3114</v>
      </c>
    </row>
    <row r="16" spans="1:6" x14ac:dyDescent="0.25">
      <c r="A16" t="s">
        <v>3001</v>
      </c>
      <c r="B16" t="s">
        <v>84</v>
      </c>
      <c r="C16">
        <v>2021</v>
      </c>
      <c r="D16">
        <v>2499.4699999999998</v>
      </c>
      <c r="E16" t="s">
        <v>788</v>
      </c>
      <c r="F16" t="s">
        <v>3114</v>
      </c>
    </row>
    <row r="17" spans="1:6" x14ac:dyDescent="0.25">
      <c r="A17" t="s">
        <v>3001</v>
      </c>
      <c r="B17" t="s">
        <v>84</v>
      </c>
      <c r="C17">
        <v>2025</v>
      </c>
      <c r="D17">
        <v>2499.4699999999998</v>
      </c>
      <c r="E17" t="s">
        <v>788</v>
      </c>
      <c r="F17" t="s">
        <v>3114</v>
      </c>
    </row>
    <row r="18" spans="1:6" x14ac:dyDescent="0.25">
      <c r="A18" t="s">
        <v>3001</v>
      </c>
      <c r="B18" t="s">
        <v>84</v>
      </c>
      <c r="C18">
        <v>2030</v>
      </c>
      <c r="D18">
        <v>2499.4699999999998</v>
      </c>
      <c r="E18" t="s">
        <v>788</v>
      </c>
      <c r="F18" t="s">
        <v>3114</v>
      </c>
    </row>
    <row r="19" spans="1:6" x14ac:dyDescent="0.25">
      <c r="A19" t="s">
        <v>3001</v>
      </c>
      <c r="B19" t="s">
        <v>84</v>
      </c>
      <c r="C19">
        <v>2035</v>
      </c>
      <c r="D19">
        <v>2499.4699999999998</v>
      </c>
      <c r="E19" t="s">
        <v>788</v>
      </c>
      <c r="F19" t="s">
        <v>3114</v>
      </c>
    </row>
    <row r="20" spans="1:6" x14ac:dyDescent="0.25">
      <c r="A20" t="s">
        <v>3001</v>
      </c>
      <c r="B20" t="s">
        <v>84</v>
      </c>
      <c r="C20">
        <v>2040</v>
      </c>
      <c r="D20">
        <v>2499.4699999999998</v>
      </c>
      <c r="E20" t="s">
        <v>788</v>
      </c>
      <c r="F20" t="s">
        <v>3114</v>
      </c>
    </row>
    <row r="21" spans="1:6" x14ac:dyDescent="0.25">
      <c r="A21" t="s">
        <v>3001</v>
      </c>
      <c r="B21" t="s">
        <v>84</v>
      </c>
      <c r="C21">
        <v>2045</v>
      </c>
      <c r="D21">
        <v>2499.4699999999998</v>
      </c>
      <c r="E21" t="s">
        <v>788</v>
      </c>
      <c r="F21" t="s">
        <v>3114</v>
      </c>
    </row>
    <row r="22" spans="1:6" x14ac:dyDescent="0.25">
      <c r="A22" t="s">
        <v>3001</v>
      </c>
      <c r="B22" t="s">
        <v>84</v>
      </c>
      <c r="C22">
        <v>2050</v>
      </c>
      <c r="D22">
        <v>2499.4699999999998</v>
      </c>
      <c r="E22" t="s">
        <v>788</v>
      </c>
      <c r="F22" t="s">
        <v>3114</v>
      </c>
    </row>
    <row r="23" spans="1:6" x14ac:dyDescent="0.25">
      <c r="A23" t="s">
        <v>3002</v>
      </c>
      <c r="B23" t="s">
        <v>84</v>
      </c>
      <c r="C23">
        <v>2021</v>
      </c>
      <c r="D23">
        <v>4176.97</v>
      </c>
      <c r="E23" t="s">
        <v>788</v>
      </c>
      <c r="F23" t="s">
        <v>3114</v>
      </c>
    </row>
    <row r="24" spans="1:6" x14ac:dyDescent="0.25">
      <c r="A24" t="s">
        <v>3002</v>
      </c>
      <c r="B24" t="s">
        <v>84</v>
      </c>
      <c r="C24">
        <v>2025</v>
      </c>
      <c r="D24">
        <v>4176.97</v>
      </c>
      <c r="E24" t="s">
        <v>788</v>
      </c>
      <c r="F24" t="s">
        <v>3114</v>
      </c>
    </row>
    <row r="25" spans="1:6" x14ac:dyDescent="0.25">
      <c r="A25" t="s">
        <v>3002</v>
      </c>
      <c r="B25" t="s">
        <v>84</v>
      </c>
      <c r="C25">
        <v>2030</v>
      </c>
      <c r="D25">
        <v>4176.97</v>
      </c>
      <c r="E25" t="s">
        <v>788</v>
      </c>
      <c r="F25" t="s">
        <v>3114</v>
      </c>
    </row>
    <row r="26" spans="1:6" x14ac:dyDescent="0.25">
      <c r="A26" t="s">
        <v>3002</v>
      </c>
      <c r="B26" t="s">
        <v>84</v>
      </c>
      <c r="C26">
        <v>2035</v>
      </c>
      <c r="D26">
        <v>4176.97</v>
      </c>
      <c r="E26" t="s">
        <v>788</v>
      </c>
      <c r="F26" t="s">
        <v>3114</v>
      </c>
    </row>
    <row r="27" spans="1:6" x14ac:dyDescent="0.25">
      <c r="A27" t="s">
        <v>3002</v>
      </c>
      <c r="B27" t="s">
        <v>84</v>
      </c>
      <c r="C27">
        <v>2040</v>
      </c>
      <c r="D27">
        <v>4176.97</v>
      </c>
      <c r="E27" t="s">
        <v>788</v>
      </c>
      <c r="F27" t="s">
        <v>3114</v>
      </c>
    </row>
    <row r="28" spans="1:6" x14ac:dyDescent="0.25">
      <c r="A28" t="s">
        <v>3002</v>
      </c>
      <c r="B28" t="s">
        <v>84</v>
      </c>
      <c r="C28">
        <v>2045</v>
      </c>
      <c r="D28">
        <v>4176.97</v>
      </c>
      <c r="E28" t="s">
        <v>788</v>
      </c>
      <c r="F28" t="s">
        <v>3114</v>
      </c>
    </row>
    <row r="29" spans="1:6" x14ac:dyDescent="0.25">
      <c r="A29" t="s">
        <v>3002</v>
      </c>
      <c r="B29" t="s">
        <v>84</v>
      </c>
      <c r="C29">
        <v>2050</v>
      </c>
      <c r="D29">
        <v>4176.97</v>
      </c>
      <c r="E29" t="s">
        <v>788</v>
      </c>
      <c r="F29" t="s">
        <v>3114</v>
      </c>
    </row>
    <row r="30" spans="1:6" x14ac:dyDescent="0.25">
      <c r="A30" t="s">
        <v>3003</v>
      </c>
      <c r="B30" t="s">
        <v>84</v>
      </c>
      <c r="C30">
        <v>2021</v>
      </c>
      <c r="D30">
        <v>8426.2199999999993</v>
      </c>
      <c r="E30" t="s">
        <v>788</v>
      </c>
      <c r="F30" t="s">
        <v>3114</v>
      </c>
    </row>
    <row r="31" spans="1:6" x14ac:dyDescent="0.25">
      <c r="A31" t="s">
        <v>3003</v>
      </c>
      <c r="B31" t="s">
        <v>84</v>
      </c>
      <c r="C31">
        <v>2025</v>
      </c>
      <c r="D31">
        <v>8426.2199999999993</v>
      </c>
      <c r="E31" t="s">
        <v>788</v>
      </c>
      <c r="F31" t="s">
        <v>3114</v>
      </c>
    </row>
    <row r="32" spans="1:6" x14ac:dyDescent="0.25">
      <c r="A32" t="s">
        <v>3003</v>
      </c>
      <c r="B32" t="s">
        <v>84</v>
      </c>
      <c r="C32">
        <v>2030</v>
      </c>
      <c r="D32">
        <v>8426.2199999999993</v>
      </c>
      <c r="E32" t="s">
        <v>788</v>
      </c>
      <c r="F32" t="s">
        <v>3114</v>
      </c>
    </row>
    <row r="33" spans="1:6" x14ac:dyDescent="0.25">
      <c r="A33" t="s">
        <v>3003</v>
      </c>
      <c r="B33" t="s">
        <v>84</v>
      </c>
      <c r="C33">
        <v>2035</v>
      </c>
      <c r="D33">
        <v>8426.2199999999993</v>
      </c>
      <c r="E33" t="s">
        <v>788</v>
      </c>
      <c r="F33" t="s">
        <v>3114</v>
      </c>
    </row>
    <row r="34" spans="1:6" x14ac:dyDescent="0.25">
      <c r="A34" t="s">
        <v>3003</v>
      </c>
      <c r="B34" t="s">
        <v>84</v>
      </c>
      <c r="C34">
        <v>2040</v>
      </c>
      <c r="D34">
        <v>8426.2199999999993</v>
      </c>
      <c r="E34" t="s">
        <v>788</v>
      </c>
      <c r="F34" t="s">
        <v>3114</v>
      </c>
    </row>
    <row r="35" spans="1:6" x14ac:dyDescent="0.25">
      <c r="A35" t="s">
        <v>3003</v>
      </c>
      <c r="B35" t="s">
        <v>84</v>
      </c>
      <c r="C35">
        <v>2045</v>
      </c>
      <c r="D35">
        <v>8426.2199999999993</v>
      </c>
      <c r="E35" t="s">
        <v>788</v>
      </c>
      <c r="F35" t="s">
        <v>3114</v>
      </c>
    </row>
    <row r="36" spans="1:6" x14ac:dyDescent="0.25">
      <c r="A36" t="s">
        <v>3003</v>
      </c>
      <c r="B36" t="s">
        <v>84</v>
      </c>
      <c r="C36">
        <v>2050</v>
      </c>
      <c r="D36">
        <v>8426.2199999999993</v>
      </c>
      <c r="E36" t="s">
        <v>788</v>
      </c>
      <c r="F36" t="s">
        <v>3114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70A22-22CC-4198-A3C8-809EFB1413CF}">
  <sheetPr>
    <tabColor theme="9" tint="0.59999389629810485"/>
  </sheetPr>
  <dimension ref="A1:BI155"/>
  <sheetViews>
    <sheetView zoomScale="70" zoomScaleNormal="70" workbookViewId="0">
      <selection activeCell="J21" sqref="J21"/>
    </sheetView>
  </sheetViews>
  <sheetFormatPr defaultRowHeight="15" x14ac:dyDescent="0.25"/>
  <cols>
    <col min="1" max="1" width="35.85546875" bestFit="1" customWidth="1"/>
    <col min="2" max="2" width="4.7109375" bestFit="1" customWidth="1"/>
    <col min="3" max="3" width="21.42578125" customWidth="1"/>
    <col min="4" max="4" width="7.5703125" customWidth="1"/>
    <col min="5" max="5" width="6.85546875" customWidth="1"/>
    <col min="6" max="6" width="4.7109375" bestFit="1" customWidth="1"/>
    <col min="7" max="7" width="9.85546875" bestFit="1" customWidth="1"/>
    <col min="8" max="8" width="6.7109375" customWidth="1"/>
    <col min="9" max="9" width="4.7109375" bestFit="1" customWidth="1"/>
    <col min="10" max="10" width="13.5703125" bestFit="1" customWidth="1"/>
    <col min="11" max="11" width="10.7109375" style="68" customWidth="1"/>
    <col min="12" max="17" width="10.7109375" customWidth="1"/>
    <col min="18" max="18" width="58.140625" style="68" customWidth="1"/>
    <col min="19" max="19" width="4.42578125" style="615" customWidth="1"/>
    <col min="20" max="23" width="4.42578125" style="315" customWidth="1"/>
    <col min="25" max="25" width="1.7109375" style="48" customWidth="1"/>
    <col min="27" max="27" width="10.7109375" customWidth="1"/>
    <col min="28" max="28" width="37.42578125" customWidth="1"/>
    <col min="29" max="29" width="13.7109375" bestFit="1" customWidth="1"/>
    <col min="30" max="31" width="12.5703125" bestFit="1" customWidth="1"/>
    <col min="32" max="32" width="12.85546875" customWidth="1"/>
    <col min="33" max="33" width="14" customWidth="1"/>
    <col min="34" max="34" width="12.85546875" customWidth="1"/>
    <col min="35" max="35" width="12" customWidth="1"/>
    <col min="37" max="37" width="7" customWidth="1"/>
    <col min="38" max="38" width="38.140625" customWidth="1"/>
    <col min="39" max="39" width="16.85546875" bestFit="1" customWidth="1"/>
    <col min="40" max="40" width="13.42578125" customWidth="1"/>
    <col min="41" max="41" width="12.28515625" bestFit="1" customWidth="1"/>
    <col min="42" max="44" width="12.5703125" bestFit="1" customWidth="1"/>
    <col min="45" max="45" width="14.140625" bestFit="1" customWidth="1"/>
    <col min="46" max="47" width="8.7109375" customWidth="1"/>
    <col min="48" max="48" width="21.140625" customWidth="1"/>
    <col min="49" max="51" width="9.85546875" bestFit="1" customWidth="1"/>
    <col min="52" max="52" width="8.85546875" customWidth="1"/>
    <col min="54" max="54" width="27.7109375" customWidth="1"/>
    <col min="55" max="55" width="10.42578125" customWidth="1"/>
    <col min="56" max="57" width="11.140625" bestFit="1" customWidth="1"/>
    <col min="58" max="58" width="21.85546875" customWidth="1"/>
    <col min="59" max="59" width="11.42578125" bestFit="1" customWidth="1"/>
    <col min="60" max="60" width="14" bestFit="1" customWidth="1"/>
    <col min="61" max="61" width="10.140625" bestFit="1" customWidth="1"/>
  </cols>
  <sheetData>
    <row r="1" spans="1:61" ht="21" x14ac:dyDescent="0.35">
      <c r="A1" s="1"/>
      <c r="B1" s="1"/>
      <c r="C1" s="1"/>
      <c r="D1" s="1"/>
      <c r="E1" s="1"/>
      <c r="F1" s="1"/>
      <c r="G1" s="1"/>
      <c r="K1" s="862" t="s">
        <v>3045</v>
      </c>
      <c r="L1" s="863"/>
      <c r="M1" s="863"/>
      <c r="N1" s="863"/>
      <c r="O1" s="863"/>
      <c r="P1" s="863"/>
      <c r="Q1" s="864"/>
      <c r="S1" s="847" t="s">
        <v>134</v>
      </c>
      <c r="T1" s="848"/>
      <c r="U1" s="848"/>
      <c r="V1" s="848"/>
      <c r="W1" s="848"/>
      <c r="X1" s="850" t="s">
        <v>1657</v>
      </c>
      <c r="Z1" s="850" t="s">
        <v>1658</v>
      </c>
      <c r="AK1" s="808"/>
      <c r="AL1" s="808"/>
      <c r="AM1" s="808"/>
      <c r="AN1" s="808"/>
      <c r="AO1" s="808"/>
      <c r="AP1" s="808"/>
      <c r="AQ1" s="808"/>
      <c r="AR1" s="808"/>
      <c r="AS1" s="808"/>
      <c r="AT1" s="808"/>
      <c r="BB1" s="875"/>
      <c r="BC1" s="875"/>
      <c r="BD1" s="875"/>
      <c r="BE1" s="875"/>
      <c r="BF1" s="875"/>
      <c r="BG1" s="875"/>
      <c r="BH1" s="875"/>
    </row>
    <row r="2" spans="1:61" s="101" customFormat="1" ht="111.75" thickBot="1" x14ac:dyDescent="0.3">
      <c r="A2" s="620" t="s">
        <v>2974</v>
      </c>
      <c r="B2" s="620" t="s">
        <v>3037</v>
      </c>
      <c r="C2" s="620" t="s">
        <v>3040</v>
      </c>
      <c r="D2" s="620" t="s">
        <v>3106</v>
      </c>
      <c r="E2" s="620" t="s">
        <v>3095</v>
      </c>
      <c r="F2" s="620" t="s">
        <v>3096</v>
      </c>
      <c r="G2" s="620" t="s">
        <v>3097</v>
      </c>
      <c r="H2" s="620" t="s">
        <v>3098</v>
      </c>
      <c r="I2" s="620" t="s">
        <v>3099</v>
      </c>
      <c r="J2" s="620" t="s">
        <v>3044</v>
      </c>
      <c r="K2" s="624">
        <v>2021</v>
      </c>
      <c r="L2" s="620">
        <v>2025</v>
      </c>
      <c r="M2" s="620">
        <v>2030</v>
      </c>
      <c r="N2" s="620">
        <v>2035</v>
      </c>
      <c r="O2" s="620">
        <v>2040</v>
      </c>
      <c r="P2" s="620">
        <v>2045</v>
      </c>
      <c r="Q2" s="791">
        <v>2050</v>
      </c>
      <c r="R2" s="624" t="s">
        <v>3039</v>
      </c>
      <c r="S2" s="624" t="s">
        <v>135</v>
      </c>
      <c r="T2" s="620" t="s">
        <v>139</v>
      </c>
      <c r="U2" s="620" t="s">
        <v>136</v>
      </c>
      <c r="V2" s="620" t="s">
        <v>137</v>
      </c>
      <c r="W2" s="620" t="s">
        <v>138</v>
      </c>
      <c r="X2" s="850"/>
      <c r="Y2" s="627"/>
      <c r="Z2" s="850"/>
      <c r="AA2" s="628"/>
      <c r="AB2" s="628"/>
      <c r="AC2" s="628"/>
      <c r="AD2" s="628"/>
      <c r="AE2" s="628"/>
      <c r="AF2" s="628"/>
      <c r="AG2" s="628"/>
      <c r="AH2" s="628"/>
      <c r="AI2" s="628"/>
      <c r="AK2" s="628"/>
      <c r="AL2" s="628"/>
      <c r="AM2" s="628"/>
      <c r="AN2" s="628"/>
      <c r="AO2" s="628"/>
      <c r="AP2" s="628"/>
      <c r="AQ2" s="628"/>
      <c r="AR2" s="628"/>
      <c r="AS2" s="628"/>
      <c r="BB2" s="789"/>
      <c r="BF2" s="789"/>
    </row>
    <row r="3" spans="1:61" ht="16.5" thickTop="1" x14ac:dyDescent="0.25">
      <c r="A3" t="s">
        <v>3068</v>
      </c>
      <c r="B3" t="s">
        <v>84</v>
      </c>
      <c r="C3" t="s">
        <v>2679</v>
      </c>
      <c r="D3">
        <v>2023</v>
      </c>
      <c r="E3">
        <v>2023</v>
      </c>
      <c r="F3" t="s">
        <v>3100</v>
      </c>
      <c r="G3">
        <f t="shared" ref="G3" si="0">USD2023_to_CAD2020</f>
        <v>1.1463657166123775</v>
      </c>
      <c r="H3">
        <v>2020</v>
      </c>
      <c r="I3" t="s">
        <v>3101</v>
      </c>
      <c r="J3" t="s">
        <v>3102</v>
      </c>
      <c r="K3" s="246">
        <f t="shared" ref="K3:Q8" si="1">AM6*1000/1000000</f>
        <v>134.25509241343642</v>
      </c>
      <c r="L3" s="69">
        <f t="shared" si="1"/>
        <v>134.87260141278497</v>
      </c>
      <c r="M3" s="69">
        <f t="shared" si="1"/>
        <v>134.73159842964165</v>
      </c>
      <c r="N3" s="69">
        <f t="shared" si="1"/>
        <v>134.02772987964164</v>
      </c>
      <c r="O3" s="69">
        <f t="shared" si="1"/>
        <v>134.00926065420734</v>
      </c>
      <c r="P3" s="69">
        <f t="shared" si="1"/>
        <v>133.99079142877304</v>
      </c>
      <c r="Q3" s="106">
        <f t="shared" si="1"/>
        <v>133.97232220333873</v>
      </c>
      <c r="R3" t="s">
        <v>3103</v>
      </c>
      <c r="S3" s="615">
        <v>3</v>
      </c>
      <c r="T3" s="315">
        <v>1</v>
      </c>
      <c r="U3" s="315">
        <v>1</v>
      </c>
      <c r="V3" s="315">
        <v>3</v>
      </c>
      <c r="W3" s="315">
        <v>1</v>
      </c>
      <c r="X3" s="850"/>
      <c r="Z3" s="850"/>
      <c r="AL3" s="230" t="s">
        <v>3104</v>
      </c>
      <c r="AM3" s="230"/>
      <c r="AN3" s="230"/>
      <c r="AO3" s="230"/>
      <c r="AP3" s="230"/>
      <c r="AQ3" s="230"/>
      <c r="AR3" s="230"/>
      <c r="AS3" s="230"/>
      <c r="AT3" s="154"/>
      <c r="BB3" s="26"/>
      <c r="BC3" s="299"/>
      <c r="BD3" s="299"/>
      <c r="BF3" s="834"/>
      <c r="BG3" s="26"/>
      <c r="BH3" s="26"/>
      <c r="BI3" s="26"/>
    </row>
    <row r="4" spans="1:61" ht="15.75" thickBot="1" x14ac:dyDescent="0.3">
      <c r="A4" t="s">
        <v>3069</v>
      </c>
      <c r="B4" t="s">
        <v>84</v>
      </c>
      <c r="C4" t="s">
        <v>2679</v>
      </c>
      <c r="D4">
        <v>2023</v>
      </c>
      <c r="E4">
        <v>2023</v>
      </c>
      <c r="F4" t="s">
        <v>3100</v>
      </c>
      <c r="G4">
        <f t="shared" ref="G4" si="2">USD2023_to_CAD2020</f>
        <v>1.1463657166123775</v>
      </c>
      <c r="H4">
        <v>2020</v>
      </c>
      <c r="I4" t="s">
        <v>3101</v>
      </c>
      <c r="J4" t="s">
        <v>3102</v>
      </c>
      <c r="K4" s="246">
        <f t="shared" si="1"/>
        <v>149.98246580154716</v>
      </c>
      <c r="L4" s="69">
        <f t="shared" si="1"/>
        <v>147.62592001009767</v>
      </c>
      <c r="M4" s="69">
        <f t="shared" si="1"/>
        <v>145.93579482190552</v>
      </c>
      <c r="N4" s="69">
        <f t="shared" si="1"/>
        <v>144.63199488021169</v>
      </c>
      <c r="O4" s="69">
        <f t="shared" si="1"/>
        <v>144.29318012396845</v>
      </c>
      <c r="P4" s="69">
        <f t="shared" si="1"/>
        <v>143.95436536772522</v>
      </c>
      <c r="Q4" s="106">
        <f t="shared" si="1"/>
        <v>143.61555061148204</v>
      </c>
      <c r="R4" t="s">
        <v>3103</v>
      </c>
      <c r="S4" s="615">
        <v>3</v>
      </c>
      <c r="T4" s="315">
        <v>1</v>
      </c>
      <c r="U4" s="315">
        <v>1</v>
      </c>
      <c r="V4" s="315">
        <v>3</v>
      </c>
      <c r="W4" s="315">
        <v>1</v>
      </c>
      <c r="X4" s="850"/>
      <c r="Z4" s="850"/>
      <c r="AL4" s="83" t="s">
        <v>229</v>
      </c>
      <c r="AM4" s="83">
        <v>2023</v>
      </c>
      <c r="AN4" s="83">
        <v>2025</v>
      </c>
      <c r="AO4" s="83">
        <v>2030</v>
      </c>
      <c r="AP4" s="83">
        <v>2035</v>
      </c>
      <c r="AQ4" s="79" t="s">
        <v>822</v>
      </c>
      <c r="AR4" s="79" t="s">
        <v>823</v>
      </c>
      <c r="AS4" s="83">
        <v>2050</v>
      </c>
      <c r="AT4" s="26" t="s">
        <v>1729</v>
      </c>
      <c r="BB4" s="26"/>
      <c r="BG4" s="330"/>
      <c r="BH4" s="330"/>
      <c r="BI4" s="109"/>
    </row>
    <row r="5" spans="1:61" ht="15.75" thickTop="1" x14ac:dyDescent="0.25">
      <c r="A5" t="s">
        <v>3070</v>
      </c>
      <c r="B5" t="s">
        <v>84</v>
      </c>
      <c r="C5" t="s">
        <v>2679</v>
      </c>
      <c r="D5">
        <v>2023</v>
      </c>
      <c r="E5">
        <v>2023</v>
      </c>
      <c r="F5" t="s">
        <v>3100</v>
      </c>
      <c r="G5">
        <f t="shared" ref="G5" si="3">USD2023_to_CAD2020</f>
        <v>1.1463657166123775</v>
      </c>
      <c r="H5">
        <v>2020</v>
      </c>
      <c r="I5" t="s">
        <v>3101</v>
      </c>
      <c r="J5" t="s">
        <v>3102</v>
      </c>
      <c r="K5" s="246">
        <f t="shared" si="1"/>
        <v>328.84341249218227</v>
      </c>
      <c r="L5" s="69">
        <f t="shared" si="1"/>
        <v>274.99479356384353</v>
      </c>
      <c r="M5" s="69">
        <f t="shared" si="1"/>
        <v>221.43391243037453</v>
      </c>
      <c r="N5" s="69">
        <f t="shared" si="1"/>
        <v>190.09227373819215</v>
      </c>
      <c r="O5" s="69">
        <f t="shared" si="1"/>
        <v>177.34825344058083</v>
      </c>
      <c r="P5" s="69">
        <f t="shared" si="1"/>
        <v>164.60423314296958</v>
      </c>
      <c r="Q5" s="106">
        <f t="shared" si="1"/>
        <v>151.86021284535829</v>
      </c>
      <c r="R5" t="s">
        <v>3103</v>
      </c>
      <c r="S5" s="615">
        <v>3</v>
      </c>
      <c r="T5" s="315">
        <v>1</v>
      </c>
      <c r="U5" s="315">
        <v>1</v>
      </c>
      <c r="V5" s="315">
        <v>3</v>
      </c>
      <c r="W5" s="315">
        <v>1</v>
      </c>
      <c r="X5" s="850"/>
      <c r="Z5" s="850"/>
      <c r="AK5">
        <v>8</v>
      </c>
      <c r="AL5" s="26" t="s">
        <v>1176</v>
      </c>
      <c r="AM5" s="188"/>
      <c r="AN5" s="188"/>
      <c r="AO5" s="188"/>
      <c r="AP5" s="188"/>
      <c r="AQ5" s="188"/>
      <c r="AR5" s="188"/>
      <c r="AS5" s="188"/>
      <c r="AT5" s="81"/>
      <c r="BB5" s="15"/>
      <c r="BC5" s="330"/>
      <c r="BD5" s="330"/>
      <c r="BF5" s="101"/>
      <c r="BG5" s="330"/>
      <c r="BH5" s="330"/>
    </row>
    <row r="6" spans="1:61" ht="14.45" customHeight="1" x14ac:dyDescent="0.25">
      <c r="A6" t="s">
        <v>3071</v>
      </c>
      <c r="B6" t="s">
        <v>84</v>
      </c>
      <c r="C6" t="s">
        <v>2679</v>
      </c>
      <c r="D6">
        <v>2023</v>
      </c>
      <c r="E6">
        <v>2023</v>
      </c>
      <c r="F6" t="s">
        <v>3100</v>
      </c>
      <c r="G6">
        <f t="shared" ref="G6" si="4">USD2023_to_CAD2020</f>
        <v>1.1463657166123775</v>
      </c>
      <c r="H6">
        <v>2020</v>
      </c>
      <c r="I6" t="s">
        <v>3101</v>
      </c>
      <c r="J6" t="s">
        <v>3102</v>
      </c>
      <c r="K6" s="246">
        <f t="shared" si="1"/>
        <v>332.66959913232887</v>
      </c>
      <c r="L6" s="69">
        <f t="shared" si="1"/>
        <v>274.2370458251628</v>
      </c>
      <c r="M6" s="69">
        <f t="shared" si="1"/>
        <v>212.16019590488597</v>
      </c>
      <c r="N6" s="69">
        <f t="shared" si="1"/>
        <v>179.31643600203577</v>
      </c>
      <c r="O6" s="69">
        <f t="shared" si="1"/>
        <v>165.53775695819758</v>
      </c>
      <c r="P6" s="69">
        <f t="shared" si="1"/>
        <v>151.75907791435935</v>
      </c>
      <c r="Q6" s="106">
        <f t="shared" si="1"/>
        <v>137.98039887052113</v>
      </c>
      <c r="R6" t="s">
        <v>3103</v>
      </c>
      <c r="S6" s="615">
        <v>3</v>
      </c>
      <c r="T6" s="315">
        <v>1</v>
      </c>
      <c r="U6" s="315">
        <v>1</v>
      </c>
      <c r="V6" s="315">
        <v>3</v>
      </c>
      <c r="W6" s="315">
        <v>1</v>
      </c>
      <c r="X6" s="850"/>
      <c r="Z6" s="850"/>
      <c r="AK6">
        <v>8</v>
      </c>
      <c r="AL6" s="15" t="s">
        <v>795</v>
      </c>
      <c r="AM6" s="188" cm="1">
        <f t="array" ref="AM6">AVERAGE(_xlfn._xlws.FILTER('Autonomie 2023 MHDV'!$AL:$AL,(NOT(ISERROR(SEARCH("_ci_", 'Autonomie 2023 MHDV'!$G:$G))))*('Autonomie 2023 MHDV'!$A:$A="Conv")*('Autonomie 2023 MHDV'!$B:$B=AM$4)*('Autonomie 2023 MHDV'!$F:$F=$AK6)*('Autonomie 2023 MHDV'!$E:$E="DayCab")))</f>
        <v>134255.09241343642</v>
      </c>
      <c r="AN6" s="188" cm="1">
        <f t="array" ref="AN6">AVERAGE(_xlfn._xlws.FILTER('Autonomie 2023 MHDV'!$AL:$AL,(NOT(ISERROR(SEARCH("_ci_", 'Autonomie 2023 MHDV'!$G:$G))))*('Autonomie 2023 MHDV'!$A:$A="Conv")*('Autonomie 2023 MHDV'!$B:$B=AN$4)*('Autonomie 2023 MHDV'!$F:$F=$AK6)*('Autonomie 2023 MHDV'!$E:$E="DayCab")))</f>
        <v>134872.60141278498</v>
      </c>
      <c r="AO6" s="188" cm="1">
        <f t="array" ref="AO6">AVERAGE(_xlfn._xlws.FILTER('Autonomie 2023 MHDV'!$AL:$AL,(NOT(ISERROR(SEARCH("_ci_", 'Autonomie 2023 MHDV'!$G:$G))))*('Autonomie 2023 MHDV'!$A:$A="Conv")*('Autonomie 2023 MHDV'!$B:$B=AO$4)*('Autonomie 2023 MHDV'!$F:$F=$AK6)*('Autonomie 2023 MHDV'!$E:$E="DayCab")))</f>
        <v>134731.59842964166</v>
      </c>
      <c r="AP6" s="188" cm="1">
        <f t="array" ref="AP6">AVERAGE(_xlfn._xlws.FILTER('Autonomie 2023 MHDV'!$AL:$AL,(NOT(ISERROR(SEARCH("_ci_", 'Autonomie 2023 MHDV'!$G:$G))))*('Autonomie 2023 MHDV'!$A:$A="Conv")*('Autonomie 2023 MHDV'!$B:$B=AP$4)*('Autonomie 2023 MHDV'!$F:$F=$AK6)*('Autonomie 2023 MHDV'!$E:$E="DayCab")))</f>
        <v>134027.72987964164</v>
      </c>
      <c r="AQ6" s="188">
        <f t="shared" ref="AQ6:AR11" si="5">($AS6-$AP6)/3 + AP6</f>
        <v>134009.26065420735</v>
      </c>
      <c r="AR6" s="188">
        <f t="shared" si="5"/>
        <v>133990.79142877305</v>
      </c>
      <c r="AS6" s="188" cm="1">
        <f t="array" ref="AS6">AVERAGE(_xlfn._xlws.FILTER('Autonomie 2023 MHDV'!$AL:$AL,(NOT(ISERROR(SEARCH("_ci_", 'Autonomie 2023 MHDV'!$G:$G))))*('Autonomie 2023 MHDV'!$A:$A="Conv")*('Autonomie 2023 MHDV'!$B:$B=AS$4)*('Autonomie 2023 MHDV'!$F:$F=$AK6)*('Autonomie 2023 MHDV'!$E:$E="DayCab")))</f>
        <v>133972.32220333873</v>
      </c>
      <c r="AT6" s="81">
        <f t="shared" ref="AT6:AT11" si="6">(AS6-AM6)/AM6</f>
        <v>-2.1062158985143227E-3</v>
      </c>
      <c r="BB6" s="15"/>
      <c r="BC6" s="330"/>
      <c r="BD6" s="330"/>
      <c r="BF6" s="789"/>
      <c r="BG6" s="197"/>
      <c r="BH6" s="197"/>
    </row>
    <row r="7" spans="1:61" x14ac:dyDescent="0.25">
      <c r="A7" t="s">
        <v>3072</v>
      </c>
      <c r="B7" t="s">
        <v>84</v>
      </c>
      <c r="C7" t="s">
        <v>2679</v>
      </c>
      <c r="D7">
        <v>2023</v>
      </c>
      <c r="E7">
        <v>2023</v>
      </c>
      <c r="F7" t="s">
        <v>3100</v>
      </c>
      <c r="G7">
        <f t="shared" ref="G7" si="7">USD2023_to_CAD2020</f>
        <v>1.1463657166123775</v>
      </c>
      <c r="H7">
        <v>2020</v>
      </c>
      <c r="I7" t="s">
        <v>3101</v>
      </c>
      <c r="J7" t="s">
        <v>3102</v>
      </c>
      <c r="K7" s="246">
        <f t="shared" si="1"/>
        <v>275.88017001897384</v>
      </c>
      <c r="L7" s="69">
        <f t="shared" si="1"/>
        <v>239.9339623650651</v>
      </c>
      <c r="M7" s="69">
        <f t="shared" si="1"/>
        <v>210.98478892345273</v>
      </c>
      <c r="N7" s="69">
        <f t="shared" si="1"/>
        <v>193.34527752003254</v>
      </c>
      <c r="O7" s="69">
        <f t="shared" si="1"/>
        <v>183.99322600390872</v>
      </c>
      <c r="P7" s="69">
        <f t="shared" si="1"/>
        <v>174.64117448778495</v>
      </c>
      <c r="Q7" s="106">
        <f t="shared" si="1"/>
        <v>165.28912297166119</v>
      </c>
      <c r="R7" t="s">
        <v>3103</v>
      </c>
      <c r="S7" s="615">
        <v>3</v>
      </c>
      <c r="T7" s="315">
        <v>1</v>
      </c>
      <c r="U7" s="315">
        <v>1</v>
      </c>
      <c r="V7" s="315">
        <v>3</v>
      </c>
      <c r="W7" s="315">
        <v>1</v>
      </c>
      <c r="X7" s="850"/>
      <c r="Z7" s="850"/>
      <c r="AK7">
        <v>8</v>
      </c>
      <c r="AL7" s="15" t="s">
        <v>807</v>
      </c>
      <c r="AM7" s="188" cm="1">
        <f t="array" ref="AM7">AVERAGE(_xlfn._xlws.FILTER('Autonomie 2023 MHDV'!$AL:$AL,(NOT(ISERROR(SEARCH("_ci_", 'Autonomie 2023 MHDV'!$G:$G))))*('Autonomie 2023 MHDV'!$A:$A=$AL7)*('Autonomie 2023 MHDV'!$B:$B=AM$4)*('Autonomie 2023 MHDV'!$F:$F=$AK7)*('Autonomie 2023 MHDV'!$E:$E="DayCab")))</f>
        <v>149982.46580154717</v>
      </c>
      <c r="AN7" s="188" cm="1">
        <f t="array" ref="AN7">AVERAGE(_xlfn._xlws.FILTER('Autonomie 2023 MHDV'!$AL:$AL,(NOT(ISERROR(SEARCH("_ci_", 'Autonomie 2023 MHDV'!$G:$G))))*('Autonomie 2023 MHDV'!$A:$A=$AL7)*('Autonomie 2023 MHDV'!$B:$B=AN$4)*('Autonomie 2023 MHDV'!$F:$F=$AK7)*('Autonomie 2023 MHDV'!$E:$E="DayCab")))</f>
        <v>147625.92001009767</v>
      </c>
      <c r="AO7" s="188" cm="1">
        <f t="array" ref="AO7">AVERAGE(_xlfn._xlws.FILTER('Autonomie 2023 MHDV'!$AL:$AL,(NOT(ISERROR(SEARCH("_ci_", 'Autonomie 2023 MHDV'!$G:$G))))*('Autonomie 2023 MHDV'!$A:$A=$AL7)*('Autonomie 2023 MHDV'!$B:$B=AO$4)*('Autonomie 2023 MHDV'!$F:$F=$AK7)*('Autonomie 2023 MHDV'!$E:$E="DayCab")))</f>
        <v>145935.79482190553</v>
      </c>
      <c r="AP7" s="188" cm="1">
        <f t="array" ref="AP7">AVERAGE(_xlfn._xlws.FILTER('Autonomie 2023 MHDV'!$AL:$AL,(NOT(ISERROR(SEARCH("_ci_", 'Autonomie 2023 MHDV'!$G:$G))))*('Autonomie 2023 MHDV'!$A:$A=$AL7)*('Autonomie 2023 MHDV'!$B:$B=AP$4)*('Autonomie 2023 MHDV'!$F:$F=$AK7)*('Autonomie 2023 MHDV'!$E:$E="DayCab")))</f>
        <v>144631.99488021169</v>
      </c>
      <c r="AQ7" s="188">
        <f t="shared" si="5"/>
        <v>144293.18012396846</v>
      </c>
      <c r="AR7" s="188">
        <f t="shared" si="5"/>
        <v>143954.36536772523</v>
      </c>
      <c r="AS7" s="188" cm="1">
        <f t="array" ref="AS7">AVERAGE(_xlfn._xlws.FILTER('Autonomie 2023 MHDV'!$AL:$AL,(NOT(ISERROR(SEARCH("_ci_", 'Autonomie 2023 MHDV'!$G:$G))))*('Autonomie 2023 MHDV'!$A:$A=$AL7)*('Autonomie 2023 MHDV'!$B:$B=AS$4)*('Autonomie 2023 MHDV'!$F:$F=$AK7)*('Autonomie 2023 MHDV'!$E:$E="DayCab")))</f>
        <v>143615.55061148203</v>
      </c>
      <c r="AT7" s="81">
        <f t="shared" si="6"/>
        <v>-4.2451063569588644E-2</v>
      </c>
      <c r="BB7" s="15"/>
      <c r="BC7" s="330"/>
      <c r="BD7" s="330"/>
      <c r="BF7" s="835"/>
      <c r="BG7" s="836"/>
      <c r="BH7" s="836"/>
    </row>
    <row r="8" spans="1:61" x14ac:dyDescent="0.25">
      <c r="A8" t="s">
        <v>3073</v>
      </c>
      <c r="B8" t="s">
        <v>84</v>
      </c>
      <c r="C8" t="s">
        <v>2679</v>
      </c>
      <c r="D8">
        <v>2023</v>
      </c>
      <c r="E8">
        <v>2023</v>
      </c>
      <c r="F8" t="s">
        <v>3100</v>
      </c>
      <c r="G8">
        <f t="shared" ref="G8:G17" si="8">USD2023_to_CAD2020</f>
        <v>1.1463657166123775</v>
      </c>
      <c r="H8">
        <v>2020</v>
      </c>
      <c r="I8" t="s">
        <v>3101</v>
      </c>
      <c r="J8" t="s">
        <v>3102</v>
      </c>
      <c r="K8" s="246">
        <f t="shared" si="1"/>
        <v>230.84519284185663</v>
      </c>
      <c r="L8" s="69">
        <f t="shared" si="1"/>
        <v>200.62469982052116</v>
      </c>
      <c r="M8" s="69">
        <f t="shared" si="1"/>
        <v>174.3698679348534</v>
      </c>
      <c r="N8" s="69">
        <f t="shared" si="1"/>
        <v>157.28328692874589</v>
      </c>
      <c r="O8" s="69">
        <f t="shared" si="1"/>
        <v>149.35196465741038</v>
      </c>
      <c r="P8" s="69">
        <f t="shared" si="1"/>
        <v>141.42064238607489</v>
      </c>
      <c r="Q8" s="106">
        <f t="shared" si="1"/>
        <v>133.4893201147394</v>
      </c>
      <c r="R8" t="s">
        <v>3103</v>
      </c>
      <c r="S8" s="615">
        <v>3</v>
      </c>
      <c r="T8" s="315">
        <v>1</v>
      </c>
      <c r="U8" s="315">
        <v>1</v>
      </c>
      <c r="V8" s="315">
        <v>3</v>
      </c>
      <c r="W8" s="315">
        <v>1</v>
      </c>
      <c r="X8" s="850"/>
      <c r="Z8" s="850"/>
      <c r="AK8">
        <v>8</v>
      </c>
      <c r="AL8" s="15" t="s">
        <v>808</v>
      </c>
      <c r="AM8" s="188" cm="1">
        <f t="array" ref="AM8">AVERAGE(_xlfn._xlws.FILTER('Autonomie 2023 MHDV'!$AL:$AL,(NOT(ISERROR(SEARCH("_ci_", 'Autonomie 2023 MHDV'!$G:$G))))*('Autonomie 2023 MHDV'!$A:$A=$AL8)*('Autonomie 2023 MHDV'!$B:$B=AM$4)*('Autonomie 2023 MHDV'!$F:$F=$AK8)*('Autonomie 2023 MHDV'!$E:$E="DayCab")))</f>
        <v>328843.41249218228</v>
      </c>
      <c r="AN8" s="188" cm="1">
        <f t="array" ref="AN8">AVERAGE(_xlfn._xlws.FILTER('Autonomie 2023 MHDV'!$AL:$AL,(NOT(ISERROR(SEARCH("_ci_", 'Autonomie 2023 MHDV'!$G:$G))))*('Autonomie 2023 MHDV'!$A:$A=$AL8)*('Autonomie 2023 MHDV'!$B:$B=AN$4)*('Autonomie 2023 MHDV'!$F:$F=$AK8)*('Autonomie 2023 MHDV'!$E:$E="DayCab")))</f>
        <v>274994.79356384353</v>
      </c>
      <c r="AO8" s="188" cm="1">
        <f t="array" ref="AO8">AVERAGE(_xlfn._xlws.FILTER('Autonomie 2023 MHDV'!$AL:$AL,(NOT(ISERROR(SEARCH("_ci_", 'Autonomie 2023 MHDV'!$G:$G))))*('Autonomie 2023 MHDV'!$A:$A=$AL8)*('Autonomie 2023 MHDV'!$B:$B=AO$4)*('Autonomie 2023 MHDV'!$F:$F=$AK8)*('Autonomie 2023 MHDV'!$E:$E="DayCab")))</f>
        <v>221433.91243037453</v>
      </c>
      <c r="AP8" s="188" cm="1">
        <f t="array" ref="AP8">AVERAGE(_xlfn._xlws.FILTER('Autonomie 2023 MHDV'!$AL:$AL,(NOT(ISERROR(SEARCH("_ci_", 'Autonomie 2023 MHDV'!$G:$G))))*('Autonomie 2023 MHDV'!$A:$A=$AL8)*('Autonomie 2023 MHDV'!$B:$B=AP$4)*('Autonomie 2023 MHDV'!$F:$F=$AK8)*('Autonomie 2023 MHDV'!$E:$E="DayCab")))</f>
        <v>190092.27373819213</v>
      </c>
      <c r="AQ8" s="188">
        <f t="shared" si="5"/>
        <v>177348.25344058085</v>
      </c>
      <c r="AR8" s="188">
        <f t="shared" si="5"/>
        <v>164604.23314296958</v>
      </c>
      <c r="AS8" s="188" cm="1">
        <f t="array" ref="AS8">AVERAGE(_xlfn._xlws.FILTER('Autonomie 2023 MHDV'!$AL:$AL,(NOT(ISERROR(SEARCH("_ci_", 'Autonomie 2023 MHDV'!$G:$G))))*('Autonomie 2023 MHDV'!$A:$A=$AL8)*('Autonomie 2023 MHDV'!$B:$B=AS$4)*('Autonomie 2023 MHDV'!$F:$F=$AK8)*('Autonomie 2023 MHDV'!$E:$E="DayCab")))</f>
        <v>151860.21284535827</v>
      </c>
      <c r="AT8" s="81">
        <f t="shared" si="6"/>
        <v>-0.53819901182004515</v>
      </c>
      <c r="BB8" s="15"/>
      <c r="BC8" s="330"/>
      <c r="BD8" s="330"/>
      <c r="BF8" s="836"/>
      <c r="BG8" s="836"/>
      <c r="BH8" s="836"/>
    </row>
    <row r="9" spans="1:61" x14ac:dyDescent="0.25">
      <c r="A9" t="s">
        <v>2976</v>
      </c>
      <c r="B9" t="s">
        <v>84</v>
      </c>
      <c r="C9" t="s">
        <v>2679</v>
      </c>
      <c r="D9">
        <v>2023</v>
      </c>
      <c r="E9">
        <v>2023</v>
      </c>
      <c r="F9" t="s">
        <v>3100</v>
      </c>
      <c r="G9">
        <f t="shared" si="8"/>
        <v>1.1463657166123775</v>
      </c>
      <c r="H9">
        <v>2020</v>
      </c>
      <c r="I9" t="s">
        <v>3101</v>
      </c>
      <c r="J9" t="s">
        <v>3102</v>
      </c>
      <c r="K9" s="246">
        <f t="shared" ref="K9:Q9" si="9">AM$13*1000/1000000</f>
        <v>153.82164458648202</v>
      </c>
      <c r="L9" s="69">
        <f t="shared" si="9"/>
        <v>154.33980189039085</v>
      </c>
      <c r="M9" s="69">
        <f t="shared" si="9"/>
        <v>155.67302521881103</v>
      </c>
      <c r="N9" s="69">
        <f t="shared" si="9"/>
        <v>156.55572682060253</v>
      </c>
      <c r="O9" s="69">
        <f t="shared" si="9"/>
        <v>157.65623790855042</v>
      </c>
      <c r="P9" s="69">
        <f t="shared" si="9"/>
        <v>158.75674899649829</v>
      </c>
      <c r="Q9" s="106">
        <f t="shared" si="9"/>
        <v>159.85726008444618</v>
      </c>
      <c r="R9" t="s">
        <v>3103</v>
      </c>
      <c r="S9" s="615">
        <v>3</v>
      </c>
      <c r="T9" s="315">
        <v>1</v>
      </c>
      <c r="U9" s="315">
        <v>1</v>
      </c>
      <c r="V9" s="315">
        <v>3</v>
      </c>
      <c r="W9" s="315">
        <v>1</v>
      </c>
      <c r="X9" s="850"/>
      <c r="Z9" s="850"/>
      <c r="AK9">
        <v>8</v>
      </c>
      <c r="AL9" s="15" t="s">
        <v>230</v>
      </c>
      <c r="AM9" s="188" cm="1">
        <f t="array" ref="AM9">AVERAGE(_xlfn._xlws.FILTER('Autonomie 2023 MHDV'!$AL:$AL,('Autonomie 2023 MHDV'!$A:$A=$AL9)*('Autonomie 2023 MHDV'!$B:$B=AM$4)*('Autonomie 2023 MHDV'!$F:$F=$AK9)*('Autonomie 2023 MHDV'!$E:$E="DayCab")))</f>
        <v>332669.59913232888</v>
      </c>
      <c r="AN9" s="188" cm="1">
        <f t="array" ref="AN9">AVERAGE(_xlfn._xlws.FILTER('Autonomie 2023 MHDV'!$AL:$AL,('Autonomie 2023 MHDV'!$A:$A=$AL9)*('Autonomie 2023 MHDV'!$B:$B=AN$4)*('Autonomie 2023 MHDV'!$F:$F=$AK9)*('Autonomie 2023 MHDV'!$E:$E="DayCab")))</f>
        <v>274237.04582516279</v>
      </c>
      <c r="AO9" s="188" cm="1">
        <f t="array" ref="AO9">AVERAGE(_xlfn._xlws.FILTER('Autonomie 2023 MHDV'!$AL:$AL,('Autonomie 2023 MHDV'!$A:$A=$AL9)*('Autonomie 2023 MHDV'!$B:$B=AO$4)*('Autonomie 2023 MHDV'!$F:$F=$AK9)*('Autonomie 2023 MHDV'!$E:$E="DayCab")))</f>
        <v>212160.19590488597</v>
      </c>
      <c r="AP9" s="188" cm="1">
        <f t="array" ref="AP9">AVERAGE(_xlfn._xlws.FILTER('Autonomie 2023 MHDV'!$AL:$AL,('Autonomie 2023 MHDV'!$A:$A=$AL9)*('Autonomie 2023 MHDV'!$B:$B=AP$4)*('Autonomie 2023 MHDV'!$F:$F=$AK9)*('Autonomie 2023 MHDV'!$E:$E="DayCab")))</f>
        <v>179316.43600203577</v>
      </c>
      <c r="AQ9" s="188">
        <f t="shared" si="5"/>
        <v>165537.75695819757</v>
      </c>
      <c r="AR9" s="188">
        <f t="shared" si="5"/>
        <v>151759.07791435937</v>
      </c>
      <c r="AS9" s="188" cm="1">
        <f t="array" ref="AS9">AVERAGE(_xlfn._xlws.FILTER('Autonomie 2023 MHDV'!$AL:$AL,('Autonomie 2023 MHDV'!$A:$A=$AL9)*('Autonomie 2023 MHDV'!$B:$B=AS$4)*('Autonomie 2023 MHDV'!$F:$F=$AK9)*('Autonomie 2023 MHDV'!$E:$E="DayCab")))</f>
        <v>137980.39887052114</v>
      </c>
      <c r="AT9" s="81">
        <f t="shared" si="6"/>
        <v>-0.58523291809530364</v>
      </c>
      <c r="BB9" s="15"/>
      <c r="BC9" s="330"/>
      <c r="BD9" s="330"/>
      <c r="BF9" s="836"/>
      <c r="BG9" s="836"/>
      <c r="BH9" s="836"/>
    </row>
    <row r="10" spans="1:61" x14ac:dyDescent="0.25">
      <c r="A10" t="s">
        <v>2981</v>
      </c>
      <c r="B10" t="s">
        <v>84</v>
      </c>
      <c r="C10" t="s">
        <v>2679</v>
      </c>
      <c r="D10">
        <v>2023</v>
      </c>
      <c r="E10">
        <v>2023</v>
      </c>
      <c r="F10" t="s">
        <v>3100</v>
      </c>
      <c r="G10">
        <f t="shared" si="8"/>
        <v>1.1463657166123775</v>
      </c>
      <c r="H10">
        <v>2020</v>
      </c>
      <c r="I10" t="s">
        <v>3101</v>
      </c>
      <c r="J10" t="s">
        <v>3102</v>
      </c>
      <c r="K10" s="246" cm="1">
        <f t="array" ref="K10:Q17">_xlfn.ANCHORARRAY(AM21)*1000/1000000</f>
        <v>936.77603556174142</v>
      </c>
      <c r="L10" s="69">
        <v>729.81788393204522</v>
      </c>
      <c r="M10" s="69">
        <v>521.52387229036492</v>
      </c>
      <c r="N10" s="69">
        <v>415.33745883147691</v>
      </c>
      <c r="O10" s="69">
        <v>367.26966354744366</v>
      </c>
      <c r="P10" s="69">
        <v>319.20186826341035</v>
      </c>
      <c r="Q10" s="106">
        <v>271.13407297937704</v>
      </c>
      <c r="R10" t="s">
        <v>3103</v>
      </c>
      <c r="S10" s="615">
        <v>3</v>
      </c>
      <c r="T10" s="315">
        <v>1</v>
      </c>
      <c r="U10" s="315">
        <v>1</v>
      </c>
      <c r="V10" s="315">
        <v>3</v>
      </c>
      <c r="W10" s="315">
        <v>1</v>
      </c>
      <c r="X10" s="850"/>
      <c r="Z10" s="850"/>
      <c r="AK10">
        <v>8</v>
      </c>
      <c r="AL10" s="15" t="s">
        <v>496</v>
      </c>
      <c r="AM10" s="188" cm="1">
        <f t="array" ref="AM10">AVERAGE(_xlfn._xlws.FILTER('Autonomie 2023 MHDV'!$AL:$AL,('Autonomie 2023 MHDV'!$A:$A=$AL10)*('Autonomie 2023 MHDV'!$B:$B=AM$4)*('Autonomie 2023 MHDV'!$F:$F=$AK10)*('Autonomie 2023 MHDV'!$E:$E="DayCab")))</f>
        <v>275880.17001897382</v>
      </c>
      <c r="AN10" s="188" cm="1">
        <f t="array" ref="AN10">AVERAGE(_xlfn._xlws.FILTER('Autonomie 2023 MHDV'!$AL:$AL,('Autonomie 2023 MHDV'!$A:$A=$AL10)*('Autonomie 2023 MHDV'!$B:$B=AN$4)*('Autonomie 2023 MHDV'!$F:$F=$AK10)*('Autonomie 2023 MHDV'!$E:$E="DayCab")))</f>
        <v>239933.96236506509</v>
      </c>
      <c r="AO10" s="188" cm="1">
        <f t="array" ref="AO10">AVERAGE(_xlfn._xlws.FILTER('Autonomie 2023 MHDV'!$AL:$AL,('Autonomie 2023 MHDV'!$A:$A=$AL10)*('Autonomie 2023 MHDV'!$B:$B=AO$4)*('Autonomie 2023 MHDV'!$F:$F=$AK10)*('Autonomie 2023 MHDV'!$E:$E="DayCab")))</f>
        <v>210984.78892345272</v>
      </c>
      <c r="AP10" s="188" cm="1">
        <f t="array" ref="AP10">AVERAGE(_xlfn._xlws.FILTER('Autonomie 2023 MHDV'!$AL:$AL,('Autonomie 2023 MHDV'!$A:$A=$AL10)*('Autonomie 2023 MHDV'!$B:$B=AP$4)*('Autonomie 2023 MHDV'!$F:$F=$AK10)*('Autonomie 2023 MHDV'!$E:$E="DayCab")))</f>
        <v>193345.27752003251</v>
      </c>
      <c r="AQ10" s="188">
        <f t="shared" si="5"/>
        <v>183993.22600390873</v>
      </c>
      <c r="AR10" s="188">
        <f t="shared" si="5"/>
        <v>174641.17448778494</v>
      </c>
      <c r="AS10" s="188" cm="1">
        <f t="array" ref="AS10">AVERAGE(_xlfn._xlws.FILTER('Autonomie 2023 MHDV'!$AL:$AL,('Autonomie 2023 MHDV'!$A:$A=$AL10)*('Autonomie 2023 MHDV'!$B:$B=AS$4)*('Autonomie 2023 MHDV'!$F:$F=$AK10)*('Autonomie 2023 MHDV'!$E:$E="DayCab")))</f>
        <v>165289.12297166119</v>
      </c>
      <c r="AT10" s="81">
        <f t="shared" si="6"/>
        <v>-0.40086624217937328</v>
      </c>
      <c r="BB10" s="15"/>
      <c r="BC10" s="330"/>
      <c r="BD10" s="330"/>
      <c r="BF10" s="836"/>
      <c r="BG10" s="836"/>
      <c r="BH10" s="836"/>
    </row>
    <row r="11" spans="1:61" x14ac:dyDescent="0.25">
      <c r="A11" t="s">
        <v>2982</v>
      </c>
      <c r="B11" t="s">
        <v>84</v>
      </c>
      <c r="C11" t="s">
        <v>2679</v>
      </c>
      <c r="D11">
        <v>2023</v>
      </c>
      <c r="E11">
        <v>2023</v>
      </c>
      <c r="F11" t="s">
        <v>3100</v>
      </c>
      <c r="G11">
        <f t="shared" si="8"/>
        <v>1.1463657166123775</v>
      </c>
      <c r="H11">
        <v>2020</v>
      </c>
      <c r="I11" t="s">
        <v>3101</v>
      </c>
      <c r="J11" t="s">
        <v>3102</v>
      </c>
      <c r="K11" s="246">
        <v>664.28970045109918</v>
      </c>
      <c r="L11" s="69">
        <v>525.79070414025171</v>
      </c>
      <c r="M11" s="69">
        <v>386.31739890856244</v>
      </c>
      <c r="N11" s="69">
        <v>314.95709496262202</v>
      </c>
      <c r="O11" s="69">
        <v>282.69319700279129</v>
      </c>
      <c r="P11" s="69">
        <v>250.42929904296054</v>
      </c>
      <c r="Q11" s="106">
        <v>218.16540108312975</v>
      </c>
      <c r="R11" t="s">
        <v>3103</v>
      </c>
      <c r="S11" s="615">
        <v>3</v>
      </c>
      <c r="T11" s="315">
        <v>1</v>
      </c>
      <c r="U11" s="315">
        <v>1</v>
      </c>
      <c r="V11" s="315">
        <v>3</v>
      </c>
      <c r="W11" s="315">
        <v>1</v>
      </c>
      <c r="X11" s="850"/>
      <c r="Z11" s="850"/>
      <c r="AK11">
        <v>8</v>
      </c>
      <c r="AL11" s="15" t="s">
        <v>828</v>
      </c>
      <c r="AM11" s="188" cm="1">
        <f t="array" ref="AM11">AVERAGE(_xlfn._xlws.FILTER('Autonomie 2023 MHDV'!$AL:$AL,('Autonomie 2023 MHDV'!$A:$A=$AL11)*('Autonomie 2023 MHDV'!$B:$B=AM$4)*('Autonomie 2023 MHDV'!$F:$F=$AK11)*('Autonomie 2023 MHDV'!$E:$E="DayCab")))</f>
        <v>230845.19284185662</v>
      </c>
      <c r="AN11" s="188" cm="1">
        <f t="array" ref="AN11">AVERAGE(_xlfn._xlws.FILTER('Autonomie 2023 MHDV'!$AL:$AL,('Autonomie 2023 MHDV'!$A:$A=$AL11)*('Autonomie 2023 MHDV'!$B:$B=AN$4)*('Autonomie 2023 MHDV'!$F:$F=$AK11)*('Autonomie 2023 MHDV'!$E:$E="DayCab")))</f>
        <v>200624.69982052114</v>
      </c>
      <c r="AO11" s="188" cm="1">
        <f t="array" ref="AO11">AVERAGE(_xlfn._xlws.FILTER('Autonomie 2023 MHDV'!$AL:$AL,('Autonomie 2023 MHDV'!$A:$A=$AL11)*('Autonomie 2023 MHDV'!$B:$B=AO$4)*('Autonomie 2023 MHDV'!$F:$F=$AK11)*('Autonomie 2023 MHDV'!$E:$E="DayCab")))</f>
        <v>174369.86793485339</v>
      </c>
      <c r="AP11" s="188" cm="1">
        <f t="array" ref="AP11">AVERAGE(_xlfn._xlws.FILTER('Autonomie 2023 MHDV'!$AL:$AL,('Autonomie 2023 MHDV'!$A:$A=$AL11)*('Autonomie 2023 MHDV'!$B:$B=AP$4)*('Autonomie 2023 MHDV'!$F:$F=$AK11)*('Autonomie 2023 MHDV'!$E:$E="DayCab")))</f>
        <v>157283.28692874589</v>
      </c>
      <c r="AQ11" s="188">
        <f t="shared" si="5"/>
        <v>149351.9646574104</v>
      </c>
      <c r="AR11" s="188">
        <f t="shared" si="5"/>
        <v>141420.64238607491</v>
      </c>
      <c r="AS11" s="188" cm="1">
        <f t="array" ref="AS11">AVERAGE(_xlfn._xlws.FILTER('Autonomie 2023 MHDV'!$AL:$AL,('Autonomie 2023 MHDV'!$A:$A=$AL11)*('Autonomie 2023 MHDV'!$B:$B=AS$4)*('Autonomie 2023 MHDV'!$F:$F=$AK11)*('Autonomie 2023 MHDV'!$E:$E="DayCab")))</f>
        <v>133489.32011473938</v>
      </c>
      <c r="AT11" s="81">
        <f t="shared" si="6"/>
        <v>-0.42173662586862742</v>
      </c>
      <c r="BB11" s="73"/>
    </row>
    <row r="12" spans="1:61" x14ac:dyDescent="0.25">
      <c r="A12" t="s">
        <v>2983</v>
      </c>
      <c r="B12" t="s">
        <v>84</v>
      </c>
      <c r="C12" t="s">
        <v>2679</v>
      </c>
      <c r="D12">
        <v>2023</v>
      </c>
      <c r="E12">
        <v>2023</v>
      </c>
      <c r="F12" t="s">
        <v>3100</v>
      </c>
      <c r="G12">
        <f t="shared" si="8"/>
        <v>1.1463657166123775</v>
      </c>
      <c r="H12">
        <v>2020</v>
      </c>
      <c r="I12" t="s">
        <v>3101</v>
      </c>
      <c r="J12" t="s">
        <v>3102</v>
      </c>
      <c r="K12" s="246">
        <v>400.40124185951129</v>
      </c>
      <c r="L12" s="69">
        <v>330.36126722419749</v>
      </c>
      <c r="M12" s="69">
        <v>259.70866840020636</v>
      </c>
      <c r="N12" s="69">
        <v>223.17447396950632</v>
      </c>
      <c r="O12" s="69">
        <v>206.71447333349599</v>
      </c>
      <c r="P12" s="69">
        <v>190.25447269748562</v>
      </c>
      <c r="Q12" s="106">
        <v>173.79447206147529</v>
      </c>
      <c r="R12" t="s">
        <v>3103</v>
      </c>
      <c r="S12" s="615">
        <v>3</v>
      </c>
      <c r="T12" s="315">
        <v>1</v>
      </c>
      <c r="U12" s="315">
        <v>1</v>
      </c>
      <c r="V12" s="315">
        <v>3</v>
      </c>
      <c r="W12" s="315">
        <v>1</v>
      </c>
      <c r="X12" s="850"/>
      <c r="Z12" s="850"/>
      <c r="AK12">
        <v>8</v>
      </c>
      <c r="AL12" s="26" t="s">
        <v>1177</v>
      </c>
    </row>
    <row r="13" spans="1:61" x14ac:dyDescent="0.25">
      <c r="A13" t="s">
        <v>2984</v>
      </c>
      <c r="B13" t="s">
        <v>84</v>
      </c>
      <c r="C13" t="s">
        <v>2679</v>
      </c>
      <c r="D13">
        <v>2023</v>
      </c>
      <c r="E13">
        <v>2023</v>
      </c>
      <c r="F13" t="s">
        <v>3100</v>
      </c>
      <c r="G13">
        <f t="shared" si="8"/>
        <v>1.1463657166123775</v>
      </c>
      <c r="H13">
        <v>2020</v>
      </c>
      <c r="I13" t="s">
        <v>3101</v>
      </c>
      <c r="J13" t="s">
        <v>3102</v>
      </c>
      <c r="K13" s="246">
        <v>400.40124185951129</v>
      </c>
      <c r="L13" s="69">
        <v>330.36126722419749</v>
      </c>
      <c r="M13" s="69">
        <v>259.70866840020636</v>
      </c>
      <c r="N13" s="69">
        <v>223.17447396950632</v>
      </c>
      <c r="O13" s="69">
        <v>206.71447333349599</v>
      </c>
      <c r="P13" s="69">
        <v>190.25447269748562</v>
      </c>
      <c r="Q13" s="106">
        <v>173.79447206147529</v>
      </c>
      <c r="R13" t="s">
        <v>3103</v>
      </c>
      <c r="S13" s="615">
        <v>3</v>
      </c>
      <c r="T13" s="315">
        <v>1</v>
      </c>
      <c r="U13" s="315">
        <v>1</v>
      </c>
      <c r="V13" s="315">
        <v>3</v>
      </c>
      <c r="W13" s="315">
        <v>1</v>
      </c>
      <c r="X13" s="850"/>
      <c r="Z13" s="850"/>
      <c r="AK13">
        <v>8</v>
      </c>
      <c r="AL13" s="15" t="s">
        <v>795</v>
      </c>
      <c r="AM13" s="188" cm="1">
        <f t="array" ref="AM13">AVERAGE(_xlfn._xlws.FILTER('Autonomie 2023 MHDV'!$AL:$AL,(NOT(ISERROR(SEARCH("_ci_", 'Autonomie 2023 MHDV'!$G:$G))))*('Autonomie 2023 MHDV'!$A:$A="Conv")*('Autonomie 2023 MHDV'!$B:$B=AM$4)*('Autonomie 2023 MHDV'!$F:$F=$AK13)*('Autonomie 2023 MHDV'!$E:$E="Sleeper")))</f>
        <v>153821.64458648203</v>
      </c>
      <c r="AN13" s="188" cm="1">
        <f t="array" ref="AN13">AVERAGE(_xlfn._xlws.FILTER('Autonomie 2023 MHDV'!$AL:$AL,(NOT(ISERROR(SEARCH("_ci_", 'Autonomie 2023 MHDV'!$G:$G))))*('Autonomie 2023 MHDV'!$A:$A="Conv")*('Autonomie 2023 MHDV'!$B:$B=AN$4)*('Autonomie 2023 MHDV'!$F:$F=$AK13)*('Autonomie 2023 MHDV'!$E:$E="Sleeper")))</f>
        <v>154339.80189039084</v>
      </c>
      <c r="AO13" s="188" cm="1">
        <f t="array" ref="AO13">AVERAGE(_xlfn._xlws.FILTER('Autonomie 2023 MHDV'!$AL:$AL,(NOT(ISERROR(SEARCH("_ci_", 'Autonomie 2023 MHDV'!$G:$G))))*('Autonomie 2023 MHDV'!$A:$A="Conv")*('Autonomie 2023 MHDV'!$B:$B=AO$4)*('Autonomie 2023 MHDV'!$F:$F=$AK13)*('Autonomie 2023 MHDV'!$E:$E="Sleeper")))</f>
        <v>155673.02521881103</v>
      </c>
      <c r="AP13" s="188" cm="1">
        <f t="array" ref="AP13">AVERAGE(_xlfn._xlws.FILTER('Autonomie 2023 MHDV'!$AL:$AL,(NOT(ISERROR(SEARCH("_ci_", 'Autonomie 2023 MHDV'!$G:$G))))*('Autonomie 2023 MHDV'!$A:$A="Conv")*('Autonomie 2023 MHDV'!$B:$B=AP$4)*('Autonomie 2023 MHDV'!$F:$F=$AK13)*('Autonomie 2023 MHDV'!$E:$E="Sleeper")))</f>
        <v>156555.72682060255</v>
      </c>
      <c r="AQ13" s="188">
        <f t="shared" ref="AQ13:AR18" si="10">($AS13-$AP13)/3 + AP13</f>
        <v>157656.23790855042</v>
      </c>
      <c r="AR13" s="188">
        <f t="shared" si="10"/>
        <v>158756.7489964983</v>
      </c>
      <c r="AS13" s="188" cm="1">
        <f t="array" ref="AS13">AVERAGE(_xlfn._xlws.FILTER('Autonomie 2023 MHDV'!$AL:$AL,(NOT(ISERROR(SEARCH("_ci_", 'Autonomie 2023 MHDV'!$G:$G))))*('Autonomie 2023 MHDV'!$A:$A="Conv")*('Autonomie 2023 MHDV'!$B:$B=AS$4)*('Autonomie 2023 MHDV'!$F:$F=$AK13)*('Autonomie 2023 MHDV'!$E:$E="Sleeper")))</f>
        <v>159857.2600844462</v>
      </c>
      <c r="AT13" s="81">
        <f t="shared" ref="AT13:AT18" si="11">(AS13-AM13)/AM13</f>
        <v>3.9237751710363568E-2</v>
      </c>
      <c r="BB13" s="26"/>
      <c r="BE13" s="26"/>
    </row>
    <row r="14" spans="1:61" x14ac:dyDescent="0.25">
      <c r="A14" t="s">
        <v>2985</v>
      </c>
      <c r="B14" t="s">
        <v>84</v>
      </c>
      <c r="C14" t="s">
        <v>2679</v>
      </c>
      <c r="D14">
        <v>2023</v>
      </c>
      <c r="E14">
        <v>2023</v>
      </c>
      <c r="F14" t="s">
        <v>3100</v>
      </c>
      <c r="G14">
        <f t="shared" si="8"/>
        <v>1.1463657166123775</v>
      </c>
      <c r="H14">
        <v>2020</v>
      </c>
      <c r="I14" t="s">
        <v>3101</v>
      </c>
      <c r="J14" t="s">
        <v>3102</v>
      </c>
      <c r="K14" s="246">
        <v>400.40124185951129</v>
      </c>
      <c r="L14" s="69">
        <v>330.36126722419749</v>
      </c>
      <c r="M14" s="69">
        <v>259.70866840020636</v>
      </c>
      <c r="N14" s="69">
        <v>223.17447396950632</v>
      </c>
      <c r="O14" s="69">
        <v>206.71447333349599</v>
      </c>
      <c r="P14" s="69">
        <v>190.25447269748562</v>
      </c>
      <c r="Q14" s="106">
        <v>173.79447206147529</v>
      </c>
      <c r="R14" t="s">
        <v>3103</v>
      </c>
      <c r="S14" s="615">
        <v>3</v>
      </c>
      <c r="T14" s="315">
        <v>1</v>
      </c>
      <c r="U14" s="315">
        <v>1</v>
      </c>
      <c r="V14" s="315">
        <v>3</v>
      </c>
      <c r="W14" s="315">
        <v>1</v>
      </c>
      <c r="X14" s="850"/>
      <c r="Z14" s="850"/>
      <c r="AK14">
        <v>8</v>
      </c>
      <c r="AL14" s="15" t="s">
        <v>807</v>
      </c>
      <c r="AM14" s="188" cm="1">
        <f t="array" ref="AM14">AVERAGE(_xlfn._xlws.FILTER('Autonomie 2023 MHDV'!$AL:$AL,(NOT(ISERROR(SEARCH("_ci_", 'Autonomie 2023 MHDV'!$G:$G))))*('Autonomie 2023 MHDV'!$A:$A=$AL14)*('Autonomie 2023 MHDV'!$B:$B=AM$4)*('Autonomie 2023 MHDV'!$F:$F=$AK14)*('Autonomie 2023 MHDV'!$E:$E="Sleeper")))</f>
        <v>171079.03408436477</v>
      </c>
      <c r="AN14" s="188" cm="1">
        <f t="array" ref="AN14">AVERAGE(_xlfn._xlws.FILTER('Autonomie 2023 MHDV'!$AL:$AL,(NOT(ISERROR(SEARCH("_ci_", 'Autonomie 2023 MHDV'!$G:$G))))*('Autonomie 2023 MHDV'!$A:$A=$AL14)*('Autonomie 2023 MHDV'!$B:$B=AN$4)*('Autonomie 2023 MHDV'!$F:$F=$AK14)*('Autonomie 2023 MHDV'!$E:$E="Sleeper")))</f>
        <v>168978.8920915309</v>
      </c>
      <c r="AO14" s="188" cm="1">
        <f t="array" ref="AO14">AVERAGE(_xlfn._xlws.FILTER('Autonomie 2023 MHDV'!$AL:$AL,(NOT(ISERROR(SEARCH("_ci_", 'Autonomie 2023 MHDV'!$G:$G))))*('Autonomie 2023 MHDV'!$A:$A=$AL14)*('Autonomie 2023 MHDV'!$B:$B=AO$4)*('Autonomie 2023 MHDV'!$F:$F=$AK14)*('Autonomie 2023 MHDV'!$E:$E="Sleeper")))</f>
        <v>168617.78689079799</v>
      </c>
      <c r="AP14" s="188" cm="1">
        <f t="array" ref="AP14">AVERAGE(_xlfn._xlws.FILTER('Autonomie 2023 MHDV'!$AL:$AL,(NOT(ISERROR(SEARCH("_ci_", 'Autonomie 2023 MHDV'!$G:$G))))*('Autonomie 2023 MHDV'!$A:$A=$AL14)*('Autonomie 2023 MHDV'!$B:$B=AP$4)*('Autonomie 2023 MHDV'!$F:$F=$AK14)*('Autonomie 2023 MHDV'!$E:$E="Sleeper")))</f>
        <v>167979.2611866449</v>
      </c>
      <c r="AQ14" s="188">
        <f t="shared" si="10"/>
        <v>168890.62193135175</v>
      </c>
      <c r="AR14" s="188">
        <f t="shared" si="10"/>
        <v>169801.9826760586</v>
      </c>
      <c r="AS14" s="188" cm="1">
        <f t="array" ref="AS14">AVERAGE(_xlfn._xlws.FILTER('Autonomie 2023 MHDV'!$AL:$AL,(NOT(ISERROR(SEARCH("_ci_", 'Autonomie 2023 MHDV'!$G:$G))))*('Autonomie 2023 MHDV'!$A:$A=$AL14)*('Autonomie 2023 MHDV'!$B:$B=AS$4)*('Autonomie 2023 MHDV'!$F:$F=$AK14)*('Autonomie 2023 MHDV'!$E:$E="Sleeper")))</f>
        <v>170713.34342076542</v>
      </c>
      <c r="AT14" s="81">
        <f t="shared" si="11"/>
        <v>-2.1375539414082542E-3</v>
      </c>
      <c r="BB14" s="26"/>
      <c r="BC14" s="299"/>
      <c r="BD14" s="299"/>
      <c r="BE14" s="26"/>
    </row>
    <row r="15" spans="1:61" x14ac:dyDescent="0.25">
      <c r="A15" t="s">
        <v>2986</v>
      </c>
      <c r="B15" t="s">
        <v>84</v>
      </c>
      <c r="C15" t="s">
        <v>2679</v>
      </c>
      <c r="D15">
        <v>2023</v>
      </c>
      <c r="E15">
        <v>2023</v>
      </c>
      <c r="F15" t="s">
        <v>3100</v>
      </c>
      <c r="G15">
        <f t="shared" si="8"/>
        <v>1.1463657166123775</v>
      </c>
      <c r="H15">
        <v>2020</v>
      </c>
      <c r="I15" t="s">
        <v>3101</v>
      </c>
      <c r="J15" t="s">
        <v>3102</v>
      </c>
      <c r="K15" s="246">
        <v>400.40124185951129</v>
      </c>
      <c r="L15" s="69">
        <v>330.36126722419749</v>
      </c>
      <c r="M15" s="69">
        <v>259.70866840020636</v>
      </c>
      <c r="N15" s="69">
        <v>223.17447396950632</v>
      </c>
      <c r="O15" s="69">
        <v>206.71447333349599</v>
      </c>
      <c r="P15" s="69">
        <v>190.25447269748562</v>
      </c>
      <c r="Q15" s="106">
        <v>173.79447206147529</v>
      </c>
      <c r="R15" t="s">
        <v>3103</v>
      </c>
      <c r="S15" s="615">
        <v>3</v>
      </c>
      <c r="T15" s="315">
        <v>1</v>
      </c>
      <c r="U15" s="315">
        <v>1</v>
      </c>
      <c r="V15" s="315">
        <v>3</v>
      </c>
      <c r="W15" s="315">
        <v>1</v>
      </c>
      <c r="X15" s="850"/>
      <c r="Z15" s="850"/>
      <c r="AK15">
        <v>8</v>
      </c>
      <c r="AL15" s="15" t="s">
        <v>808</v>
      </c>
      <c r="AM15" s="188" cm="1">
        <f t="array" ref="AM15">AVERAGE(_xlfn._xlws.FILTER('Autonomie 2023 MHDV'!$AL:$AL,(NOT(ISERROR(SEARCH("_ci_", 'Autonomie 2023 MHDV'!$G:$G))))*('Autonomie 2023 MHDV'!$A:$A=$AL15)*('Autonomie 2023 MHDV'!$B:$B=AM$4)*('Autonomie 2023 MHDV'!$F:$F=$AK15)*('Autonomie 2023 MHDV'!$E:$E="Sleeper")))</f>
        <v>605346.4412171822</v>
      </c>
      <c r="AN15" s="188" cm="1">
        <f t="array" ref="AN15">AVERAGE(_xlfn._xlws.FILTER('Autonomie 2023 MHDV'!$AL:$AL,(NOT(ISERROR(SEARCH("_ci_", 'Autonomie 2023 MHDV'!$G:$G))))*('Autonomie 2023 MHDV'!$A:$A=$AL15)*('Autonomie 2023 MHDV'!$B:$B=AN$4)*('Autonomie 2023 MHDV'!$F:$F=$AK15)*('Autonomie 2023 MHDV'!$E:$E="Sleeper")))</f>
        <v>487284.52879470668</v>
      </c>
      <c r="AO15" s="188" cm="1">
        <f t="array" ref="AO15">AVERAGE(_xlfn._xlws.FILTER('Autonomie 2023 MHDV'!$AL:$AL,(NOT(ISERROR(SEARCH("_ci_", 'Autonomie 2023 MHDV'!$G:$G))))*('Autonomie 2023 MHDV'!$A:$A=$AL15)*('Autonomie 2023 MHDV'!$B:$B=AO$4)*('Autonomie 2023 MHDV'!$F:$F=$AK15)*('Autonomie 2023 MHDV'!$E:$E="Sleeper")))</f>
        <v>370312.81016872951</v>
      </c>
      <c r="AP15" s="188" cm="1">
        <f t="array" ref="AP15">AVERAGE(_xlfn._xlws.FILTER('Autonomie 2023 MHDV'!$AL:$AL,(NOT(ISERROR(SEARCH("_ci_", 'Autonomie 2023 MHDV'!$G:$G))))*('Autonomie 2023 MHDV'!$A:$A=$AL15)*('Autonomie 2023 MHDV'!$B:$B=AP$4)*('Autonomie 2023 MHDV'!$F:$F=$AK15)*('Autonomie 2023 MHDV'!$E:$E="Sleeper")))</f>
        <v>304800.30219576537</v>
      </c>
      <c r="AQ15" s="188">
        <f t="shared" si="10"/>
        <v>277260.01221986965</v>
      </c>
      <c r="AR15" s="188">
        <f t="shared" si="10"/>
        <v>249719.7222439739</v>
      </c>
      <c r="AS15" s="188" cm="1">
        <f t="array" ref="AS15">AVERAGE(_xlfn._xlws.FILTER('Autonomie 2023 MHDV'!$AL:$AL,(NOT(ISERROR(SEARCH("_ci_", 'Autonomie 2023 MHDV'!$G:$G))))*('Autonomie 2023 MHDV'!$A:$A=$AL15)*('Autonomie 2023 MHDV'!$B:$B=AS$4)*('Autonomie 2023 MHDV'!$F:$F=$AK15)*('Autonomie 2023 MHDV'!$E:$E="Sleeper")))</f>
        <v>222179.43226807812</v>
      </c>
      <c r="AT15" s="81">
        <f t="shared" si="11"/>
        <v>-0.63297144058311894</v>
      </c>
      <c r="BB15" s="26"/>
    </row>
    <row r="16" spans="1:61" x14ac:dyDescent="0.25">
      <c r="A16" t="s">
        <v>2987</v>
      </c>
      <c r="B16" t="s">
        <v>84</v>
      </c>
      <c r="C16" t="s">
        <v>2679</v>
      </c>
      <c r="D16">
        <v>2023</v>
      </c>
      <c r="E16">
        <v>2023</v>
      </c>
      <c r="F16" t="s">
        <v>3100</v>
      </c>
      <c r="G16">
        <f t="shared" si="8"/>
        <v>1.1463657166123775</v>
      </c>
      <c r="H16">
        <v>2020</v>
      </c>
      <c r="I16" t="s">
        <v>3101</v>
      </c>
      <c r="J16" t="s">
        <v>3102</v>
      </c>
      <c r="K16" s="246">
        <v>400.40124185951129</v>
      </c>
      <c r="L16" s="69">
        <v>330.36126722419749</v>
      </c>
      <c r="M16" s="69">
        <v>259.70866840020636</v>
      </c>
      <c r="N16" s="69">
        <v>223.17447396950632</v>
      </c>
      <c r="O16" s="69">
        <v>206.71447333349599</v>
      </c>
      <c r="P16" s="69">
        <v>190.25447269748562</v>
      </c>
      <c r="Q16" s="106">
        <v>173.79447206147529</v>
      </c>
      <c r="R16" t="s">
        <v>3103</v>
      </c>
      <c r="S16" s="615">
        <v>3</v>
      </c>
      <c r="T16" s="315">
        <v>1</v>
      </c>
      <c r="U16" s="315">
        <v>1</v>
      </c>
      <c r="V16" s="315">
        <v>3</v>
      </c>
      <c r="W16" s="315">
        <v>1</v>
      </c>
      <c r="X16" s="850"/>
      <c r="Z16" s="850"/>
      <c r="AK16">
        <v>8</v>
      </c>
      <c r="AL16" s="15" t="s">
        <v>230</v>
      </c>
      <c r="AM16" s="188" cm="1">
        <f t="array" ref="AM16">AVERAGE(_xlfn._xlws.FILTER('Autonomie 2023 MHDV'!$AL:$AL,('Autonomie 2023 MHDV'!$A:$A=$AL16)*('Autonomie 2023 MHDV'!$B:$B=AM$4)*('Autonomie 2023 MHDV'!$F:$F=$AK16)*('Autonomie 2023 MHDV'!$E:$E="Sleeper")))</f>
        <v>664404.91020561871</v>
      </c>
      <c r="AN16" s="188" cm="1">
        <f t="array" ref="AN16">AVERAGE(_xlfn._xlws.FILTER('Autonomie 2023 MHDV'!$AL:$AL,('Autonomie 2023 MHDV'!$A:$A=$AL16)*('Autonomie 2023 MHDV'!$B:$B=AN$4)*('Autonomie 2023 MHDV'!$F:$F=$AK16)*('Autonomie 2023 MHDV'!$E:$E="Sleeper")))</f>
        <v>525876.93064446235</v>
      </c>
      <c r="AO16" s="188" cm="1">
        <f t="array" ref="AO16">AVERAGE(_xlfn._xlws.FILTER('Autonomie 2023 MHDV'!$AL:$AL,('Autonomie 2023 MHDV'!$A:$A=$AL16)*('Autonomie 2023 MHDV'!$B:$B=AO$4)*('Autonomie 2023 MHDV'!$F:$F=$AK16)*('Autonomie 2023 MHDV'!$E:$E="Sleeper")))</f>
        <v>386374.54022418556</v>
      </c>
      <c r="AP16" s="188" cm="1">
        <f t="array" ref="AP16">AVERAGE(_xlfn._xlws.FILTER('Autonomie 2023 MHDV'!$AL:$AL,('Autonomie 2023 MHDV'!$A:$A=$AL16)*('Autonomie 2023 MHDV'!$B:$B=AP$4)*('Autonomie 2023 MHDV'!$F:$F=$AK16)*('Autonomie 2023 MHDV'!$E:$E="Sleeper")))</f>
        <v>314999.51797646569</v>
      </c>
      <c r="AQ16" s="188">
        <f t="shared" si="10"/>
        <v>282728.94093192171</v>
      </c>
      <c r="AR16" s="188">
        <f t="shared" si="10"/>
        <v>250458.36388737775</v>
      </c>
      <c r="AS16" s="188" cm="1">
        <f t="array" ref="AS16">AVERAGE(_xlfn._xlws.FILTER('Autonomie 2023 MHDV'!$AL:$AL,('Autonomie 2023 MHDV'!$A:$A=$AL16)*('Autonomie 2023 MHDV'!$B:$B=AS$4)*('Autonomie 2023 MHDV'!$F:$F=$AK16)*('Autonomie 2023 MHDV'!$E:$E="Sleeper")))</f>
        <v>218187.78684283383</v>
      </c>
      <c r="AT16" s="81">
        <f t="shared" si="11"/>
        <v>-0.67160419272742955</v>
      </c>
      <c r="BB16" s="15"/>
      <c r="BC16" s="197"/>
    </row>
    <row r="17" spans="1:59" x14ac:dyDescent="0.25">
      <c r="A17" t="s">
        <v>2977</v>
      </c>
      <c r="B17" t="s">
        <v>84</v>
      </c>
      <c r="C17" t="s">
        <v>2679</v>
      </c>
      <c r="D17">
        <v>2023</v>
      </c>
      <c r="E17">
        <v>2023</v>
      </c>
      <c r="F17" t="s">
        <v>3100</v>
      </c>
      <c r="G17">
        <f t="shared" si="8"/>
        <v>1.1463657166123775</v>
      </c>
      <c r="H17">
        <v>2020</v>
      </c>
      <c r="I17" t="s">
        <v>3101</v>
      </c>
      <c r="J17" t="s">
        <v>3102</v>
      </c>
      <c r="K17" s="246">
        <v>373.81874043984516</v>
      </c>
      <c r="L17" s="69">
        <v>317.36611005889142</v>
      </c>
      <c r="M17" s="69">
        <v>275.65759966644333</v>
      </c>
      <c r="N17" s="69">
        <v>249.0312417541914</v>
      </c>
      <c r="O17" s="69">
        <v>235.0063096879623</v>
      </c>
      <c r="P17" s="69">
        <v>220.9813776217332</v>
      </c>
      <c r="Q17" s="106">
        <v>206.95644555550399</v>
      </c>
      <c r="R17" t="s">
        <v>3103</v>
      </c>
      <c r="S17" s="615">
        <v>3</v>
      </c>
      <c r="T17" s="315">
        <v>1</v>
      </c>
      <c r="U17" s="315">
        <v>1</v>
      </c>
      <c r="V17" s="315">
        <v>3</v>
      </c>
      <c r="W17" s="315">
        <v>1</v>
      </c>
      <c r="X17" s="850"/>
      <c r="Z17" s="850"/>
      <c r="AK17">
        <v>8</v>
      </c>
      <c r="AL17" s="15" t="s">
        <v>496</v>
      </c>
      <c r="AM17" s="188" cm="1">
        <f t="array" ref="AM17">AVERAGE(_xlfn._xlws.FILTER('Autonomie 2023 MHDV'!$AL:$AL,('Autonomie 2023 MHDV'!$A:$A=$AL17)*('Autonomie 2023 MHDV'!$B:$B=AM$4)*('Autonomie 2023 MHDV'!$F:$F=$AK17)*('Autonomie 2023 MHDV'!$E:$E="Sleeper")))</f>
        <v>373839.03111302922</v>
      </c>
      <c r="AN17" s="188" cm="1">
        <f t="array" ref="AN17">AVERAGE(_xlfn._xlws.FILTER('Autonomie 2023 MHDV'!$AL:$AL,('Autonomie 2023 MHDV'!$A:$A=$AL17)*('Autonomie 2023 MHDV'!$B:$B=AN$4)*('Autonomie 2023 MHDV'!$F:$F=$AK17)*('Autonomie 2023 MHDV'!$E:$E="Sleeper")))</f>
        <v>317380.51956986962</v>
      </c>
      <c r="AO17" s="188" cm="1">
        <f t="array" ref="AO17">AVERAGE(_xlfn._xlws.FILTER('Autonomie 2023 MHDV'!$AL:$AL,('Autonomie 2023 MHDV'!$A:$A=$AL17)*('Autonomie 2023 MHDV'!$B:$B=AO$4)*('Autonomie 2023 MHDV'!$F:$F=$AK17)*('Autonomie 2023 MHDV'!$E:$E="Sleeper")))</f>
        <v>275668.85660521162</v>
      </c>
      <c r="AP17" s="188" cm="1">
        <f t="array" ref="AP17">AVERAGE(_xlfn._xlws.FILTER('Autonomie 2023 MHDV'!$AL:$AL,('Autonomie 2023 MHDV'!$A:$A=$AL17)*('Autonomie 2023 MHDV'!$B:$B=AP$4)*('Autonomie 2023 MHDV'!$F:$F=$AK17)*('Autonomie 2023 MHDV'!$E:$E="Sleeper")))</f>
        <v>249039.92737402272</v>
      </c>
      <c r="AQ17" s="188">
        <f t="shared" si="10"/>
        <v>235013.76070936475</v>
      </c>
      <c r="AR17" s="188">
        <f t="shared" si="10"/>
        <v>220987.59404470678</v>
      </c>
      <c r="AS17" s="188" cm="1">
        <f t="array" ref="AS17">AVERAGE(_xlfn._xlws.FILTER('Autonomie 2023 MHDV'!$AL:$AL,('Autonomie 2023 MHDV'!$A:$A=$AL17)*('Autonomie 2023 MHDV'!$B:$B=AS$4)*('Autonomie 2023 MHDV'!$F:$F=$AK17)*('Autonomie 2023 MHDV'!$E:$E="Sleeper")))</f>
        <v>206961.42738004879</v>
      </c>
      <c r="AT17" s="81">
        <f t="shared" si="11"/>
        <v>-0.4463889263679518</v>
      </c>
      <c r="BB17" s="15"/>
      <c r="BE17" s="197"/>
    </row>
    <row r="18" spans="1:59" x14ac:dyDescent="0.25">
      <c r="A18" t="s">
        <v>2997</v>
      </c>
      <c r="B18" t="s">
        <v>84</v>
      </c>
      <c r="C18" t="s">
        <v>3120</v>
      </c>
      <c r="D18">
        <v>2022</v>
      </c>
      <c r="E18">
        <v>2022</v>
      </c>
      <c r="F18" t="s">
        <v>3100</v>
      </c>
      <c r="G18">
        <f>USD2022_to_CAD2020</f>
        <v>1.1226268817204299</v>
      </c>
      <c r="H18">
        <v>2020</v>
      </c>
      <c r="I18" t="s">
        <v>3101</v>
      </c>
      <c r="J18" t="s">
        <v>3144</v>
      </c>
      <c r="K18" s="246">
        <f>0.46*$G$18</f>
        <v>0.5164083655913978</v>
      </c>
      <c r="L18" s="246">
        <f t="shared" ref="L18:Q18" si="12">0.46*$G$18</f>
        <v>0.5164083655913978</v>
      </c>
      <c r="M18" s="246">
        <f t="shared" si="12"/>
        <v>0.5164083655913978</v>
      </c>
      <c r="N18" s="246">
        <f t="shared" si="12"/>
        <v>0.5164083655913978</v>
      </c>
      <c r="O18" s="246">
        <f t="shared" si="12"/>
        <v>0.5164083655913978</v>
      </c>
      <c r="P18" s="246">
        <f t="shared" si="12"/>
        <v>0.5164083655913978</v>
      </c>
      <c r="Q18" s="246">
        <f t="shared" si="12"/>
        <v>0.5164083655913978</v>
      </c>
      <c r="R18" t="s">
        <v>3121</v>
      </c>
      <c r="X18" s="850"/>
      <c r="Z18" s="850"/>
      <c r="AB18" s="829" t="s">
        <v>2611</v>
      </c>
      <c r="AK18">
        <v>8</v>
      </c>
      <c r="AL18" s="15" t="s">
        <v>828</v>
      </c>
      <c r="AM18" s="188" cm="1">
        <f t="array" ref="AM18">AVERAGE(_xlfn._xlws.FILTER('Autonomie 2023 MHDV'!$AL:$AL,('Autonomie 2023 MHDV'!$A:$A=$AL18)*('Autonomie 2023 MHDV'!$B:$B=AM$4)*('Autonomie 2023 MHDV'!$F:$F=$AK18)*('Autonomie 2023 MHDV'!$E:$E="Sleeper")))</f>
        <v>299263.35578452761</v>
      </c>
      <c r="AN18" s="188" cm="1">
        <f t="array" ref="AN18">AVERAGE(_xlfn._xlws.FILTER('Autonomie 2023 MHDV'!$AL:$AL,('Autonomie 2023 MHDV'!$A:$A=$AL18)*('Autonomie 2023 MHDV'!$B:$B=AN$4)*('Autonomie 2023 MHDV'!$F:$F=$AK18)*('Autonomie 2023 MHDV'!$E:$E="Sleeper")))</f>
        <v>253378.92161140058</v>
      </c>
      <c r="AO18" s="188" cm="1">
        <f t="array" ref="AO18">AVERAGE(_xlfn._xlws.FILTER('Autonomie 2023 MHDV'!$AL:$AL,('Autonomie 2023 MHDV'!$A:$A=$AL18)*('Autonomie 2023 MHDV'!$B:$B=AO$4)*('Autonomie 2023 MHDV'!$F:$F=$AK18)*('Autonomie 2023 MHDV'!$E:$E="Sleeper")))</f>
        <v>217610.01852166117</v>
      </c>
      <c r="AP18" s="188" cm="1">
        <f t="array" ref="AP18">AVERAGE(_xlfn._xlws.FILTER('Autonomie 2023 MHDV'!$AL:$AL,('Autonomie 2023 MHDV'!$A:$A=$AL18)*('Autonomie 2023 MHDV'!$B:$B=AP$4)*('Autonomie 2023 MHDV'!$F:$F=$AK18)*('Autonomie 2023 MHDV'!$E:$E="Sleeper")))</f>
        <v>193401.067318241</v>
      </c>
      <c r="AQ18" s="188">
        <f t="shared" si="10"/>
        <v>182441.04682361559</v>
      </c>
      <c r="AR18" s="188">
        <f t="shared" si="10"/>
        <v>171481.02632899018</v>
      </c>
      <c r="AS18" s="188" cm="1">
        <f t="array" ref="AS18">AVERAGE(_xlfn._xlws.FILTER('Autonomie 2023 MHDV'!$AL:$AL,('Autonomie 2023 MHDV'!$A:$A=$AL18)*('Autonomie 2023 MHDV'!$B:$B=AS$4)*('Autonomie 2023 MHDV'!$F:$F=$AK18)*('Autonomie 2023 MHDV'!$E:$E="Sleeper")))</f>
        <v>160521.00583436477</v>
      </c>
      <c r="AT18" s="81">
        <f t="shared" si="11"/>
        <v>-0.463612892351774</v>
      </c>
      <c r="BB18" s="26"/>
    </row>
    <row r="19" spans="1:59" x14ac:dyDescent="0.25">
      <c r="A19" t="s">
        <v>2998</v>
      </c>
      <c r="B19" t="s">
        <v>84</v>
      </c>
      <c r="C19" t="s">
        <v>3120</v>
      </c>
      <c r="D19">
        <v>2022</v>
      </c>
      <c r="E19">
        <v>2022</v>
      </c>
      <c r="F19" t="s">
        <v>3100</v>
      </c>
      <c r="G19">
        <f>USD2022_to_CAD2020</f>
        <v>1.1226268817204299</v>
      </c>
      <c r="H19">
        <v>2020</v>
      </c>
      <c r="I19" t="s">
        <v>3101</v>
      </c>
      <c r="J19" t="s">
        <v>3144</v>
      </c>
      <c r="K19" s="246">
        <f>1.81*$G$19</f>
        <v>2.0319546559139781</v>
      </c>
      <c r="L19" s="246">
        <f t="shared" ref="L19:Q19" si="13">1.81*$G$19</f>
        <v>2.0319546559139781</v>
      </c>
      <c r="M19" s="246">
        <f t="shared" si="13"/>
        <v>2.0319546559139781</v>
      </c>
      <c r="N19" s="246">
        <f t="shared" si="13"/>
        <v>2.0319546559139781</v>
      </c>
      <c r="O19" s="246">
        <f t="shared" si="13"/>
        <v>2.0319546559139781</v>
      </c>
      <c r="P19" s="246">
        <f t="shared" si="13"/>
        <v>2.0319546559139781</v>
      </c>
      <c r="Q19" s="246">
        <f t="shared" si="13"/>
        <v>2.0319546559139781</v>
      </c>
      <c r="R19" t="s">
        <v>3122</v>
      </c>
      <c r="X19" s="850"/>
      <c r="Z19" s="850"/>
      <c r="AB19" t="s">
        <v>3112</v>
      </c>
      <c r="AL19" s="58" t="s">
        <v>3105</v>
      </c>
      <c r="BB19" s="15"/>
      <c r="BC19" s="197"/>
    </row>
    <row r="20" spans="1:59" ht="15.75" thickBot="1" x14ac:dyDescent="0.3">
      <c r="A20" t="s">
        <v>2999</v>
      </c>
      <c r="B20" t="s">
        <v>84</v>
      </c>
      <c r="C20" t="s">
        <v>3126</v>
      </c>
      <c r="E20">
        <v>2020</v>
      </c>
      <c r="F20" t="s">
        <v>3100</v>
      </c>
      <c r="G20">
        <f>USD_CAD_2020</f>
        <v>1.3414999999999999</v>
      </c>
      <c r="H20">
        <v>2020</v>
      </c>
      <c r="I20" t="s">
        <v>3101</v>
      </c>
      <c r="J20" t="s">
        <v>3145</v>
      </c>
      <c r="K20" s="246">
        <f>2.5</f>
        <v>2.5</v>
      </c>
      <c r="L20" s="246">
        <f t="shared" ref="L20:Q20" si="14">2.5</f>
        <v>2.5</v>
      </c>
      <c r="M20" s="246">
        <f t="shared" si="14"/>
        <v>2.5</v>
      </c>
      <c r="N20" s="246">
        <f t="shared" si="14"/>
        <v>2.5</v>
      </c>
      <c r="O20" s="246">
        <f t="shared" si="14"/>
        <v>2.5</v>
      </c>
      <c r="P20" s="246">
        <f t="shared" si="14"/>
        <v>2.5</v>
      </c>
      <c r="Q20" s="246">
        <f t="shared" si="14"/>
        <v>2.5</v>
      </c>
      <c r="R20" t="s">
        <v>3125</v>
      </c>
      <c r="X20" s="850"/>
      <c r="Z20" s="850"/>
      <c r="AB20" s="83" t="s">
        <v>229</v>
      </c>
      <c r="AC20" s="83">
        <v>2023</v>
      </c>
      <c r="AD20" s="83">
        <v>2025</v>
      </c>
      <c r="AE20" s="83">
        <v>2030</v>
      </c>
      <c r="AF20" s="83">
        <v>2035</v>
      </c>
      <c r="AG20" s="79" t="s">
        <v>822</v>
      </c>
      <c r="AH20" s="79" t="s">
        <v>823</v>
      </c>
      <c r="AI20" s="83">
        <v>2050</v>
      </c>
      <c r="AK20" s="15"/>
      <c r="AL20" s="188"/>
      <c r="AM20" s="188"/>
      <c r="AN20" s="188"/>
      <c r="AO20" s="188"/>
      <c r="AP20" s="188"/>
      <c r="AQ20" s="188"/>
      <c r="AR20" s="188"/>
      <c r="AS20" s="81"/>
      <c r="BB20" s="15"/>
      <c r="BE20" s="197"/>
    </row>
    <row r="21" spans="1:59" ht="15.75" thickTop="1" x14ac:dyDescent="0.25">
      <c r="A21" t="s">
        <v>3000</v>
      </c>
      <c r="B21" t="s">
        <v>84</v>
      </c>
      <c r="C21" t="s">
        <v>3126</v>
      </c>
      <c r="E21">
        <v>2020</v>
      </c>
      <c r="F21" t="s">
        <v>3100</v>
      </c>
      <c r="G21">
        <f>USD_CAD_2020</f>
        <v>1.3414999999999999</v>
      </c>
      <c r="H21">
        <v>2020</v>
      </c>
      <c r="I21" t="s">
        <v>3101</v>
      </c>
      <c r="J21" t="s">
        <v>3145</v>
      </c>
      <c r="K21" s="246">
        <f t="shared" ref="K21:Q24" si="15">2.5</f>
        <v>2.5</v>
      </c>
      <c r="L21" s="246">
        <f t="shared" si="15"/>
        <v>2.5</v>
      </c>
      <c r="M21" s="246">
        <f t="shared" si="15"/>
        <v>2.5</v>
      </c>
      <c r="N21" s="246">
        <f t="shared" si="15"/>
        <v>2.5</v>
      </c>
      <c r="O21" s="246">
        <f t="shared" si="15"/>
        <v>2.5</v>
      </c>
      <c r="P21" s="246">
        <f t="shared" si="15"/>
        <v>2.5</v>
      </c>
      <c r="Q21" s="246">
        <f t="shared" si="15"/>
        <v>2.5</v>
      </c>
      <c r="R21" t="s">
        <v>3125</v>
      </c>
      <c r="X21" s="850"/>
      <c r="Z21" s="850"/>
      <c r="AB21" s="188" t="s">
        <v>2981</v>
      </c>
      <c r="AC21" s="188">
        <v>817170.31658099999</v>
      </c>
      <c r="AD21" s="188">
        <v>636636.17408999999</v>
      </c>
      <c r="AE21" s="188">
        <v>454936.731562</v>
      </c>
      <c r="AF21" s="188">
        <v>362307.99021000002</v>
      </c>
      <c r="AG21" s="188">
        <f>($AI21-$AF21)/3 + AF21</f>
        <v>320377.39634500002</v>
      </c>
      <c r="AH21" s="188">
        <f>($AI21-$AF21)/3 + AG21</f>
        <v>278446.80248000001</v>
      </c>
      <c r="AI21" s="188">
        <v>236516.20861500001</v>
      </c>
      <c r="AK21" s="15"/>
      <c r="AL21" s="188" t="s">
        <v>2981</v>
      </c>
      <c r="AM21" s="267" cm="1">
        <f t="array" ref="AM21:AS28">USD2023_to_CAD2020*AC21:AI28</f>
        <v>936776.03556174145</v>
      </c>
      <c r="AN21" s="188">
        <v>729817.8839320452</v>
      </c>
      <c r="AO21" s="188">
        <v>521523.87229036493</v>
      </c>
      <c r="AP21" s="188">
        <v>415337.45883147692</v>
      </c>
      <c r="AQ21" s="188">
        <v>367269.66354744363</v>
      </c>
      <c r="AR21" s="188">
        <v>319201.86826341035</v>
      </c>
      <c r="AS21" s="188">
        <v>271134.07297937706</v>
      </c>
      <c r="BB21" s="15"/>
      <c r="BD21" s="197"/>
    </row>
    <row r="22" spans="1:59" x14ac:dyDescent="0.25">
      <c r="A22" t="s">
        <v>3001</v>
      </c>
      <c r="B22" t="s">
        <v>84</v>
      </c>
      <c r="C22" t="s">
        <v>3126</v>
      </c>
      <c r="E22">
        <v>2020</v>
      </c>
      <c r="F22" t="s">
        <v>3100</v>
      </c>
      <c r="G22">
        <f>USD_CAD_2020</f>
        <v>1.3414999999999999</v>
      </c>
      <c r="H22">
        <v>2020</v>
      </c>
      <c r="I22" t="s">
        <v>3101</v>
      </c>
      <c r="J22" t="s">
        <v>3145</v>
      </c>
      <c r="K22" s="246">
        <f t="shared" si="15"/>
        <v>2.5</v>
      </c>
      <c r="L22" s="246">
        <f t="shared" si="15"/>
        <v>2.5</v>
      </c>
      <c r="M22" s="246">
        <f t="shared" si="15"/>
        <v>2.5</v>
      </c>
      <c r="N22" s="246">
        <f t="shared" si="15"/>
        <v>2.5</v>
      </c>
      <c r="O22" s="246">
        <f t="shared" si="15"/>
        <v>2.5</v>
      </c>
      <c r="P22" s="246">
        <f t="shared" si="15"/>
        <v>2.5</v>
      </c>
      <c r="Q22" s="246">
        <f t="shared" si="15"/>
        <v>2.5</v>
      </c>
      <c r="R22" t="s">
        <v>3125</v>
      </c>
      <c r="X22" s="850"/>
      <c r="Z22" s="850"/>
      <c r="AB22" s="188" t="s">
        <v>2982</v>
      </c>
      <c r="AC22" s="188">
        <v>579474.5</v>
      </c>
      <c r="AD22" s="188">
        <v>458658.782726</v>
      </c>
      <c r="AE22" s="188">
        <v>336993.15437499998</v>
      </c>
      <c r="AF22" s="188">
        <v>274743.99347300001</v>
      </c>
      <c r="AG22" s="188">
        <f t="shared" ref="AG22:AH22" si="16">($AI22-$AF22)/3 + AF22</f>
        <v>246599.48645200001</v>
      </c>
      <c r="AH22" s="188">
        <f t="shared" si="16"/>
        <v>218454.97943100001</v>
      </c>
      <c r="AI22" s="188">
        <v>190310.47240999999</v>
      </c>
      <c r="AK22" s="15"/>
      <c r="AL22" s="188" t="s">
        <v>2982</v>
      </c>
      <c r="AM22" s="188">
        <v>664289.7004510992</v>
      </c>
      <c r="AN22" s="188">
        <v>525790.70414025174</v>
      </c>
      <c r="AO22" s="188">
        <v>386317.39890856243</v>
      </c>
      <c r="AP22" s="188">
        <v>314957.09496262204</v>
      </c>
      <c r="AQ22" s="188">
        <v>282693.19700279128</v>
      </c>
      <c r="AR22" s="188">
        <v>250429.29904296051</v>
      </c>
      <c r="AS22" s="188">
        <v>218165.40108312975</v>
      </c>
      <c r="BB22" s="266"/>
    </row>
    <row r="23" spans="1:59" x14ac:dyDescent="0.25">
      <c r="A23" t="s">
        <v>3002</v>
      </c>
      <c r="B23" t="s">
        <v>84</v>
      </c>
      <c r="C23" t="s">
        <v>3126</v>
      </c>
      <c r="E23">
        <v>2020</v>
      </c>
      <c r="F23" t="s">
        <v>3100</v>
      </c>
      <c r="G23">
        <f>USD_CAD_2020</f>
        <v>1.3414999999999999</v>
      </c>
      <c r="H23">
        <v>2020</v>
      </c>
      <c r="I23" t="s">
        <v>3101</v>
      </c>
      <c r="J23" t="s">
        <v>3145</v>
      </c>
      <c r="K23" s="246">
        <f t="shared" si="15"/>
        <v>2.5</v>
      </c>
      <c r="L23" s="246">
        <f t="shared" si="15"/>
        <v>2.5</v>
      </c>
      <c r="M23" s="246">
        <f t="shared" si="15"/>
        <v>2.5</v>
      </c>
      <c r="N23" s="246">
        <f t="shared" si="15"/>
        <v>2.5</v>
      </c>
      <c r="O23" s="246">
        <f t="shared" si="15"/>
        <v>2.5</v>
      </c>
      <c r="P23" s="246">
        <f t="shared" si="15"/>
        <v>2.5</v>
      </c>
      <c r="Q23" s="246">
        <f t="shared" si="15"/>
        <v>2.5</v>
      </c>
      <c r="R23" t="s">
        <v>3125</v>
      </c>
      <c r="X23" s="850"/>
      <c r="Z23" s="850"/>
      <c r="AB23" s="188" t="s">
        <v>2983</v>
      </c>
      <c r="AC23" s="188">
        <v>349278.8</v>
      </c>
      <c r="AD23" s="188">
        <v>288181.39136299997</v>
      </c>
      <c r="AE23" s="188">
        <v>226549.57718699999</v>
      </c>
      <c r="AF23" s="188">
        <v>194679.99673700001</v>
      </c>
      <c r="AG23" s="188">
        <f t="shared" ref="AG23:AH23" si="17">($AI23-$AF23)/3 + AF23</f>
        <v>180321.57655966666</v>
      </c>
      <c r="AH23" s="188">
        <f t="shared" si="17"/>
        <v>165963.15638233331</v>
      </c>
      <c r="AI23" s="188">
        <v>151604.73620499999</v>
      </c>
      <c r="AK23" s="15"/>
      <c r="AL23" s="188" t="s">
        <v>2983</v>
      </c>
      <c r="AM23" s="188">
        <v>400401.2418595113</v>
      </c>
      <c r="AN23" s="188">
        <v>330361.26722419751</v>
      </c>
      <c r="AO23" s="188">
        <v>259708.66840020637</v>
      </c>
      <c r="AP23" s="188">
        <v>223174.47396950633</v>
      </c>
      <c r="AQ23" s="188">
        <v>206714.47333349596</v>
      </c>
      <c r="AR23" s="188">
        <v>190254.47269748562</v>
      </c>
      <c r="AS23" s="188">
        <v>173794.47206147527</v>
      </c>
      <c r="BB23" s="15"/>
      <c r="BC23" s="197"/>
    </row>
    <row r="24" spans="1:59" x14ac:dyDescent="0.25">
      <c r="A24" t="s">
        <v>3003</v>
      </c>
      <c r="B24" t="s">
        <v>84</v>
      </c>
      <c r="C24" t="s">
        <v>3126</v>
      </c>
      <c r="E24">
        <v>2020</v>
      </c>
      <c r="F24" t="s">
        <v>3100</v>
      </c>
      <c r="G24">
        <f>USD_CAD_2020</f>
        <v>1.3414999999999999</v>
      </c>
      <c r="H24">
        <v>2020</v>
      </c>
      <c r="I24" t="s">
        <v>3101</v>
      </c>
      <c r="J24" t="s">
        <v>3145</v>
      </c>
      <c r="K24" s="246">
        <f t="shared" si="15"/>
        <v>2.5</v>
      </c>
      <c r="L24" s="246">
        <f t="shared" si="15"/>
        <v>2.5</v>
      </c>
      <c r="M24" s="246">
        <f t="shared" si="15"/>
        <v>2.5</v>
      </c>
      <c r="N24" s="246">
        <f t="shared" si="15"/>
        <v>2.5</v>
      </c>
      <c r="O24" s="246">
        <f t="shared" si="15"/>
        <v>2.5</v>
      </c>
      <c r="P24" s="246">
        <f t="shared" si="15"/>
        <v>2.5</v>
      </c>
      <c r="Q24" s="246">
        <f t="shared" si="15"/>
        <v>2.5</v>
      </c>
      <c r="R24" t="s">
        <v>3125</v>
      </c>
      <c r="X24" s="850"/>
      <c r="Z24" s="850"/>
      <c r="AB24" s="188" t="s">
        <v>2984</v>
      </c>
      <c r="AC24" s="188" cm="1">
        <f t="array" ref="AC24:AI24">AC23:AI23</f>
        <v>349278.8</v>
      </c>
      <c r="AD24" s="188">
        <v>288181.39136299997</v>
      </c>
      <c r="AE24" s="188">
        <v>226549.57718699999</v>
      </c>
      <c r="AF24" s="188">
        <v>194679.99673700001</v>
      </c>
      <c r="AG24" s="188">
        <v>180321.57655966666</v>
      </c>
      <c r="AH24" s="188">
        <v>165963.15638233331</v>
      </c>
      <c r="AI24" s="188">
        <v>151604.73620499999</v>
      </c>
      <c r="AK24" s="15"/>
      <c r="AL24" s="188" t="s">
        <v>2984</v>
      </c>
      <c r="AM24" s="188">
        <v>400401.2418595113</v>
      </c>
      <c r="AN24" s="188">
        <v>330361.26722419751</v>
      </c>
      <c r="AO24" s="188">
        <v>259708.66840020637</v>
      </c>
      <c r="AP24" s="188">
        <v>223174.47396950633</v>
      </c>
      <c r="AQ24" s="188">
        <v>206714.47333349596</v>
      </c>
      <c r="AR24" s="188">
        <v>190254.47269748562</v>
      </c>
      <c r="AS24" s="188">
        <v>173794.47206147527</v>
      </c>
      <c r="BB24" s="15"/>
      <c r="BC24" s="197"/>
    </row>
    <row r="25" spans="1:59" x14ac:dyDescent="0.25">
      <c r="A25" t="s">
        <v>2996</v>
      </c>
      <c r="B25" t="s">
        <v>84</v>
      </c>
      <c r="F25" t="s">
        <v>3100</v>
      </c>
      <c r="G25">
        <f>USD2018_to_CAD2020</f>
        <v>1.3371624000000004</v>
      </c>
      <c r="H25">
        <v>2020</v>
      </c>
      <c r="I25" t="s">
        <v>3101</v>
      </c>
      <c r="J25" t="s">
        <v>3146</v>
      </c>
      <c r="K25" s="246">
        <f>2.1*$G25</f>
        <v>2.8080410400000009</v>
      </c>
      <c r="L25" s="246">
        <f t="shared" ref="L25:Q25" si="18">2.1*$G25</f>
        <v>2.8080410400000009</v>
      </c>
      <c r="M25" s="246">
        <f t="shared" si="18"/>
        <v>2.8080410400000009</v>
      </c>
      <c r="N25" s="246">
        <f t="shared" si="18"/>
        <v>2.8080410400000009</v>
      </c>
      <c r="O25" s="246">
        <f t="shared" si="18"/>
        <v>2.8080410400000009</v>
      </c>
      <c r="P25" s="246">
        <f t="shared" si="18"/>
        <v>2.8080410400000009</v>
      </c>
      <c r="Q25" s="246">
        <f t="shared" si="18"/>
        <v>2.8080410400000009</v>
      </c>
      <c r="R25" t="s">
        <v>3118</v>
      </c>
      <c r="X25" s="850"/>
      <c r="Z25" s="850"/>
      <c r="AB25" s="188" t="s">
        <v>2985</v>
      </c>
      <c r="AC25" s="188" cm="1">
        <f t="array" ref="AC25:AI25">AC24:AI24</f>
        <v>349278.8</v>
      </c>
      <c r="AD25" s="188">
        <v>288181.39136299997</v>
      </c>
      <c r="AE25" s="188">
        <v>226549.57718699999</v>
      </c>
      <c r="AF25" s="188">
        <v>194679.99673700001</v>
      </c>
      <c r="AG25" s="188">
        <v>180321.57655966666</v>
      </c>
      <c r="AH25" s="188">
        <v>165963.15638233331</v>
      </c>
      <c r="AI25" s="188">
        <v>151604.73620499999</v>
      </c>
      <c r="AK25" s="15"/>
      <c r="AL25" s="188" t="s">
        <v>2985</v>
      </c>
      <c r="AM25" s="188">
        <v>400401.2418595113</v>
      </c>
      <c r="AN25" s="188">
        <v>330361.26722419751</v>
      </c>
      <c r="AO25" s="188">
        <v>259708.66840020637</v>
      </c>
      <c r="AP25" s="188">
        <v>223174.47396950633</v>
      </c>
      <c r="AQ25" s="188">
        <v>206714.47333349596</v>
      </c>
      <c r="AR25" s="188">
        <v>190254.47269748562</v>
      </c>
      <c r="AS25" s="188">
        <v>173794.47206147527</v>
      </c>
      <c r="BB25" s="15"/>
      <c r="BD25" s="197"/>
    </row>
    <row r="26" spans="1:59" x14ac:dyDescent="0.25">
      <c r="K26" s="246"/>
      <c r="L26" s="69"/>
      <c r="M26" s="69"/>
      <c r="N26" s="69"/>
      <c r="O26" s="69"/>
      <c r="P26" s="69"/>
      <c r="Q26" s="106"/>
      <c r="R26"/>
      <c r="X26" s="850"/>
      <c r="Z26" s="850"/>
      <c r="AB26" s="188" t="s">
        <v>2986</v>
      </c>
      <c r="AC26" s="188" cm="1">
        <f t="array" ref="AC26:AI26">AC25:AI25</f>
        <v>349278.8</v>
      </c>
      <c r="AD26" s="188">
        <v>288181.39136299997</v>
      </c>
      <c r="AE26" s="188">
        <v>226549.57718699999</v>
      </c>
      <c r="AF26" s="188">
        <v>194679.99673700001</v>
      </c>
      <c r="AG26" s="188">
        <v>180321.57655966666</v>
      </c>
      <c r="AH26" s="188">
        <v>165963.15638233331</v>
      </c>
      <c r="AI26" s="188">
        <v>151604.73620499999</v>
      </c>
      <c r="AK26" s="15"/>
      <c r="AL26" s="188" t="s">
        <v>2986</v>
      </c>
      <c r="AM26" s="188">
        <v>400401.2418595113</v>
      </c>
      <c r="AN26" s="188">
        <v>330361.26722419751</v>
      </c>
      <c r="AO26" s="188">
        <v>259708.66840020637</v>
      </c>
      <c r="AP26" s="188">
        <v>223174.47396950633</v>
      </c>
      <c r="AQ26" s="188">
        <v>206714.47333349596</v>
      </c>
      <c r="AR26" s="188">
        <v>190254.47269748562</v>
      </c>
      <c r="AS26" s="188">
        <v>173794.47206147527</v>
      </c>
    </row>
    <row r="27" spans="1:59" x14ac:dyDescent="0.25">
      <c r="K27" s="246"/>
      <c r="L27" s="69"/>
      <c r="M27" s="69"/>
      <c r="N27" s="69"/>
      <c r="O27" s="69"/>
      <c r="P27" s="69"/>
      <c r="Q27" s="69"/>
      <c r="X27" s="850"/>
      <c r="Z27" s="850"/>
      <c r="AB27" s="188" t="s">
        <v>2987</v>
      </c>
      <c r="AC27" s="188" cm="1">
        <f t="array" ref="AC27:AI27">AC26:AI26</f>
        <v>349278.8</v>
      </c>
      <c r="AD27" s="188">
        <v>288181.39136299997</v>
      </c>
      <c r="AE27" s="188">
        <v>226549.57718699999</v>
      </c>
      <c r="AF27" s="188">
        <v>194679.99673700001</v>
      </c>
      <c r="AG27" s="188">
        <v>180321.57655966666</v>
      </c>
      <c r="AH27" s="188">
        <v>165963.15638233331</v>
      </c>
      <c r="AI27" s="188">
        <v>151604.73620499999</v>
      </c>
      <c r="AK27" s="15"/>
      <c r="AL27" s="188" t="s">
        <v>2987</v>
      </c>
      <c r="AM27" s="188">
        <v>400401.2418595113</v>
      </c>
      <c r="AN27" s="188">
        <v>330361.26722419751</v>
      </c>
      <c r="AO27" s="188">
        <v>259708.66840020637</v>
      </c>
      <c r="AP27" s="188">
        <v>223174.47396950633</v>
      </c>
      <c r="AQ27" s="188">
        <v>206714.47333349596</v>
      </c>
      <c r="AR27" s="188">
        <v>190254.47269748562</v>
      </c>
      <c r="AS27" s="188">
        <v>173794.47206147527</v>
      </c>
      <c r="BB27" s="814"/>
    </row>
    <row r="28" spans="1:59" x14ac:dyDescent="0.25">
      <c r="K28" s="246"/>
      <c r="L28" s="69"/>
      <c r="M28" s="69"/>
      <c r="N28" s="69"/>
      <c r="O28" s="69"/>
      <c r="P28" s="69"/>
      <c r="Q28" s="69"/>
      <c r="X28" s="850"/>
      <c r="Z28" s="850"/>
      <c r="AB28" s="188" t="s">
        <v>2977</v>
      </c>
      <c r="AC28" s="188">
        <v>326090.3</v>
      </c>
      <c r="AD28" s="188">
        <v>276845.43026699999</v>
      </c>
      <c r="AE28" s="188">
        <v>240462.18032499999</v>
      </c>
      <c r="AF28" s="188">
        <v>217235.423343</v>
      </c>
      <c r="AG28" s="188">
        <f>($AI28-$AF28)/3 + AF28</f>
        <v>205001.16697700002</v>
      </c>
      <c r="AH28" s="188">
        <f>($AI28-$AF28)/3 + AG28</f>
        <v>192766.91061100003</v>
      </c>
      <c r="AI28" s="188">
        <v>180532.65424500001</v>
      </c>
      <c r="AK28" s="15"/>
      <c r="AL28" s="188" t="s">
        <v>2977</v>
      </c>
      <c r="AM28" s="188">
        <v>373818.74043984513</v>
      </c>
      <c r="AN28" s="188">
        <v>317366.11005889141</v>
      </c>
      <c r="AO28" s="188">
        <v>275657.59966644336</v>
      </c>
      <c r="AP28" s="188">
        <v>249031.2417541914</v>
      </c>
      <c r="AQ28" s="188">
        <v>235006.30968796229</v>
      </c>
      <c r="AR28" s="188">
        <v>220981.37762173318</v>
      </c>
      <c r="AS28" s="188">
        <v>206956.445555504</v>
      </c>
      <c r="AT28" s="81"/>
      <c r="BB28" s="26"/>
      <c r="BC28" s="26"/>
      <c r="BD28" s="26"/>
      <c r="BE28" s="26"/>
      <c r="BF28" s="26"/>
      <c r="BG28" s="26"/>
    </row>
    <row r="29" spans="1:59" x14ac:dyDescent="0.25">
      <c r="K29" s="246"/>
      <c r="L29" s="69"/>
      <c r="M29" s="69"/>
      <c r="N29" s="69"/>
      <c r="O29" s="69"/>
      <c r="P29" s="69"/>
      <c r="Q29" s="69"/>
      <c r="X29" s="850"/>
      <c r="Z29" s="850"/>
      <c r="AK29" s="73"/>
      <c r="AL29" s="15"/>
      <c r="AM29" s="188"/>
      <c r="AN29" s="188"/>
      <c r="AO29" s="188"/>
      <c r="AP29" s="188"/>
      <c r="AQ29" s="188"/>
      <c r="AR29" s="188"/>
      <c r="AS29" s="188"/>
      <c r="AT29" s="81"/>
      <c r="BD29" s="824"/>
      <c r="BE29" s="824"/>
      <c r="BF29" s="824"/>
      <c r="BG29" s="824"/>
    </row>
    <row r="30" spans="1:59" x14ac:dyDescent="0.25">
      <c r="K30" s="246"/>
      <c r="L30" s="69"/>
      <c r="M30" s="69"/>
      <c r="N30" s="69"/>
      <c r="O30" s="69"/>
      <c r="P30" s="69"/>
      <c r="Q30" s="69"/>
      <c r="X30" s="850"/>
      <c r="Z30" s="850"/>
      <c r="AA30" s="26"/>
      <c r="BD30" s="830"/>
      <c r="BE30" s="830"/>
      <c r="BF30" s="830"/>
      <c r="BG30" s="830"/>
    </row>
    <row r="31" spans="1:59" ht="15.75" x14ac:dyDescent="0.25">
      <c r="K31" s="246"/>
      <c r="L31" s="69"/>
      <c r="M31" s="69"/>
      <c r="N31" s="69"/>
      <c r="O31" s="69"/>
      <c r="P31" s="69"/>
      <c r="Q31" s="69"/>
      <c r="X31" s="850"/>
      <c r="Z31" s="850"/>
      <c r="AA31" s="15"/>
      <c r="AB31" s="188" t="s">
        <v>3116</v>
      </c>
      <c r="AC31">
        <v>2.1</v>
      </c>
      <c r="AD31" t="s">
        <v>3117</v>
      </c>
      <c r="AK31" s="812"/>
      <c r="AL31" s="807"/>
      <c r="AM31" s="807"/>
      <c r="AN31" s="807"/>
      <c r="AO31" s="807"/>
      <c r="AP31" s="807"/>
      <c r="AQ31" s="807"/>
      <c r="AR31" s="807"/>
      <c r="AS31" s="154"/>
      <c r="BD31" s="830"/>
      <c r="BE31" s="830"/>
      <c r="BF31" s="830"/>
      <c r="BG31" s="830"/>
    </row>
    <row r="32" spans="1:59" ht="15.75" x14ac:dyDescent="0.25">
      <c r="K32" s="246"/>
      <c r="L32" s="69"/>
      <c r="M32" s="69"/>
      <c r="N32" s="69"/>
      <c r="O32" s="69"/>
      <c r="P32" s="69"/>
      <c r="Q32" s="69"/>
      <c r="X32" s="850"/>
      <c r="Z32" s="850"/>
      <c r="AA32" s="15"/>
      <c r="AB32" s="188"/>
      <c r="AK32" s="26"/>
      <c r="AL32" s="26"/>
      <c r="AM32" s="26"/>
      <c r="AN32" s="26"/>
      <c r="AO32" s="26"/>
      <c r="AP32" s="809"/>
      <c r="AQ32" s="809"/>
      <c r="AR32" s="26"/>
      <c r="AS32" s="26"/>
      <c r="AV32" s="154"/>
      <c r="AW32" s="154"/>
      <c r="AX32" s="154"/>
      <c r="AY32" s="154"/>
      <c r="BD32" s="830"/>
      <c r="BE32" s="830"/>
      <c r="BF32" s="830"/>
      <c r="BG32" s="830"/>
    </row>
    <row r="33" spans="11:61" x14ac:dyDescent="0.25">
      <c r="K33" s="246"/>
      <c r="L33" s="69"/>
      <c r="M33" s="69"/>
      <c r="N33" s="69"/>
      <c r="O33" s="69"/>
      <c r="P33" s="69"/>
      <c r="Q33" s="69"/>
      <c r="X33" s="850"/>
      <c r="Z33" s="850"/>
      <c r="AA33" s="15"/>
      <c r="AB33" s="188"/>
      <c r="AK33" s="26"/>
      <c r="AV33" s="26"/>
      <c r="AW33" s="26"/>
      <c r="AX33" s="26"/>
      <c r="AY33" s="26"/>
      <c r="AZ33" s="26"/>
      <c r="BD33" s="830"/>
      <c r="BE33" s="830"/>
      <c r="BF33" s="830"/>
      <c r="BG33" s="830"/>
    </row>
    <row r="34" spans="11:61" x14ac:dyDescent="0.25">
      <c r="K34" s="246"/>
      <c r="L34" s="69"/>
      <c r="M34" s="69"/>
      <c r="N34" s="69"/>
      <c r="O34" s="69"/>
      <c r="P34" s="69"/>
      <c r="Q34" s="69"/>
      <c r="X34" s="850"/>
      <c r="Z34" s="850"/>
      <c r="AA34" s="15"/>
      <c r="AK34" s="15"/>
      <c r="AL34" s="462"/>
      <c r="AM34" s="462"/>
      <c r="AN34" s="462"/>
      <c r="AO34" s="462"/>
      <c r="AP34" s="462"/>
      <c r="AQ34" s="462"/>
      <c r="AR34" s="462"/>
      <c r="AS34" s="213"/>
      <c r="AT34" s="26"/>
      <c r="AV34" s="831"/>
      <c r="BD34" s="830"/>
      <c r="BE34" s="830"/>
      <c r="BF34" s="830"/>
      <c r="BG34" s="830"/>
    </row>
    <row r="35" spans="11:61" x14ac:dyDescent="0.25">
      <c r="K35" s="246"/>
      <c r="L35" s="69"/>
      <c r="M35" s="69"/>
      <c r="N35" s="69"/>
      <c r="O35" s="69"/>
      <c r="P35" s="69"/>
      <c r="Q35" s="69"/>
      <c r="X35" s="850"/>
      <c r="Z35" s="850"/>
      <c r="AA35" s="15"/>
      <c r="AB35" s="188"/>
      <c r="AC35" s="188"/>
      <c r="AD35" s="462"/>
      <c r="AE35" s="462"/>
      <c r="AF35" s="462"/>
      <c r="AG35" s="462"/>
      <c r="AH35" s="462"/>
      <c r="AI35" s="213"/>
      <c r="AK35" s="15"/>
      <c r="AL35" s="462"/>
      <c r="AM35" s="462"/>
      <c r="AN35" s="462"/>
      <c r="AO35" s="462"/>
      <c r="AP35" s="462"/>
      <c r="AQ35" s="462"/>
      <c r="AR35" s="462"/>
      <c r="AS35" s="213"/>
      <c r="AT35" s="816"/>
      <c r="AV35" s="832"/>
      <c r="AW35" s="462"/>
      <c r="AX35" s="462"/>
      <c r="AY35" s="462"/>
      <c r="AZ35" s="213"/>
    </row>
    <row r="36" spans="11:61" ht="21" x14ac:dyDescent="0.35">
      <c r="K36" s="246"/>
      <c r="L36" s="69"/>
      <c r="M36" s="69"/>
      <c r="N36" s="69"/>
      <c r="O36" s="69"/>
      <c r="P36" s="69"/>
      <c r="Q36" s="69"/>
      <c r="X36" s="850"/>
      <c r="Z36" s="850"/>
      <c r="AA36" s="15"/>
      <c r="AB36" s="188"/>
      <c r="AC36" s="188"/>
      <c r="AD36" s="462"/>
      <c r="AE36" s="462"/>
      <c r="AF36" s="462"/>
      <c r="AG36" s="462"/>
      <c r="AH36" s="462"/>
      <c r="AI36" s="213"/>
      <c r="AK36" s="15"/>
      <c r="AL36" s="462"/>
      <c r="AM36" s="462"/>
      <c r="AN36" s="462"/>
      <c r="AO36" s="462"/>
      <c r="AP36" s="462"/>
      <c r="AQ36" s="462"/>
      <c r="AR36" s="462"/>
      <c r="AS36" s="213"/>
      <c r="AV36" s="832"/>
      <c r="AW36" s="462"/>
      <c r="AX36" s="462"/>
      <c r="AY36" s="462"/>
      <c r="AZ36" s="213"/>
      <c r="BB36" s="875"/>
      <c r="BC36" s="875"/>
      <c r="BD36" s="875"/>
      <c r="BE36" s="875"/>
      <c r="BF36" s="875"/>
      <c r="BG36" s="875"/>
      <c r="BH36" s="875"/>
      <c r="BI36" s="875"/>
    </row>
    <row r="37" spans="11:61" x14ac:dyDescent="0.25">
      <c r="K37" s="246"/>
      <c r="L37" s="69"/>
      <c r="M37" s="69"/>
      <c r="N37" s="69"/>
      <c r="O37" s="69"/>
      <c r="P37" s="69"/>
      <c r="Q37" s="69"/>
      <c r="X37" s="850"/>
      <c r="Z37" s="850"/>
      <c r="AA37" s="15"/>
      <c r="AB37" s="188"/>
      <c r="AC37" s="188"/>
      <c r="AD37" s="462"/>
      <c r="AE37" s="462"/>
      <c r="AF37" s="462"/>
      <c r="AG37" s="462"/>
      <c r="AH37" s="462"/>
      <c r="AI37" s="213"/>
      <c r="AK37" s="15"/>
      <c r="AL37" s="462"/>
      <c r="AM37" s="462"/>
      <c r="AN37" s="462"/>
      <c r="AO37" s="462"/>
      <c r="AP37" s="462"/>
      <c r="AQ37" s="462"/>
      <c r="AR37" s="462"/>
      <c r="AS37" s="213"/>
      <c r="AV37" s="832"/>
      <c r="AW37" s="462"/>
      <c r="AX37" s="462"/>
      <c r="AY37" s="462"/>
      <c r="AZ37" s="213"/>
      <c r="BB37" s="26"/>
    </row>
    <row r="38" spans="11:61" x14ac:dyDescent="0.25">
      <c r="K38" s="246"/>
      <c r="L38" s="69"/>
      <c r="M38" s="69"/>
      <c r="N38" s="69"/>
      <c r="O38" s="69"/>
      <c r="P38" s="69"/>
      <c r="Q38" s="69"/>
      <c r="X38" s="850"/>
      <c r="Z38" s="850"/>
      <c r="AA38" s="15"/>
      <c r="AB38" s="188"/>
      <c r="AC38" s="188"/>
      <c r="AD38" s="462"/>
      <c r="AE38" s="462"/>
      <c r="AF38" s="462"/>
      <c r="AG38" s="462"/>
      <c r="AH38" s="462"/>
      <c r="AI38" s="213"/>
      <c r="AK38" s="15"/>
      <c r="AL38" s="462"/>
      <c r="AM38" s="462"/>
      <c r="AN38" s="462"/>
      <c r="AO38" s="462"/>
      <c r="AP38" s="462"/>
      <c r="AQ38" s="462"/>
      <c r="AR38" s="462"/>
      <c r="AS38" s="213"/>
      <c r="AV38" s="832"/>
      <c r="AW38" s="462"/>
      <c r="AX38" s="462"/>
      <c r="AY38" s="462"/>
      <c r="AZ38" s="213"/>
      <c r="BB38" s="26"/>
      <c r="BC38" s="26"/>
      <c r="BD38" s="26"/>
      <c r="BE38" s="26"/>
      <c r="BF38" s="26"/>
      <c r="BG38" s="26"/>
      <c r="BH38" s="26"/>
      <c r="BI38" s="26"/>
    </row>
    <row r="39" spans="11:61" x14ac:dyDescent="0.25">
      <c r="K39" s="246"/>
      <c r="L39" s="69"/>
      <c r="M39" s="69"/>
      <c r="N39" s="69"/>
      <c r="O39" s="69"/>
      <c r="P39" s="69"/>
      <c r="Q39" s="69"/>
      <c r="X39" s="850"/>
      <c r="Z39" s="850"/>
      <c r="AA39" s="15"/>
      <c r="AB39" s="188"/>
      <c r="AC39" s="188"/>
      <c r="AD39" s="462"/>
      <c r="AE39" s="462"/>
      <c r="AF39" s="462"/>
      <c r="AG39" s="462"/>
      <c r="AH39" s="462"/>
      <c r="AI39" s="213"/>
      <c r="AK39" s="15"/>
      <c r="AL39" s="462"/>
      <c r="AM39" s="462"/>
      <c r="AN39" s="462"/>
      <c r="AO39" s="462"/>
      <c r="AP39" s="462"/>
      <c r="AQ39" s="462"/>
      <c r="AR39" s="462"/>
      <c r="AS39" s="213"/>
      <c r="AV39" s="832"/>
      <c r="AW39" s="462"/>
      <c r="AX39" s="462"/>
      <c r="AY39" s="462"/>
      <c r="AZ39" s="213"/>
      <c r="BC39" s="830"/>
      <c r="BD39" s="830"/>
      <c r="BE39" s="830"/>
      <c r="BF39" s="830"/>
      <c r="BG39" s="830"/>
      <c r="BH39" s="830"/>
      <c r="BI39" s="830"/>
    </row>
    <row r="40" spans="11:61" x14ac:dyDescent="0.25">
      <c r="K40" s="246"/>
      <c r="L40" s="69"/>
      <c r="M40" s="69"/>
      <c r="N40" s="69"/>
      <c r="O40" s="69"/>
      <c r="P40" s="69"/>
      <c r="Q40" s="69"/>
      <c r="X40" s="850"/>
      <c r="Z40" s="850"/>
      <c r="AA40" s="15"/>
      <c r="AB40" s="188"/>
      <c r="AC40" s="188"/>
      <c r="AD40" s="462"/>
      <c r="AE40" s="462"/>
      <c r="AF40" s="462"/>
      <c r="AG40" s="462"/>
      <c r="AH40" s="462"/>
      <c r="AI40" s="213"/>
      <c r="AK40" s="15"/>
      <c r="AL40" s="462"/>
      <c r="AM40" s="462"/>
      <c r="AN40" s="462"/>
      <c r="AO40" s="462"/>
      <c r="AP40" s="462"/>
      <c r="AQ40" s="462"/>
      <c r="AR40" s="462"/>
      <c r="AS40" s="213"/>
      <c r="AV40" s="832"/>
      <c r="AW40" s="462"/>
      <c r="AX40" s="462"/>
      <c r="AY40" s="462"/>
      <c r="AZ40" s="213"/>
      <c r="BC40" s="830"/>
      <c r="BD40" s="830"/>
      <c r="BE40" s="830"/>
      <c r="BF40" s="830"/>
      <c r="BG40" s="830"/>
      <c r="BH40" s="830"/>
      <c r="BI40" s="830"/>
    </row>
    <row r="41" spans="11:61" x14ac:dyDescent="0.25">
      <c r="K41" s="246"/>
      <c r="L41" s="69"/>
      <c r="M41" s="69"/>
      <c r="N41" s="69"/>
      <c r="O41" s="69"/>
      <c r="P41" s="69"/>
      <c r="Q41" s="69"/>
      <c r="X41" s="850"/>
      <c r="Z41" s="850"/>
      <c r="AA41" s="15"/>
      <c r="AB41" s="188"/>
      <c r="AC41" s="188"/>
      <c r="AD41" s="462"/>
      <c r="AE41" s="462"/>
      <c r="AF41" s="462"/>
      <c r="AG41" s="462"/>
      <c r="AH41" s="462"/>
      <c r="AI41" s="213"/>
      <c r="AK41" s="26"/>
      <c r="AS41" s="213"/>
      <c r="AV41" s="831"/>
      <c r="AZ41" s="213"/>
      <c r="BB41" s="58"/>
    </row>
    <row r="42" spans="11:61" x14ac:dyDescent="0.25">
      <c r="K42" s="246"/>
      <c r="L42" s="69"/>
      <c r="M42" s="69"/>
      <c r="N42" s="69"/>
      <c r="O42" s="69"/>
      <c r="P42" s="69"/>
      <c r="Q42" s="69"/>
      <c r="X42" s="850"/>
      <c r="Z42" s="850"/>
      <c r="AA42" s="15"/>
      <c r="AB42" s="188"/>
      <c r="AC42" s="188"/>
      <c r="AD42" s="462"/>
      <c r="AE42" s="462"/>
      <c r="AF42" s="462"/>
      <c r="AG42" s="462"/>
      <c r="AH42" s="462"/>
      <c r="AI42" s="213"/>
      <c r="AK42" s="15"/>
      <c r="AL42" s="462"/>
      <c r="AM42" s="462"/>
      <c r="AN42" s="462"/>
      <c r="AO42" s="462"/>
      <c r="AP42" s="462"/>
      <c r="AQ42" s="462"/>
      <c r="AR42" s="462"/>
      <c r="AS42" s="213"/>
      <c r="AV42" s="832"/>
      <c r="AW42" s="462"/>
      <c r="AX42" s="462"/>
      <c r="AY42" s="462"/>
      <c r="AZ42" s="213"/>
    </row>
    <row r="43" spans="11:61" x14ac:dyDescent="0.25">
      <c r="K43" s="246"/>
      <c r="L43" s="69"/>
      <c r="M43" s="69"/>
      <c r="N43" s="69"/>
      <c r="O43" s="69"/>
      <c r="P43" s="69"/>
      <c r="Q43" s="69"/>
      <c r="X43" s="850"/>
      <c r="Z43" s="850"/>
      <c r="AA43" s="26"/>
      <c r="AI43" s="213"/>
      <c r="AK43" s="15"/>
      <c r="AL43" s="462"/>
      <c r="AM43" s="462"/>
      <c r="AN43" s="462"/>
      <c r="AO43" s="462"/>
      <c r="AP43" s="462"/>
      <c r="AQ43" s="462"/>
      <c r="AR43" s="462"/>
      <c r="AS43" s="213"/>
      <c r="AV43" s="832"/>
      <c r="AW43" s="462"/>
      <c r="AX43" s="462"/>
      <c r="AY43" s="462"/>
      <c r="AZ43" s="213"/>
    </row>
    <row r="44" spans="11:61" x14ac:dyDescent="0.25">
      <c r="K44" s="246"/>
      <c r="L44" s="69"/>
      <c r="M44" s="69"/>
      <c r="N44" s="69"/>
      <c r="O44" s="69"/>
      <c r="P44" s="69"/>
      <c r="Q44" s="69"/>
      <c r="X44" s="850"/>
      <c r="Z44" s="850"/>
      <c r="AA44" s="15"/>
      <c r="AB44" s="188"/>
      <c r="AC44" s="188"/>
      <c r="AD44" s="462"/>
      <c r="AE44" s="462"/>
      <c r="AF44" s="462"/>
      <c r="AG44" s="462"/>
      <c r="AH44" s="462"/>
      <c r="AI44" s="213"/>
      <c r="AK44" s="15"/>
      <c r="AL44" s="462"/>
      <c r="AM44" s="462"/>
      <c r="AN44" s="462"/>
      <c r="AO44" s="462"/>
      <c r="AP44" s="462"/>
      <c r="AQ44" s="462"/>
      <c r="AR44" s="462"/>
      <c r="AS44" s="213"/>
      <c r="AV44" s="832"/>
      <c r="AW44" s="462"/>
      <c r="AX44" s="462"/>
      <c r="AY44" s="462"/>
      <c r="AZ44" s="213"/>
    </row>
    <row r="45" spans="11:61" x14ac:dyDescent="0.25">
      <c r="K45" s="246"/>
      <c r="L45" s="69"/>
      <c r="M45" s="69"/>
      <c r="N45" s="69"/>
      <c r="O45" s="69"/>
      <c r="P45" s="69"/>
      <c r="Q45" s="69"/>
      <c r="X45" s="850"/>
      <c r="Z45" s="850"/>
      <c r="AA45" s="15"/>
      <c r="AB45" s="188"/>
      <c r="AC45" s="188"/>
      <c r="AD45" s="462"/>
      <c r="AE45" s="462"/>
      <c r="AF45" s="462"/>
      <c r="AG45" s="462"/>
      <c r="AH45" s="462"/>
      <c r="AI45" s="213"/>
      <c r="AK45" s="15"/>
      <c r="AL45" s="462"/>
      <c r="AM45" s="462"/>
      <c r="AN45" s="462"/>
      <c r="AO45" s="462"/>
      <c r="AP45" s="462"/>
      <c r="AQ45" s="462"/>
      <c r="AR45" s="462"/>
      <c r="AS45" s="213"/>
      <c r="AV45" s="832"/>
      <c r="AW45" s="462"/>
      <c r="AX45" s="462"/>
      <c r="AY45" s="462"/>
      <c r="AZ45" s="213"/>
    </row>
    <row r="46" spans="11:61" x14ac:dyDescent="0.25">
      <c r="X46" s="850"/>
      <c r="Z46" s="850"/>
      <c r="AA46" s="15"/>
      <c r="AB46" s="188"/>
      <c r="AC46" s="188"/>
      <c r="AD46" s="462"/>
      <c r="AE46" s="462"/>
      <c r="AF46" s="462"/>
      <c r="AG46" s="462"/>
      <c r="AH46" s="462"/>
      <c r="AI46" s="213"/>
      <c r="AK46" s="15"/>
      <c r="AL46" s="462"/>
      <c r="AM46" s="462"/>
      <c r="AN46" s="462"/>
      <c r="AO46" s="462"/>
      <c r="AP46" s="462"/>
      <c r="AQ46" s="462"/>
      <c r="AR46" s="462"/>
      <c r="AS46" s="213"/>
      <c r="AV46" s="832"/>
      <c r="AW46" s="462"/>
      <c r="AX46" s="462"/>
      <c r="AY46" s="462"/>
      <c r="AZ46" s="213"/>
    </row>
    <row r="47" spans="11:61" x14ac:dyDescent="0.25">
      <c r="X47" s="850"/>
      <c r="Z47" s="850"/>
      <c r="AA47" s="15"/>
      <c r="AB47" s="188"/>
      <c r="AC47" s="188"/>
      <c r="AD47" s="462"/>
      <c r="AE47" s="462"/>
      <c r="AF47" s="462"/>
      <c r="AG47" s="462"/>
      <c r="AH47" s="462"/>
      <c r="AI47" s="213"/>
      <c r="AK47" s="15"/>
      <c r="AL47" s="462"/>
      <c r="AM47" s="462"/>
      <c r="AN47" s="462"/>
      <c r="AO47" s="462"/>
      <c r="AP47" s="462"/>
      <c r="AQ47" s="462"/>
      <c r="AR47" s="462"/>
      <c r="AS47" s="213"/>
      <c r="AV47" s="832"/>
      <c r="AW47" s="462"/>
      <c r="AX47" s="462"/>
      <c r="AY47" s="462"/>
      <c r="AZ47" s="213"/>
    </row>
    <row r="48" spans="11:61" x14ac:dyDescent="0.25">
      <c r="X48" s="850"/>
      <c r="Z48" s="850"/>
      <c r="AA48" s="15"/>
      <c r="AB48" s="188"/>
      <c r="AC48" s="188"/>
      <c r="AD48" s="462"/>
      <c r="AE48" s="462"/>
      <c r="AF48" s="462"/>
      <c r="AG48" s="462"/>
      <c r="AH48" s="462"/>
      <c r="AI48" s="213"/>
      <c r="AK48" s="26"/>
      <c r="AS48" s="213"/>
      <c r="AV48" s="831"/>
      <c r="AZ48" s="213"/>
    </row>
    <row r="49" spans="7:52" x14ac:dyDescent="0.25">
      <c r="X49" s="850"/>
      <c r="Z49" s="850"/>
      <c r="AA49" s="15"/>
      <c r="AB49" s="188"/>
      <c r="AC49" s="188"/>
      <c r="AD49" s="462"/>
      <c r="AE49" s="462"/>
      <c r="AF49" s="462"/>
      <c r="AG49" s="462"/>
      <c r="AH49" s="462"/>
      <c r="AI49" s="213"/>
      <c r="AK49" s="15"/>
      <c r="AL49" s="462"/>
      <c r="AM49" s="462"/>
      <c r="AN49" s="462"/>
      <c r="AO49" s="462"/>
      <c r="AP49" s="462"/>
      <c r="AQ49" s="462"/>
      <c r="AR49" s="462"/>
      <c r="AS49" s="213"/>
      <c r="AT49" s="26"/>
      <c r="AV49" s="832"/>
      <c r="AW49" s="462"/>
      <c r="AX49" s="462"/>
      <c r="AY49" s="462"/>
      <c r="AZ49" s="213"/>
    </row>
    <row r="50" spans="7:52" x14ac:dyDescent="0.25">
      <c r="X50" s="850"/>
      <c r="Z50" s="850"/>
      <c r="AA50" s="15"/>
      <c r="AB50" s="188"/>
      <c r="AC50" s="188"/>
      <c r="AD50" s="462"/>
      <c r="AE50" s="462"/>
      <c r="AF50" s="462"/>
      <c r="AG50" s="462"/>
      <c r="AH50" s="462"/>
      <c r="AI50" s="213"/>
      <c r="AK50" s="15"/>
      <c r="AL50" s="462"/>
      <c r="AM50" s="462"/>
      <c r="AN50" s="462"/>
      <c r="AO50" s="462"/>
      <c r="AP50" s="462"/>
      <c r="AQ50" s="462"/>
      <c r="AR50" s="462"/>
      <c r="AS50" s="213"/>
      <c r="AT50" s="816"/>
      <c r="AV50" s="832"/>
      <c r="AW50" s="462"/>
      <c r="AX50" s="462"/>
      <c r="AY50" s="462"/>
      <c r="AZ50" s="213"/>
    </row>
    <row r="51" spans="7:52" x14ac:dyDescent="0.25">
      <c r="AA51" s="15"/>
      <c r="AB51" s="188"/>
      <c r="AC51" s="188"/>
      <c r="AD51" s="462"/>
      <c r="AE51" s="462"/>
      <c r="AF51" s="462"/>
      <c r="AG51" s="462"/>
      <c r="AH51" s="462"/>
      <c r="AI51" s="213"/>
      <c r="AK51" s="15"/>
      <c r="AL51" s="462"/>
      <c r="AM51" s="462"/>
      <c r="AN51" s="462"/>
      <c r="AO51" s="462"/>
      <c r="AP51" s="462"/>
      <c r="AQ51" s="462"/>
      <c r="AR51" s="462"/>
      <c r="AS51" s="213"/>
      <c r="AT51" s="26"/>
      <c r="AV51" s="832"/>
      <c r="AW51" s="462"/>
      <c r="AX51" s="462"/>
      <c r="AY51" s="462"/>
      <c r="AZ51" s="213"/>
    </row>
    <row r="52" spans="7:52" x14ac:dyDescent="0.25">
      <c r="G52" s="823"/>
      <c r="K52" s="246"/>
      <c r="L52" s="69"/>
      <c r="M52" s="69"/>
      <c r="N52" s="69"/>
      <c r="O52" s="69"/>
      <c r="P52" s="69"/>
      <c r="Q52" s="69"/>
      <c r="R52" s="51"/>
      <c r="AA52" s="15"/>
      <c r="AB52" s="188"/>
      <c r="AC52" s="188"/>
      <c r="AD52" s="462"/>
      <c r="AE52" s="462"/>
      <c r="AF52" s="462"/>
      <c r="AG52" s="462"/>
      <c r="AH52" s="462"/>
      <c r="AI52" s="213"/>
      <c r="AK52" s="15"/>
      <c r="AL52" s="462"/>
      <c r="AM52" s="462"/>
      <c r="AN52" s="462"/>
      <c r="AO52" s="462"/>
      <c r="AP52" s="462"/>
      <c r="AQ52" s="462"/>
      <c r="AR52" s="462"/>
      <c r="AS52" s="213"/>
      <c r="AT52" s="816"/>
      <c r="AV52" s="832"/>
      <c r="AW52" s="462"/>
      <c r="AX52" s="462"/>
      <c r="AY52" s="462"/>
      <c r="AZ52" s="213"/>
    </row>
    <row r="53" spans="7:52" x14ac:dyDescent="0.25">
      <c r="G53" s="823"/>
      <c r="K53" s="246"/>
      <c r="L53" s="69"/>
      <c r="M53" s="69"/>
      <c r="N53" s="69"/>
      <c r="O53" s="69"/>
      <c r="P53" s="69"/>
      <c r="Q53" s="69"/>
      <c r="R53" s="51"/>
      <c r="AA53" s="15"/>
      <c r="AB53" s="188"/>
      <c r="AC53" s="188"/>
      <c r="AD53" s="462"/>
      <c r="AE53" s="462"/>
      <c r="AF53" s="462"/>
      <c r="AG53" s="462"/>
      <c r="AH53" s="462"/>
      <c r="AI53" s="213"/>
      <c r="AK53" s="15"/>
      <c r="AL53" s="462"/>
      <c r="AM53" s="462"/>
      <c r="AN53" s="462"/>
      <c r="AO53" s="462"/>
      <c r="AP53" s="462"/>
      <c r="AQ53" s="462"/>
      <c r="AR53" s="462"/>
      <c r="AS53" s="213"/>
      <c r="AV53" s="832"/>
      <c r="AW53" s="462"/>
      <c r="AX53" s="462"/>
      <c r="AY53" s="462"/>
      <c r="AZ53" s="213"/>
    </row>
    <row r="54" spans="7:52" x14ac:dyDescent="0.25">
      <c r="K54" s="246"/>
      <c r="L54" s="69"/>
      <c r="M54" s="69"/>
      <c r="N54" s="69"/>
      <c r="O54" s="69"/>
      <c r="P54" s="69"/>
      <c r="Q54" s="69"/>
      <c r="AA54" s="15"/>
      <c r="AB54" s="188"/>
      <c r="AC54" s="188"/>
      <c r="AD54" s="462"/>
      <c r="AE54" s="462"/>
      <c r="AF54" s="462"/>
      <c r="AG54" s="462"/>
      <c r="AH54" s="462"/>
      <c r="AI54" s="213"/>
      <c r="AK54" s="15"/>
      <c r="AL54" s="462"/>
      <c r="AM54" s="462"/>
      <c r="AN54" s="462"/>
      <c r="AO54" s="462"/>
      <c r="AP54" s="462"/>
      <c r="AQ54" s="462"/>
      <c r="AR54" s="462"/>
      <c r="AS54" s="213"/>
      <c r="AV54" s="832"/>
      <c r="AW54" s="462"/>
      <c r="AX54" s="462"/>
      <c r="AY54" s="462"/>
      <c r="AZ54" s="213"/>
    </row>
    <row r="55" spans="7:52" x14ac:dyDescent="0.25">
      <c r="K55" s="246"/>
      <c r="L55" s="69"/>
      <c r="M55" s="69"/>
      <c r="N55" s="69"/>
      <c r="O55" s="69"/>
      <c r="P55" s="69"/>
      <c r="Q55" s="69"/>
      <c r="AA55" s="15"/>
      <c r="AB55" s="188"/>
      <c r="AC55" s="188"/>
      <c r="AD55" s="462"/>
      <c r="AE55" s="462"/>
      <c r="AF55" s="462"/>
      <c r="AG55" s="462"/>
      <c r="AH55" s="462"/>
      <c r="AI55" s="213"/>
      <c r="AK55" s="26"/>
      <c r="AS55" s="213"/>
      <c r="AV55" s="831"/>
      <c r="AZ55" s="213"/>
    </row>
    <row r="56" spans="7:52" x14ac:dyDescent="0.25">
      <c r="K56" s="246"/>
      <c r="L56" s="69"/>
      <c r="M56" s="69"/>
      <c r="N56" s="69"/>
      <c r="O56" s="69"/>
      <c r="P56" s="69"/>
      <c r="Q56" s="69"/>
      <c r="AA56" s="26"/>
      <c r="AI56" s="213"/>
      <c r="AK56" s="15"/>
      <c r="AL56" s="462"/>
      <c r="AM56" s="462"/>
      <c r="AN56" s="462"/>
      <c r="AO56" s="462"/>
      <c r="AP56" s="462"/>
      <c r="AQ56" s="462"/>
      <c r="AR56" s="462"/>
      <c r="AS56" s="213"/>
      <c r="AT56" s="26"/>
      <c r="AV56" s="832"/>
      <c r="AW56" s="462"/>
      <c r="AX56" s="462"/>
      <c r="AY56" s="462"/>
      <c r="AZ56" s="213"/>
    </row>
    <row r="57" spans="7:52" x14ac:dyDescent="0.25">
      <c r="K57" s="246"/>
      <c r="L57" s="69"/>
      <c r="M57" s="69"/>
      <c r="N57" s="69"/>
      <c r="O57" s="69"/>
      <c r="P57" s="69"/>
      <c r="Q57" s="69"/>
      <c r="AA57" s="15"/>
      <c r="AB57" s="188"/>
      <c r="AC57" s="188"/>
      <c r="AD57" s="462"/>
      <c r="AE57" s="462"/>
      <c r="AF57" s="462"/>
      <c r="AG57" s="462"/>
      <c r="AH57" s="462"/>
      <c r="AI57" s="213"/>
      <c r="AK57" s="15"/>
      <c r="AL57" s="462"/>
      <c r="AM57" s="462"/>
      <c r="AN57" s="462"/>
      <c r="AO57" s="462"/>
      <c r="AP57" s="462"/>
      <c r="AQ57" s="462"/>
      <c r="AR57" s="462"/>
      <c r="AS57" s="213"/>
      <c r="AT57" s="816"/>
      <c r="AU57" s="213"/>
      <c r="AV57" s="832"/>
      <c r="AW57" s="462"/>
      <c r="AX57" s="462"/>
      <c r="AY57" s="462"/>
      <c r="AZ57" s="213"/>
    </row>
    <row r="58" spans="7:52" x14ac:dyDescent="0.25">
      <c r="K58" s="246"/>
      <c r="L58" s="69"/>
      <c r="M58" s="69"/>
      <c r="N58" s="69"/>
      <c r="O58" s="69"/>
      <c r="P58" s="69"/>
      <c r="Q58" s="69"/>
      <c r="AA58" s="15"/>
      <c r="AB58" s="188"/>
      <c r="AC58" s="188"/>
      <c r="AD58" s="462"/>
      <c r="AE58" s="462"/>
      <c r="AF58" s="462"/>
      <c r="AG58" s="462"/>
      <c r="AH58" s="462"/>
      <c r="AI58" s="213"/>
      <c r="AK58" s="15"/>
      <c r="AL58" s="462"/>
      <c r="AM58" s="462"/>
      <c r="AN58" s="462"/>
      <c r="AO58" s="462"/>
      <c r="AP58" s="462"/>
      <c r="AQ58" s="462"/>
      <c r="AR58" s="462"/>
      <c r="AS58" s="213"/>
      <c r="AT58" s="26"/>
      <c r="AU58" s="213"/>
      <c r="AV58" s="832"/>
      <c r="AW58" s="462"/>
      <c r="AX58" s="462"/>
      <c r="AY58" s="462"/>
      <c r="AZ58" s="213"/>
    </row>
    <row r="59" spans="7:52" x14ac:dyDescent="0.25">
      <c r="K59" s="246"/>
      <c r="L59" s="69"/>
      <c r="M59" s="69"/>
      <c r="N59" s="69"/>
      <c r="O59" s="69"/>
      <c r="P59" s="69"/>
      <c r="Q59" s="69"/>
      <c r="AA59" s="15"/>
      <c r="AB59" s="188"/>
      <c r="AC59" s="188"/>
      <c r="AD59" s="462"/>
      <c r="AE59" s="462"/>
      <c r="AF59" s="462"/>
      <c r="AG59" s="462"/>
      <c r="AH59" s="462"/>
      <c r="AI59" s="213"/>
      <c r="AK59" s="15"/>
      <c r="AL59" s="462"/>
      <c r="AM59" s="462"/>
      <c r="AN59" s="462"/>
      <c r="AO59" s="462"/>
      <c r="AP59" s="462"/>
      <c r="AQ59" s="462"/>
      <c r="AR59" s="462"/>
      <c r="AS59" s="213"/>
      <c r="AT59" s="816"/>
      <c r="AV59" s="832"/>
      <c r="AW59" s="462"/>
      <c r="AX59" s="462"/>
      <c r="AY59" s="462"/>
      <c r="AZ59" s="213"/>
    </row>
    <row r="60" spans="7:52" x14ac:dyDescent="0.25">
      <c r="K60" s="246"/>
      <c r="L60" s="69"/>
      <c r="M60" s="69"/>
      <c r="N60" s="69"/>
      <c r="O60" s="69"/>
      <c r="P60" s="69"/>
      <c r="Q60" s="69"/>
      <c r="AA60" s="15"/>
      <c r="AB60" s="188"/>
      <c r="AC60" s="188"/>
      <c r="AD60" s="462"/>
      <c r="AE60" s="462"/>
      <c r="AF60" s="462"/>
      <c r="AG60" s="462"/>
      <c r="AH60" s="462"/>
      <c r="AI60" s="213"/>
      <c r="AK60" s="15"/>
      <c r="AL60" s="462"/>
      <c r="AM60" s="462"/>
      <c r="AN60" s="462"/>
      <c r="AO60" s="462"/>
      <c r="AP60" s="462"/>
      <c r="AQ60" s="462"/>
      <c r="AR60" s="462"/>
      <c r="AS60" s="213"/>
      <c r="AV60" s="832"/>
      <c r="AW60" s="462"/>
      <c r="AX60" s="462"/>
      <c r="AY60" s="462"/>
      <c r="AZ60" s="213"/>
    </row>
    <row r="61" spans="7:52" x14ac:dyDescent="0.25">
      <c r="K61" s="246"/>
      <c r="L61" s="69"/>
      <c r="M61" s="69"/>
      <c r="N61" s="69"/>
      <c r="O61" s="69"/>
      <c r="P61" s="69"/>
      <c r="Q61" s="69"/>
      <c r="AA61" s="15"/>
      <c r="AB61" s="188"/>
      <c r="AC61" s="188"/>
      <c r="AD61" s="462"/>
      <c r="AE61" s="462"/>
      <c r="AF61" s="462"/>
      <c r="AG61" s="462"/>
      <c r="AH61" s="462"/>
      <c r="AI61" s="213"/>
      <c r="AK61" s="15"/>
      <c r="AL61" s="462"/>
      <c r="AM61" s="462"/>
      <c r="AN61" s="462"/>
      <c r="AO61" s="462"/>
      <c r="AP61" s="462"/>
      <c r="AQ61" s="462"/>
      <c r="AR61" s="462"/>
      <c r="AS61" s="213"/>
      <c r="AV61" s="832"/>
      <c r="AW61" s="462"/>
      <c r="AX61" s="462"/>
      <c r="AY61" s="462"/>
      <c r="AZ61" s="213"/>
    </row>
    <row r="62" spans="7:52" x14ac:dyDescent="0.25">
      <c r="K62" s="246"/>
      <c r="L62" s="69"/>
      <c r="M62" s="69"/>
      <c r="N62" s="69"/>
      <c r="O62" s="69"/>
      <c r="P62" s="69"/>
      <c r="Q62" s="69"/>
      <c r="AA62" s="15"/>
      <c r="AB62" s="188"/>
      <c r="AC62" s="188"/>
      <c r="AD62" s="462"/>
      <c r="AE62" s="462"/>
      <c r="AF62" s="462"/>
      <c r="AG62" s="462"/>
      <c r="AH62" s="462"/>
      <c r="AI62" s="213"/>
      <c r="AK62" s="73"/>
    </row>
    <row r="63" spans="7:52" x14ac:dyDescent="0.25">
      <c r="K63" s="246"/>
      <c r="L63" s="69"/>
      <c r="M63" s="69"/>
      <c r="N63" s="69"/>
      <c r="O63" s="69"/>
      <c r="P63" s="69"/>
      <c r="Q63" s="69"/>
      <c r="AA63" s="15"/>
      <c r="AB63" s="188"/>
      <c r="AC63" s="188"/>
      <c r="AD63" s="462"/>
      <c r="AE63" s="462"/>
      <c r="AF63" s="462"/>
      <c r="AG63" s="462"/>
      <c r="AH63" s="462"/>
      <c r="AI63" s="213"/>
    </row>
    <row r="64" spans="7:52" ht="15.75" x14ac:dyDescent="0.25">
      <c r="K64" s="246"/>
      <c r="L64" s="69"/>
      <c r="M64" s="69"/>
      <c r="N64" s="69"/>
      <c r="O64" s="69"/>
      <c r="P64" s="69"/>
      <c r="Q64" s="69"/>
      <c r="AA64" s="15"/>
      <c r="AB64" s="188"/>
      <c r="AC64" s="188"/>
      <c r="AD64" s="462"/>
      <c r="AE64" s="462"/>
      <c r="AF64" s="462"/>
      <c r="AG64" s="462"/>
      <c r="AH64" s="462"/>
      <c r="AI64" s="213"/>
      <c r="AK64" s="154"/>
    </row>
    <row r="65" spans="7:44" x14ac:dyDescent="0.25">
      <c r="K65" s="246"/>
      <c r="L65" s="69"/>
      <c r="M65" s="69"/>
      <c r="N65" s="69"/>
      <c r="O65" s="69"/>
      <c r="P65" s="69"/>
      <c r="Q65" s="69"/>
      <c r="AA65" s="15"/>
      <c r="AB65" s="188"/>
      <c r="AC65" s="188"/>
      <c r="AD65" s="462"/>
      <c r="AE65" s="462"/>
      <c r="AF65" s="462"/>
      <c r="AG65" s="462"/>
      <c r="AH65" s="462"/>
      <c r="AI65" s="213"/>
      <c r="AK65" s="26"/>
      <c r="AL65" s="26"/>
      <c r="AM65" s="26"/>
      <c r="AN65" s="26"/>
      <c r="AO65" s="26"/>
      <c r="AP65" s="26"/>
      <c r="AQ65" s="26"/>
      <c r="AR65" s="26"/>
    </row>
    <row r="66" spans="7:44" x14ac:dyDescent="0.25">
      <c r="K66" s="246"/>
      <c r="L66" s="69"/>
      <c r="M66" s="69"/>
      <c r="N66" s="69"/>
      <c r="O66" s="69"/>
      <c r="P66" s="69"/>
      <c r="Q66" s="69"/>
      <c r="AA66" s="15"/>
      <c r="AB66" s="188"/>
      <c r="AC66" s="188"/>
      <c r="AD66" s="462"/>
      <c r="AE66" s="462"/>
      <c r="AF66" s="462"/>
      <c r="AG66" s="462"/>
      <c r="AH66" s="462"/>
      <c r="AI66" s="213"/>
      <c r="AK66" s="26"/>
      <c r="AL66" s="742"/>
      <c r="AM66" s="742"/>
      <c r="AN66" s="742"/>
      <c r="AO66" s="742"/>
      <c r="AP66" s="742"/>
      <c r="AQ66" s="742"/>
      <c r="AR66" s="742"/>
    </row>
    <row r="67" spans="7:44" x14ac:dyDescent="0.25">
      <c r="K67" s="246"/>
      <c r="L67" s="69"/>
      <c r="M67" s="69"/>
      <c r="N67" s="69"/>
      <c r="O67" s="69"/>
      <c r="P67" s="69"/>
      <c r="Q67" s="69"/>
      <c r="AA67" s="15"/>
      <c r="AB67" s="188"/>
      <c r="AC67" s="188"/>
      <c r="AD67" s="462"/>
      <c r="AE67" s="462"/>
      <c r="AF67" s="462"/>
      <c r="AG67" s="462"/>
      <c r="AH67" s="462"/>
      <c r="AI67" s="213"/>
      <c r="AK67" s="58"/>
      <c r="AN67" s="742"/>
      <c r="AO67" s="833"/>
    </row>
    <row r="68" spans="7:44" x14ac:dyDescent="0.25">
      <c r="K68" s="246"/>
      <c r="L68" s="69"/>
      <c r="M68" s="69"/>
      <c r="N68" s="69"/>
      <c r="O68" s="69"/>
      <c r="P68" s="69"/>
      <c r="Q68" s="69"/>
      <c r="AA68" s="15"/>
      <c r="AB68" s="188"/>
      <c r="AC68" s="188"/>
      <c r="AD68" s="462"/>
      <c r="AE68" s="462"/>
      <c r="AF68" s="462"/>
      <c r="AG68" s="462"/>
      <c r="AH68" s="462"/>
      <c r="AI68" s="213"/>
    </row>
    <row r="69" spans="7:44" ht="15.75" x14ac:dyDescent="0.25">
      <c r="K69" s="246"/>
      <c r="L69" s="69"/>
      <c r="M69" s="69"/>
      <c r="N69" s="69"/>
      <c r="O69" s="69"/>
      <c r="P69" s="69"/>
      <c r="Q69" s="69"/>
      <c r="AL69" s="154"/>
      <c r="AM69" s="154"/>
      <c r="AN69" s="154"/>
      <c r="AO69" s="154"/>
      <c r="AP69" s="154"/>
      <c r="AQ69" s="154"/>
      <c r="AR69" s="154"/>
    </row>
    <row r="70" spans="7:44" x14ac:dyDescent="0.25">
      <c r="K70" s="246"/>
      <c r="L70" s="69"/>
      <c r="M70" s="69"/>
      <c r="N70" s="69"/>
      <c r="O70" s="69"/>
      <c r="P70" s="69"/>
      <c r="Q70" s="69"/>
      <c r="AL70" s="26"/>
      <c r="AM70" s="26"/>
      <c r="AN70" s="26"/>
      <c r="AO70" s="26"/>
      <c r="AP70" s="26"/>
      <c r="AQ70" s="26"/>
      <c r="AR70" s="26"/>
    </row>
    <row r="71" spans="7:44" x14ac:dyDescent="0.25">
      <c r="K71" s="246"/>
      <c r="L71" s="69"/>
      <c r="M71" s="69"/>
      <c r="N71" s="69"/>
      <c r="O71" s="69"/>
      <c r="P71" s="69"/>
      <c r="Q71" s="69"/>
      <c r="AL71" s="830"/>
      <c r="AM71" s="830"/>
      <c r="AN71" s="830"/>
      <c r="AO71" s="830"/>
      <c r="AP71" s="830"/>
      <c r="AQ71" s="830"/>
      <c r="AR71" s="830"/>
    </row>
    <row r="72" spans="7:44" x14ac:dyDescent="0.25">
      <c r="K72" s="246"/>
      <c r="L72" s="69"/>
      <c r="M72" s="69"/>
      <c r="N72" s="69"/>
      <c r="O72" s="69"/>
      <c r="P72" s="69"/>
      <c r="Q72" s="69"/>
      <c r="AL72" s="830"/>
      <c r="AM72" s="830"/>
      <c r="AN72" s="830"/>
      <c r="AO72" s="830"/>
      <c r="AP72" s="830"/>
      <c r="AQ72" s="830"/>
      <c r="AR72" s="830"/>
    </row>
    <row r="73" spans="7:44" x14ac:dyDescent="0.25">
      <c r="K73" s="246"/>
      <c r="L73" s="69"/>
      <c r="M73" s="69"/>
      <c r="N73" s="69"/>
      <c r="O73" s="69"/>
      <c r="P73" s="69"/>
      <c r="Q73" s="69"/>
    </row>
    <row r="74" spans="7:44" x14ac:dyDescent="0.25">
      <c r="K74" s="246"/>
      <c r="L74" s="69"/>
      <c r="M74" s="69"/>
      <c r="N74" s="69"/>
      <c r="O74" s="69"/>
      <c r="P74" s="69"/>
      <c r="Q74" s="69"/>
    </row>
    <row r="75" spans="7:44" x14ac:dyDescent="0.25">
      <c r="G75" s="823"/>
      <c r="K75" s="246"/>
      <c r="L75" s="69"/>
      <c r="M75" s="69"/>
      <c r="N75" s="69"/>
      <c r="O75" s="69"/>
      <c r="P75" s="69"/>
      <c r="Q75" s="69"/>
    </row>
    <row r="76" spans="7:44" x14ac:dyDescent="0.25">
      <c r="G76" s="823"/>
      <c r="K76" s="246"/>
      <c r="L76" s="69"/>
      <c r="M76" s="69"/>
      <c r="N76" s="69"/>
      <c r="O76" s="69"/>
      <c r="P76" s="69"/>
      <c r="Q76" s="69"/>
    </row>
    <row r="77" spans="7:44" x14ac:dyDescent="0.25">
      <c r="G77" s="823"/>
      <c r="K77" s="825"/>
      <c r="L77" s="826"/>
      <c r="M77" s="826"/>
      <c r="N77" s="826"/>
      <c r="O77" s="826"/>
      <c r="P77" s="826"/>
      <c r="Q77" s="826"/>
    </row>
    <row r="78" spans="7:44" x14ac:dyDescent="0.25">
      <c r="G78" s="823"/>
      <c r="K78" s="825"/>
      <c r="L78" s="826"/>
      <c r="M78" s="826"/>
      <c r="N78" s="826"/>
      <c r="O78" s="826"/>
      <c r="P78" s="826"/>
      <c r="Q78" s="826"/>
    </row>
    <row r="79" spans="7:44" x14ac:dyDescent="0.25">
      <c r="G79" s="823"/>
      <c r="K79" s="246"/>
      <c r="L79" s="69"/>
      <c r="M79" s="69"/>
      <c r="N79" s="69"/>
      <c r="O79" s="69"/>
      <c r="P79" s="69"/>
      <c r="Q79" s="69"/>
    </row>
    <row r="80" spans="7:44" x14ac:dyDescent="0.25">
      <c r="G80" s="823"/>
      <c r="K80" s="246"/>
      <c r="L80" s="69"/>
      <c r="M80" s="69"/>
      <c r="N80" s="69"/>
      <c r="O80" s="69"/>
      <c r="P80" s="69"/>
      <c r="Q80" s="69"/>
    </row>
    <row r="81" spans="7:35" x14ac:dyDescent="0.25">
      <c r="G81" s="823"/>
      <c r="K81" s="246"/>
      <c r="L81" s="69"/>
      <c r="M81" s="69"/>
      <c r="N81" s="69"/>
      <c r="O81" s="69"/>
      <c r="P81" s="69"/>
      <c r="Q81" s="69"/>
    </row>
    <row r="82" spans="7:35" x14ac:dyDescent="0.25">
      <c r="G82" s="823"/>
      <c r="K82" s="246"/>
      <c r="L82" s="69"/>
      <c r="M82" s="69"/>
      <c r="N82" s="69"/>
      <c r="O82" s="69"/>
      <c r="P82" s="69"/>
      <c r="Q82" s="69"/>
    </row>
    <row r="83" spans="7:35" x14ac:dyDescent="0.25">
      <c r="G83" s="823"/>
      <c r="K83" s="246"/>
      <c r="L83" s="69"/>
      <c r="M83" s="69"/>
      <c r="N83" s="69"/>
      <c r="O83" s="69"/>
      <c r="P83" s="69"/>
      <c r="Q83" s="69"/>
    </row>
    <row r="84" spans="7:35" x14ac:dyDescent="0.25">
      <c r="G84" s="823"/>
      <c r="K84" s="246"/>
      <c r="L84" s="69"/>
      <c r="M84" s="69"/>
      <c r="N84" s="69"/>
      <c r="O84" s="69"/>
      <c r="P84" s="69"/>
      <c r="Q84" s="69"/>
    </row>
    <row r="85" spans="7:35" x14ac:dyDescent="0.25">
      <c r="G85" s="823"/>
      <c r="K85" s="246"/>
      <c r="L85" s="69"/>
      <c r="M85" s="69"/>
      <c r="N85" s="69"/>
      <c r="O85" s="69"/>
      <c r="P85" s="69"/>
      <c r="Q85" s="69"/>
    </row>
    <row r="86" spans="7:35" x14ac:dyDescent="0.25">
      <c r="G86" s="823"/>
      <c r="K86" s="246"/>
      <c r="L86" s="69"/>
      <c r="M86" s="69"/>
      <c r="N86" s="69"/>
      <c r="O86" s="69"/>
      <c r="P86" s="69"/>
      <c r="Q86" s="69"/>
      <c r="AA86" s="15"/>
      <c r="AB86" s="188"/>
      <c r="AC86" s="188"/>
      <c r="AD86" s="462"/>
      <c r="AE86" s="462"/>
      <c r="AF86" s="462"/>
      <c r="AG86" s="462"/>
      <c r="AH86" s="462"/>
      <c r="AI86" s="213"/>
    </row>
    <row r="87" spans="7:35" x14ac:dyDescent="0.25">
      <c r="G87" s="823"/>
      <c r="K87" s="246"/>
      <c r="L87" s="69"/>
      <c r="M87" s="69"/>
      <c r="N87" s="69"/>
      <c r="O87" s="69"/>
      <c r="P87" s="69"/>
      <c r="Q87" s="69"/>
      <c r="AA87" s="26"/>
      <c r="AB87" s="188"/>
      <c r="AC87" s="188"/>
      <c r="AD87" s="462"/>
      <c r="AE87" s="462"/>
      <c r="AF87" s="462"/>
      <c r="AG87" s="462"/>
      <c r="AH87" s="462"/>
      <c r="AI87" s="213"/>
    </row>
    <row r="88" spans="7:35" x14ac:dyDescent="0.25">
      <c r="G88" s="823"/>
      <c r="K88" s="246"/>
      <c r="L88" s="69"/>
      <c r="M88" s="69"/>
      <c r="N88" s="69"/>
      <c r="O88" s="69"/>
      <c r="P88" s="69"/>
      <c r="Q88" s="69"/>
      <c r="AA88" s="15"/>
      <c r="AB88" s="188"/>
      <c r="AC88" s="188"/>
      <c r="AD88" s="462"/>
      <c r="AE88" s="462"/>
      <c r="AF88" s="462"/>
      <c r="AG88" s="462"/>
      <c r="AH88" s="462"/>
      <c r="AI88" s="213"/>
    </row>
    <row r="89" spans="7:35" x14ac:dyDescent="0.25">
      <c r="G89" s="823"/>
      <c r="K89" s="246"/>
      <c r="L89" s="69"/>
      <c r="M89" s="69"/>
      <c r="N89" s="69"/>
      <c r="O89" s="69"/>
      <c r="P89" s="69"/>
      <c r="Q89" s="69"/>
      <c r="AA89" s="15"/>
      <c r="AB89" s="188"/>
      <c r="AC89" s="188"/>
      <c r="AD89" s="188"/>
      <c r="AE89" s="188"/>
      <c r="AF89" s="188"/>
      <c r="AG89" s="188"/>
      <c r="AH89" s="188"/>
      <c r="AI89" s="81"/>
    </row>
    <row r="90" spans="7:35" x14ac:dyDescent="0.25">
      <c r="G90" s="823"/>
      <c r="K90" s="246"/>
      <c r="L90" s="69"/>
      <c r="M90" s="69"/>
      <c r="N90" s="69"/>
      <c r="O90" s="69"/>
      <c r="P90" s="69"/>
      <c r="Q90" s="69"/>
      <c r="AA90" s="15"/>
      <c r="AB90" s="188"/>
      <c r="AC90" s="188"/>
      <c r="AD90" s="188"/>
      <c r="AE90" s="188"/>
      <c r="AF90" s="188"/>
      <c r="AG90" s="188"/>
      <c r="AH90" s="188"/>
      <c r="AI90" s="81"/>
    </row>
    <row r="91" spans="7:35" x14ac:dyDescent="0.25">
      <c r="G91" s="823"/>
      <c r="K91" s="246"/>
      <c r="L91" s="69"/>
      <c r="M91" s="69"/>
      <c r="N91" s="69"/>
      <c r="O91" s="69"/>
      <c r="P91" s="69"/>
      <c r="Q91" s="69"/>
      <c r="AA91" s="15"/>
      <c r="AB91" s="188"/>
      <c r="AC91" s="188"/>
      <c r="AD91" s="188"/>
      <c r="AE91" s="188"/>
      <c r="AF91" s="188"/>
      <c r="AG91" s="188"/>
      <c r="AH91" s="188"/>
      <c r="AI91" s="81"/>
    </row>
    <row r="92" spans="7:35" x14ac:dyDescent="0.25">
      <c r="G92" s="823"/>
      <c r="K92" s="246"/>
      <c r="L92" s="69"/>
      <c r="M92" s="69"/>
      <c r="N92" s="69"/>
      <c r="O92" s="69"/>
      <c r="P92" s="69"/>
      <c r="Q92" s="69"/>
      <c r="AA92" s="15"/>
      <c r="AB92" s="188"/>
      <c r="AC92" s="188"/>
      <c r="AD92" s="188"/>
      <c r="AE92" s="188"/>
      <c r="AF92" s="188"/>
      <c r="AG92" s="188"/>
      <c r="AH92" s="188"/>
      <c r="AI92" s="81"/>
    </row>
    <row r="93" spans="7:35" x14ac:dyDescent="0.25">
      <c r="G93" s="823"/>
      <c r="K93" s="246"/>
      <c r="L93" s="69"/>
      <c r="M93" s="69"/>
      <c r="N93" s="69"/>
      <c r="O93" s="69"/>
      <c r="P93" s="69"/>
      <c r="Q93" s="69"/>
      <c r="AA93" s="15"/>
      <c r="AB93" s="188"/>
      <c r="AC93" s="188"/>
      <c r="AD93" s="188"/>
      <c r="AE93" s="188"/>
      <c r="AF93" s="188"/>
      <c r="AG93" s="188"/>
      <c r="AH93" s="188"/>
      <c r="AI93" s="81"/>
    </row>
    <row r="94" spans="7:35" x14ac:dyDescent="0.25">
      <c r="G94" s="823"/>
      <c r="K94" s="246"/>
      <c r="L94" s="69"/>
      <c r="M94" s="69"/>
      <c r="N94" s="69"/>
      <c r="O94" s="69"/>
      <c r="P94" s="69"/>
      <c r="Q94" s="69"/>
      <c r="AA94" s="15"/>
      <c r="AB94" s="188"/>
      <c r="AC94" s="188"/>
      <c r="AD94" s="188"/>
      <c r="AE94" s="188"/>
      <c r="AF94" s="188"/>
      <c r="AG94" s="188"/>
      <c r="AH94" s="188"/>
      <c r="AI94" s="81"/>
    </row>
    <row r="95" spans="7:35" x14ac:dyDescent="0.25">
      <c r="G95" s="823"/>
      <c r="K95" s="246"/>
      <c r="L95" s="69"/>
      <c r="M95" s="69"/>
      <c r="N95" s="69"/>
      <c r="O95" s="69"/>
      <c r="P95" s="69"/>
      <c r="Q95" s="69"/>
      <c r="AA95" s="26"/>
      <c r="AB95" s="188"/>
      <c r="AC95" s="188"/>
      <c r="AD95" s="188"/>
      <c r="AE95" s="188"/>
      <c r="AF95" s="188"/>
      <c r="AG95" s="188"/>
      <c r="AH95" s="188"/>
      <c r="AI95" s="81"/>
    </row>
    <row r="96" spans="7:35" x14ac:dyDescent="0.25">
      <c r="G96" s="823"/>
      <c r="K96" s="246"/>
      <c r="L96" s="69"/>
      <c r="M96" s="69"/>
      <c r="N96" s="69"/>
      <c r="O96" s="69"/>
      <c r="P96" s="69"/>
      <c r="Q96" s="69"/>
      <c r="AA96" s="15"/>
      <c r="AB96" s="188"/>
      <c r="AC96" s="188"/>
      <c r="AD96" s="188"/>
      <c r="AE96" s="188"/>
      <c r="AF96" s="188"/>
      <c r="AG96" s="188"/>
      <c r="AH96" s="188"/>
      <c r="AI96" s="81"/>
    </row>
    <row r="97" spans="7:35" x14ac:dyDescent="0.25">
      <c r="G97" s="823"/>
      <c r="K97" s="246"/>
      <c r="L97" s="69"/>
      <c r="M97" s="69"/>
      <c r="N97" s="69"/>
      <c r="O97" s="69"/>
      <c r="P97" s="69"/>
      <c r="Q97" s="69"/>
      <c r="AA97" s="15"/>
      <c r="AB97" s="188"/>
      <c r="AC97" s="188"/>
      <c r="AD97" s="188"/>
      <c r="AE97" s="188"/>
      <c r="AF97" s="188"/>
      <c r="AG97" s="188"/>
      <c r="AH97" s="188"/>
      <c r="AI97" s="81"/>
    </row>
    <row r="98" spans="7:35" x14ac:dyDescent="0.25">
      <c r="G98" s="823"/>
      <c r="K98" s="246"/>
      <c r="L98" s="69"/>
      <c r="M98" s="69"/>
      <c r="N98" s="69"/>
      <c r="O98" s="69"/>
      <c r="P98" s="69"/>
      <c r="Q98" s="106"/>
      <c r="R98" s="49"/>
      <c r="AA98" s="15"/>
      <c r="AB98" s="188"/>
      <c r="AC98" s="188"/>
      <c r="AD98" s="188"/>
      <c r="AE98" s="188"/>
      <c r="AF98" s="188"/>
      <c r="AG98" s="188"/>
      <c r="AH98" s="188"/>
      <c r="AI98" s="81"/>
    </row>
    <row r="99" spans="7:35" x14ac:dyDescent="0.25">
      <c r="G99" s="823"/>
      <c r="K99" s="246"/>
      <c r="L99" s="69"/>
      <c r="M99" s="69"/>
      <c r="N99" s="69"/>
      <c r="O99" s="69"/>
      <c r="P99" s="69"/>
      <c r="Q99" s="106"/>
      <c r="R99" s="49"/>
      <c r="AA99" s="15"/>
      <c r="AB99" s="188"/>
      <c r="AC99" s="188"/>
      <c r="AD99" s="188"/>
      <c r="AE99" s="188"/>
      <c r="AF99" s="188"/>
      <c r="AG99" s="188"/>
      <c r="AH99" s="188"/>
      <c r="AI99" s="81"/>
    </row>
    <row r="100" spans="7:35" x14ac:dyDescent="0.25">
      <c r="G100" s="823"/>
      <c r="Q100" s="49"/>
      <c r="R100" s="49"/>
      <c r="AA100" s="15"/>
      <c r="AB100" s="188"/>
      <c r="AC100" s="188"/>
      <c r="AD100" s="188"/>
      <c r="AE100" s="188"/>
      <c r="AF100" s="188"/>
      <c r="AG100" s="188"/>
      <c r="AH100" s="188"/>
      <c r="AI100" s="81"/>
    </row>
    <row r="101" spans="7:35" x14ac:dyDescent="0.25">
      <c r="G101" s="823"/>
      <c r="Q101" s="49"/>
      <c r="R101" s="49"/>
      <c r="AA101" s="15"/>
      <c r="AB101" s="188"/>
      <c r="AC101" s="188"/>
      <c r="AD101" s="188"/>
      <c r="AE101" s="188"/>
      <c r="AF101" s="188"/>
      <c r="AG101" s="188"/>
      <c r="AH101" s="188"/>
      <c r="AI101" s="81"/>
    </row>
    <row r="102" spans="7:35" x14ac:dyDescent="0.25">
      <c r="K102" s="246"/>
      <c r="L102" s="69"/>
      <c r="M102" s="69"/>
      <c r="N102" s="69"/>
      <c r="O102" s="69"/>
      <c r="P102" s="69"/>
      <c r="Q102" s="69"/>
      <c r="AA102" s="15"/>
      <c r="AB102" s="188"/>
      <c r="AC102" s="188"/>
      <c r="AD102" s="188"/>
      <c r="AE102" s="188"/>
      <c r="AF102" s="188"/>
      <c r="AG102" s="188"/>
      <c r="AH102" s="188"/>
      <c r="AI102" s="81"/>
    </row>
    <row r="103" spans="7:35" x14ac:dyDescent="0.25">
      <c r="K103" s="246"/>
      <c r="L103" s="69"/>
      <c r="M103" s="69"/>
      <c r="N103" s="69"/>
      <c r="O103" s="69"/>
      <c r="P103" s="69"/>
      <c r="Q103" s="69"/>
      <c r="AA103" s="26"/>
      <c r="AB103" s="188"/>
      <c r="AC103" s="188"/>
      <c r="AD103" s="188"/>
      <c r="AE103" s="188"/>
      <c r="AF103" s="188"/>
      <c r="AG103" s="188"/>
      <c r="AH103" s="188"/>
      <c r="AI103" s="81"/>
    </row>
    <row r="104" spans="7:35" x14ac:dyDescent="0.25">
      <c r="K104" s="246"/>
      <c r="L104" s="69"/>
      <c r="M104" s="69"/>
      <c r="N104" s="69"/>
      <c r="O104" s="69"/>
      <c r="P104" s="69"/>
      <c r="Q104" s="69"/>
      <c r="AA104" s="15"/>
      <c r="AB104" s="188"/>
      <c r="AC104" s="188"/>
      <c r="AD104" s="188"/>
      <c r="AE104" s="188"/>
      <c r="AF104" s="188"/>
      <c r="AG104" s="188"/>
      <c r="AH104" s="188"/>
      <c r="AI104" s="81"/>
    </row>
    <row r="105" spans="7:35" x14ac:dyDescent="0.25">
      <c r="K105" s="246"/>
      <c r="L105" s="69"/>
      <c r="M105" s="69"/>
      <c r="N105" s="69"/>
      <c r="O105" s="69"/>
      <c r="P105" s="69"/>
      <c r="Q105" s="69"/>
      <c r="AA105" s="15"/>
      <c r="AB105" s="188"/>
      <c r="AC105" s="188"/>
      <c r="AD105" s="188"/>
      <c r="AE105" s="188"/>
      <c r="AF105" s="188"/>
      <c r="AG105" s="188"/>
      <c r="AH105" s="188"/>
      <c r="AI105" s="81"/>
    </row>
    <row r="106" spans="7:35" x14ac:dyDescent="0.25">
      <c r="K106" s="246"/>
      <c r="L106" s="69"/>
      <c r="M106" s="69"/>
      <c r="N106" s="69"/>
      <c r="O106" s="69"/>
      <c r="P106" s="69"/>
      <c r="Q106" s="69"/>
      <c r="AA106" s="15"/>
      <c r="AB106" s="188"/>
      <c r="AC106" s="188"/>
      <c r="AD106" s="188"/>
      <c r="AE106" s="188"/>
      <c r="AF106" s="188"/>
      <c r="AG106" s="188"/>
      <c r="AH106" s="188"/>
      <c r="AI106" s="81"/>
    </row>
    <row r="107" spans="7:35" x14ac:dyDescent="0.25">
      <c r="K107" s="246"/>
      <c r="L107" s="69"/>
      <c r="M107" s="69"/>
      <c r="N107" s="69"/>
      <c r="O107" s="69"/>
      <c r="P107" s="69"/>
      <c r="Q107" s="69"/>
      <c r="AA107" s="15"/>
      <c r="AB107" s="188"/>
      <c r="AC107" s="188"/>
      <c r="AD107" s="188"/>
      <c r="AE107" s="188"/>
      <c r="AF107" s="188"/>
      <c r="AG107" s="188"/>
      <c r="AH107" s="188"/>
      <c r="AI107" s="81"/>
    </row>
    <row r="108" spans="7:35" x14ac:dyDescent="0.25">
      <c r="K108" s="246"/>
      <c r="L108" s="69"/>
      <c r="M108" s="69"/>
      <c r="N108" s="69"/>
      <c r="O108" s="69"/>
      <c r="P108" s="69"/>
      <c r="Q108" s="69"/>
      <c r="AA108" s="15"/>
      <c r="AB108" s="188"/>
      <c r="AC108" s="188"/>
      <c r="AD108" s="188"/>
      <c r="AE108" s="188"/>
      <c r="AF108" s="188"/>
      <c r="AG108" s="188"/>
      <c r="AH108" s="188"/>
      <c r="AI108" s="81"/>
    </row>
    <row r="109" spans="7:35" x14ac:dyDescent="0.25">
      <c r="K109" s="246"/>
      <c r="L109" s="69"/>
      <c r="M109" s="69"/>
      <c r="N109" s="69"/>
      <c r="O109" s="69"/>
      <c r="P109" s="69"/>
      <c r="Q109" s="69"/>
      <c r="AA109" s="15"/>
      <c r="AB109" s="188"/>
      <c r="AC109" s="188"/>
      <c r="AD109" s="188"/>
      <c r="AE109" s="188"/>
      <c r="AF109" s="188"/>
      <c r="AG109" s="188"/>
      <c r="AH109" s="188"/>
      <c r="AI109" s="81"/>
    </row>
    <row r="110" spans="7:35" x14ac:dyDescent="0.25">
      <c r="K110" s="246"/>
      <c r="L110" s="69"/>
      <c r="M110" s="69"/>
      <c r="N110" s="69"/>
      <c r="O110" s="69"/>
      <c r="P110" s="69"/>
      <c r="Q110" s="69"/>
      <c r="AA110" s="15"/>
      <c r="AB110" s="188"/>
      <c r="AC110" s="188"/>
      <c r="AD110" s="188"/>
      <c r="AE110" s="188"/>
      <c r="AF110" s="188"/>
      <c r="AG110" s="188"/>
      <c r="AH110" s="188"/>
      <c r="AI110" s="81"/>
    </row>
    <row r="111" spans="7:35" x14ac:dyDescent="0.25">
      <c r="K111" s="246"/>
      <c r="L111" s="69"/>
      <c r="M111" s="69"/>
      <c r="N111" s="69"/>
      <c r="O111" s="69"/>
      <c r="P111" s="69"/>
      <c r="Q111" s="69"/>
      <c r="AA111" s="26"/>
      <c r="AB111" s="188"/>
      <c r="AC111" s="188"/>
      <c r="AD111" s="188"/>
      <c r="AE111" s="188"/>
      <c r="AF111" s="188"/>
      <c r="AG111" s="188"/>
      <c r="AH111" s="188"/>
      <c r="AI111" s="81"/>
    </row>
    <row r="112" spans="7:35" x14ac:dyDescent="0.25">
      <c r="K112" s="246"/>
      <c r="L112" s="69"/>
      <c r="M112" s="69"/>
      <c r="N112" s="69"/>
      <c r="O112" s="69"/>
      <c r="P112" s="69"/>
      <c r="Q112" s="69"/>
      <c r="AA112" s="15"/>
      <c r="AB112" s="188"/>
      <c r="AC112" s="188"/>
      <c r="AD112" s="188"/>
      <c r="AE112" s="188"/>
      <c r="AF112" s="188"/>
      <c r="AG112" s="188"/>
      <c r="AH112" s="188"/>
      <c r="AI112" s="81"/>
    </row>
    <row r="113" spans="11:35" x14ac:dyDescent="0.25">
      <c r="K113" s="246"/>
      <c r="L113" s="69"/>
      <c r="M113" s="69"/>
      <c r="N113" s="69"/>
      <c r="O113" s="69"/>
      <c r="P113" s="69"/>
      <c r="Q113" s="69"/>
      <c r="AA113" s="15"/>
      <c r="AB113" s="188"/>
      <c r="AC113" s="188"/>
      <c r="AD113" s="188"/>
      <c r="AE113" s="188"/>
      <c r="AF113" s="188"/>
      <c r="AG113" s="188"/>
      <c r="AH113" s="188"/>
      <c r="AI113" s="81"/>
    </row>
    <row r="114" spans="11:35" x14ac:dyDescent="0.25">
      <c r="K114" s="246"/>
      <c r="L114" s="69"/>
      <c r="M114" s="69"/>
      <c r="N114" s="69"/>
      <c r="O114" s="69"/>
      <c r="P114" s="69"/>
      <c r="Q114" s="69"/>
      <c r="AA114" s="15"/>
      <c r="AB114" s="188"/>
      <c r="AC114" s="188"/>
      <c r="AD114" s="188"/>
      <c r="AE114" s="188"/>
      <c r="AF114" s="188"/>
      <c r="AG114" s="188"/>
      <c r="AH114" s="188"/>
      <c r="AI114" s="81"/>
    </row>
    <row r="115" spans="11:35" x14ac:dyDescent="0.25">
      <c r="K115" s="246"/>
      <c r="L115" s="69"/>
      <c r="M115" s="69"/>
      <c r="N115" s="69"/>
      <c r="O115" s="69"/>
      <c r="P115" s="69"/>
      <c r="Q115" s="69"/>
      <c r="AA115" s="15"/>
      <c r="AB115" s="188"/>
      <c r="AC115" s="188"/>
      <c r="AD115" s="188"/>
      <c r="AE115" s="188"/>
      <c r="AF115" s="188"/>
      <c r="AG115" s="188"/>
      <c r="AH115" s="188"/>
      <c r="AI115" s="81"/>
    </row>
    <row r="116" spans="11:35" x14ac:dyDescent="0.25">
      <c r="K116" s="246"/>
      <c r="L116" s="69"/>
      <c r="M116" s="69"/>
      <c r="N116" s="69"/>
      <c r="O116" s="69"/>
      <c r="P116" s="69"/>
      <c r="Q116" s="69"/>
      <c r="AA116" s="15"/>
      <c r="AB116" s="188"/>
      <c r="AC116" s="188"/>
      <c r="AD116" s="188"/>
      <c r="AE116" s="188"/>
      <c r="AF116" s="188"/>
      <c r="AG116" s="188"/>
      <c r="AH116" s="188"/>
      <c r="AI116" s="81"/>
    </row>
    <row r="117" spans="11:35" x14ac:dyDescent="0.25">
      <c r="K117" s="246"/>
      <c r="L117" s="69"/>
      <c r="M117" s="69"/>
      <c r="N117" s="69"/>
      <c r="O117" s="69"/>
      <c r="P117" s="69"/>
      <c r="Q117" s="69"/>
      <c r="AA117" s="15"/>
      <c r="AB117" s="188"/>
      <c r="AC117" s="188"/>
      <c r="AD117" s="188"/>
      <c r="AE117" s="188"/>
      <c r="AF117" s="188"/>
      <c r="AG117" s="188"/>
      <c r="AH117" s="188"/>
      <c r="AI117" s="81"/>
    </row>
    <row r="134" spans="27:29" ht="15.75" x14ac:dyDescent="0.25">
      <c r="AA134" s="154"/>
    </row>
    <row r="135" spans="27:29" ht="15.75" thickBot="1" x14ac:dyDescent="0.3">
      <c r="AA135" s="83"/>
      <c r="AB135" s="83"/>
      <c r="AC135" s="83"/>
    </row>
    <row r="136" spans="27:29" ht="15.75" thickTop="1" x14ac:dyDescent="0.25">
      <c r="AA136" s="26"/>
    </row>
    <row r="137" spans="27:29" x14ac:dyDescent="0.25">
      <c r="AA137" s="15"/>
      <c r="AB137" s="827"/>
    </row>
    <row r="138" spans="27:29" x14ac:dyDescent="0.25">
      <c r="AA138" s="15"/>
      <c r="AB138" s="827"/>
    </row>
    <row r="139" spans="27:29" x14ac:dyDescent="0.25">
      <c r="AA139" s="26"/>
      <c r="AB139" s="28"/>
    </row>
    <row r="140" spans="27:29" x14ac:dyDescent="0.25">
      <c r="AA140" s="15"/>
      <c r="AB140" s="827"/>
    </row>
    <row r="141" spans="27:29" x14ac:dyDescent="0.25">
      <c r="AA141" s="15"/>
      <c r="AB141" s="827"/>
    </row>
    <row r="142" spans="27:29" x14ac:dyDescent="0.25">
      <c r="AA142" s="15"/>
      <c r="AB142" s="827"/>
    </row>
    <row r="143" spans="27:29" x14ac:dyDescent="0.25">
      <c r="AA143" s="26"/>
      <c r="AB143" s="28"/>
      <c r="AC143" s="26"/>
    </row>
    <row r="144" spans="27:29" x14ac:dyDescent="0.25">
      <c r="AA144" s="15"/>
      <c r="AC144" s="632"/>
    </row>
    <row r="145" spans="27:29" x14ac:dyDescent="0.25">
      <c r="AA145" s="15"/>
      <c r="AB145" s="28"/>
      <c r="AC145" s="632"/>
    </row>
    <row r="146" spans="27:29" x14ac:dyDescent="0.25">
      <c r="AA146" s="15"/>
      <c r="AB146" s="28"/>
      <c r="AC146" s="632"/>
    </row>
    <row r="147" spans="27:29" x14ac:dyDescent="0.25">
      <c r="AA147" s="15"/>
      <c r="AB147" s="28"/>
      <c r="AC147" s="632"/>
    </row>
    <row r="148" spans="27:29" x14ac:dyDescent="0.25">
      <c r="AA148" s="15"/>
      <c r="AB148" s="28"/>
      <c r="AC148" s="632"/>
    </row>
    <row r="149" spans="27:29" x14ac:dyDescent="0.25">
      <c r="AA149" s="15"/>
      <c r="AB149" s="28"/>
      <c r="AC149" s="632"/>
    </row>
    <row r="151" spans="27:29" x14ac:dyDescent="0.25">
      <c r="AA151" s="266"/>
      <c r="AB151" s="28"/>
    </row>
    <row r="152" spans="27:29" ht="15.75" thickBot="1" x14ac:dyDescent="0.3">
      <c r="AA152" s="83"/>
      <c r="AB152" s="83"/>
    </row>
    <row r="153" spans="27:29" ht="15.75" thickTop="1" x14ac:dyDescent="0.25">
      <c r="AA153" s="26"/>
    </row>
    <row r="154" spans="27:29" x14ac:dyDescent="0.25">
      <c r="AA154" s="15"/>
      <c r="AB154" s="828"/>
    </row>
    <row r="155" spans="27:29" x14ac:dyDescent="0.25">
      <c r="AA155" s="15"/>
      <c r="AB155" s="828"/>
    </row>
  </sheetData>
  <mergeCells count="6">
    <mergeCell ref="K1:Q1"/>
    <mergeCell ref="S1:W1"/>
    <mergeCell ref="X1:X50"/>
    <mergeCell ref="Z1:Z50"/>
    <mergeCell ref="BB1:BH1"/>
    <mergeCell ref="BB36:BI36"/>
  </mergeCells>
  <conditionalFormatting sqref="AI35:AI68">
    <cfRule type="colorScale" priority="14">
      <colorScale>
        <cfvo type="min"/>
        <cfvo type="num" val="0"/>
        <cfvo type="max"/>
        <color rgb="FF00B050"/>
        <color theme="0"/>
        <color rgb="FFFF0000"/>
      </colorScale>
    </cfRule>
  </conditionalFormatting>
  <conditionalFormatting sqref="AI86">
    <cfRule type="colorScale" priority="68">
      <colorScale>
        <cfvo type="min"/>
        <cfvo type="num" val="0"/>
        <cfvo type="max"/>
        <color rgb="FF00B050"/>
        <color theme="0"/>
        <color rgb="FFFF0000"/>
      </colorScale>
    </cfRule>
  </conditionalFormatting>
  <conditionalFormatting sqref="AI88:AI94">
    <cfRule type="colorScale" priority="10">
      <colorScale>
        <cfvo type="min"/>
        <cfvo type="num" val="0"/>
        <cfvo type="max"/>
        <color rgb="FF00B050"/>
        <color theme="0"/>
        <color rgb="FFFF0000"/>
      </colorScale>
    </cfRule>
  </conditionalFormatting>
  <conditionalFormatting sqref="AI96:AI102">
    <cfRule type="colorScale" priority="9">
      <colorScale>
        <cfvo type="min"/>
        <cfvo type="num" val="0"/>
        <cfvo type="max"/>
        <color rgb="FF00B050"/>
        <color theme="0"/>
        <color rgb="FFFF0000"/>
      </colorScale>
    </cfRule>
  </conditionalFormatting>
  <conditionalFormatting sqref="AI104:AI110">
    <cfRule type="colorScale" priority="8">
      <colorScale>
        <cfvo type="min"/>
        <cfvo type="num" val="0"/>
        <cfvo type="max"/>
        <color rgb="FF00B050"/>
        <color theme="0"/>
        <color rgb="FFFF0000"/>
      </colorScale>
    </cfRule>
  </conditionalFormatting>
  <conditionalFormatting sqref="AI112">
    <cfRule type="colorScale" priority="7">
      <colorScale>
        <cfvo type="min"/>
        <cfvo type="num" val="0"/>
        <cfvo type="max"/>
        <color rgb="FF00B050"/>
        <color theme="0"/>
        <color rgb="FFFF0000"/>
      </colorScale>
    </cfRule>
  </conditionalFormatting>
  <conditionalFormatting sqref="AI113:AI117">
    <cfRule type="colorScale" priority="6">
      <colorScale>
        <cfvo type="min"/>
        <cfvo type="num" val="0"/>
        <cfvo type="max"/>
        <color rgb="FF00B050"/>
        <color theme="0"/>
        <color rgb="FFFF0000"/>
      </colorScale>
    </cfRule>
  </conditionalFormatting>
  <conditionalFormatting sqref="AS34:AS40">
    <cfRule type="colorScale" priority="1">
      <colorScale>
        <cfvo type="min"/>
        <cfvo type="num" val="0"/>
        <cfvo type="max"/>
        <color rgb="FF00B050"/>
        <color theme="0"/>
        <color rgb="FFFF0000"/>
      </colorScale>
    </cfRule>
  </conditionalFormatting>
  <conditionalFormatting sqref="AS41:AS61">
    <cfRule type="colorScale" priority="20">
      <colorScale>
        <cfvo type="min"/>
        <cfvo type="num" val="0"/>
        <cfvo type="max"/>
        <color rgb="FF00B050"/>
        <color theme="0"/>
        <color rgb="FFFF0000"/>
      </colorScale>
    </cfRule>
  </conditionalFormatting>
  <conditionalFormatting sqref="AS42:AS47">
    <cfRule type="colorScale" priority="19">
      <colorScale>
        <cfvo type="min"/>
        <cfvo type="num" val="0"/>
        <cfvo type="max"/>
        <color rgb="FF00B050"/>
        <color theme="0"/>
        <color rgb="FFFF0000"/>
      </colorScale>
    </cfRule>
  </conditionalFormatting>
  <conditionalFormatting sqref="AS49:AS54">
    <cfRule type="colorScale" priority="18">
      <colorScale>
        <cfvo type="min"/>
        <cfvo type="num" val="0"/>
        <cfvo type="max"/>
        <color rgb="FF00B050"/>
        <color theme="0"/>
        <color rgb="FFFF0000"/>
      </colorScale>
    </cfRule>
  </conditionalFormatting>
  <conditionalFormatting sqref="AS56:AS61">
    <cfRule type="colorScale" priority="17">
      <colorScale>
        <cfvo type="min"/>
        <cfvo type="num" val="0"/>
        <cfvo type="max"/>
        <color rgb="FF00B050"/>
        <color theme="0"/>
        <color rgb="FFFF0000"/>
      </colorScale>
    </cfRule>
  </conditionalFormatting>
  <conditionalFormatting sqref="AT5 AI87 AI95 AI103 AI111">
    <cfRule type="colorScale" priority="13">
      <colorScale>
        <cfvo type="min"/>
        <cfvo type="num" val="0"/>
        <cfvo type="max"/>
        <color rgb="FF00B050"/>
        <color theme="0"/>
        <color rgb="FFFF0000"/>
      </colorScale>
    </cfRule>
  </conditionalFormatting>
  <conditionalFormatting sqref="AT6">
    <cfRule type="colorScale" priority="5">
      <colorScale>
        <cfvo type="min"/>
        <cfvo type="num" val="0"/>
        <cfvo type="max"/>
        <color rgb="FF00B050"/>
        <color theme="0"/>
        <color rgb="FFFF0000"/>
      </colorScale>
    </cfRule>
  </conditionalFormatting>
  <conditionalFormatting sqref="AT7:AT11">
    <cfRule type="colorScale" priority="4">
      <colorScale>
        <cfvo type="min"/>
        <cfvo type="num" val="0"/>
        <cfvo type="max"/>
        <color rgb="FF00B050"/>
        <color theme="0"/>
        <color rgb="FFFF0000"/>
      </colorScale>
    </cfRule>
  </conditionalFormatting>
  <conditionalFormatting sqref="AT13">
    <cfRule type="colorScale" priority="3">
      <colorScale>
        <cfvo type="min"/>
        <cfvo type="num" val="0"/>
        <cfvo type="max"/>
        <color rgb="FF00B050"/>
        <color theme="0"/>
        <color rgb="FFFF0000"/>
      </colorScale>
    </cfRule>
  </conditionalFormatting>
  <conditionalFormatting sqref="AT14:AT18">
    <cfRule type="colorScale" priority="2">
      <colorScale>
        <cfvo type="min"/>
        <cfvo type="num" val="0"/>
        <cfvo type="max"/>
        <color rgb="FF00B050"/>
        <color theme="0"/>
        <color rgb="FFFF0000"/>
      </colorScale>
    </cfRule>
  </conditionalFormatting>
  <conditionalFormatting sqref="AT28:AT29 AS20">
    <cfRule type="colorScale" priority="69">
      <colorScale>
        <cfvo type="min"/>
        <cfvo type="num" val="0"/>
        <cfvo type="max"/>
        <color rgb="FF00B050"/>
        <color theme="0"/>
        <color rgb="FFFF0000"/>
      </colorScale>
    </cfRule>
  </conditionalFormatting>
  <conditionalFormatting sqref="AZ35:AZ61">
    <cfRule type="colorScale" priority="16">
      <colorScale>
        <cfvo type="min"/>
        <cfvo type="num" val="0"/>
        <cfvo type="max"/>
        <color rgb="FF00B050"/>
        <color theme="0"/>
        <color rgb="FFFF0000"/>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6E669-7DB0-4865-A09E-8676A7DCEB1E}">
  <sheetPr>
    <tabColor theme="9" tint="0.59999389629810485"/>
  </sheetPr>
  <dimension ref="A1:AD66"/>
  <sheetViews>
    <sheetView zoomScaleNormal="80" workbookViewId="0">
      <selection activeCell="J7" sqref="J7"/>
    </sheetView>
  </sheetViews>
  <sheetFormatPr defaultRowHeight="15" x14ac:dyDescent="0.25"/>
  <cols>
    <col min="1" max="1" width="29.42578125" bestFit="1" customWidth="1"/>
    <col min="3" max="3" width="15.5703125" customWidth="1"/>
    <col min="6" max="6" width="5.140625" bestFit="1" customWidth="1"/>
    <col min="9" max="9" width="5" bestFit="1" customWidth="1"/>
    <col min="10" max="10" width="17.140625" bestFit="1" customWidth="1"/>
    <col min="19" max="19" width="43.28515625" customWidth="1"/>
  </cols>
  <sheetData>
    <row r="1" spans="1:30" ht="15.75" x14ac:dyDescent="0.25">
      <c r="A1" s="1"/>
      <c r="B1" s="1"/>
      <c r="C1" s="1"/>
      <c r="D1" s="1"/>
      <c r="E1" s="1"/>
      <c r="F1" s="1"/>
      <c r="G1" s="1"/>
      <c r="L1" s="862" t="s">
        <v>3045</v>
      </c>
      <c r="M1" s="863"/>
      <c r="N1" s="863"/>
      <c r="O1" s="863"/>
      <c r="P1" s="863"/>
      <c r="Q1" s="863"/>
      <c r="R1" s="864"/>
      <c r="S1" s="68"/>
      <c r="T1" s="847" t="s">
        <v>134</v>
      </c>
      <c r="U1" s="848"/>
      <c r="V1" s="848"/>
      <c r="W1" s="848"/>
      <c r="X1" s="848"/>
      <c r="Y1" s="850" t="s">
        <v>1657</v>
      </c>
    </row>
    <row r="2" spans="1:30" ht="111" thickBot="1" x14ac:dyDescent="0.3">
      <c r="A2" s="620" t="s">
        <v>2974</v>
      </c>
      <c r="B2" s="620" t="s">
        <v>3037</v>
      </c>
      <c r="C2" s="620" t="s">
        <v>3040</v>
      </c>
      <c r="D2" s="620" t="s">
        <v>3106</v>
      </c>
      <c r="E2" s="620" t="s">
        <v>3095</v>
      </c>
      <c r="F2" s="620" t="s">
        <v>3096</v>
      </c>
      <c r="G2" s="620" t="s">
        <v>3097</v>
      </c>
      <c r="H2" s="620" t="s">
        <v>3098</v>
      </c>
      <c r="I2" s="620" t="s">
        <v>3099</v>
      </c>
      <c r="J2" s="620" t="s">
        <v>3044</v>
      </c>
      <c r="K2" s="620" t="s">
        <v>3047</v>
      </c>
      <c r="L2" s="624">
        <v>2021</v>
      </c>
      <c r="M2" s="620">
        <v>2025</v>
      </c>
      <c r="N2" s="620">
        <v>2030</v>
      </c>
      <c r="O2" s="620">
        <v>2035</v>
      </c>
      <c r="P2" s="620">
        <v>2040</v>
      </c>
      <c r="Q2" s="620">
        <v>2045</v>
      </c>
      <c r="R2" s="620">
        <v>2050</v>
      </c>
      <c r="S2" s="624" t="s">
        <v>3039</v>
      </c>
      <c r="T2" s="624" t="s">
        <v>135</v>
      </c>
      <c r="U2" s="620" t="s">
        <v>139</v>
      </c>
      <c r="V2" s="620" t="s">
        <v>136</v>
      </c>
      <c r="W2" s="620" t="s">
        <v>137</v>
      </c>
      <c r="X2" s="620" t="s">
        <v>138</v>
      </c>
      <c r="Y2" s="850"/>
    </row>
    <row r="3" spans="1:30" ht="15.75" thickTop="1" x14ac:dyDescent="0.25">
      <c r="A3" t="s">
        <v>2996</v>
      </c>
      <c r="B3" t="s">
        <v>84</v>
      </c>
      <c r="H3">
        <v>2020</v>
      </c>
      <c r="I3" t="s">
        <v>3101</v>
      </c>
      <c r="J3" t="s">
        <v>3147</v>
      </c>
      <c r="K3">
        <v>2021</v>
      </c>
      <c r="L3" s="246">
        <f>0.05*INDEX(CostInvest!$K$3:$Q$100,MATCH($A3,CostInvest!$A$3:$A$100,0), MATCH(L$2,CostInvest!$K$2:$Q$2,0))</f>
        <v>0.14040205200000005</v>
      </c>
      <c r="M3" s="246"/>
      <c r="N3" s="246"/>
      <c r="O3" s="246"/>
      <c r="P3" s="246"/>
      <c r="Q3" s="246"/>
      <c r="R3" s="246"/>
      <c r="S3" s="68" t="s">
        <v>3119</v>
      </c>
      <c r="T3" s="615"/>
      <c r="U3" s="315"/>
      <c r="V3" s="315"/>
      <c r="W3" s="315"/>
      <c r="X3" s="315"/>
      <c r="Y3" s="850"/>
      <c r="AA3" t="s">
        <v>3137</v>
      </c>
      <c r="AC3" s="844">
        <v>0.02</v>
      </c>
      <c r="AD3" t="s">
        <v>3138</v>
      </c>
    </row>
    <row r="4" spans="1:30" x14ac:dyDescent="0.25">
      <c r="A4" t="s">
        <v>2996</v>
      </c>
      <c r="B4" t="s">
        <v>84</v>
      </c>
      <c r="H4">
        <v>2020</v>
      </c>
      <c r="I4" t="s">
        <v>3101</v>
      </c>
      <c r="J4" t="s">
        <v>3147</v>
      </c>
      <c r="K4">
        <v>2025</v>
      </c>
      <c r="L4" s="246">
        <f>0.05*INDEX(CostInvest!$K$3:$Q$100,MATCH($A4,CostInvest!$A$3:$A$100,0), MATCH(L$2,CostInvest!$K$2:$Q$2,0))</f>
        <v>0.14040205200000005</v>
      </c>
      <c r="M4" s="246">
        <f>0.05*INDEX(CostInvest!$K$3:$Q$100,MATCH($A4,CostInvest!$A$3:$A$100,0), MATCH(M$2,CostInvest!$K$2:$Q$2,0))</f>
        <v>0.14040205200000005</v>
      </c>
      <c r="N4" s="246"/>
      <c r="O4" s="246"/>
      <c r="P4" s="246"/>
      <c r="Q4" s="246"/>
      <c r="R4" s="246"/>
      <c r="S4" s="68" t="s">
        <v>3119</v>
      </c>
      <c r="T4" s="615"/>
      <c r="U4" s="315"/>
      <c r="V4" s="315"/>
      <c r="W4" s="315"/>
      <c r="X4" s="315"/>
      <c r="Y4" s="850"/>
    </row>
    <row r="5" spans="1:30" x14ac:dyDescent="0.25">
      <c r="A5" t="s">
        <v>2996</v>
      </c>
      <c r="B5" t="s">
        <v>84</v>
      </c>
      <c r="H5">
        <v>2020</v>
      </c>
      <c r="I5" t="s">
        <v>3101</v>
      </c>
      <c r="J5" t="s">
        <v>3147</v>
      </c>
      <c r="K5">
        <v>2030</v>
      </c>
      <c r="L5" s="246">
        <f>0.05*INDEX(CostInvest!$K$3:$Q$100,MATCH($A5,CostInvest!$A$3:$A$100,0), MATCH(L$2,CostInvest!$K$2:$Q$2,0))</f>
        <v>0.14040205200000005</v>
      </c>
      <c r="M5" s="246">
        <f>0.05*INDEX(CostInvest!$K$3:$Q$100,MATCH($A5,CostInvest!$A$3:$A$100,0), MATCH(M$2,CostInvest!$K$2:$Q$2,0))</f>
        <v>0.14040205200000005</v>
      </c>
      <c r="N5" s="246">
        <f>0.05*INDEX(CostInvest!$K$3:$Q$100,MATCH($A5,CostInvest!$A$3:$A$100,0), MATCH(N$2,CostInvest!$K$2:$Q$2,0))</f>
        <v>0.14040205200000005</v>
      </c>
      <c r="O5" s="246"/>
      <c r="P5" s="246"/>
      <c r="Q5" s="246"/>
      <c r="R5" s="246"/>
      <c r="S5" s="68" t="s">
        <v>3119</v>
      </c>
      <c r="T5" s="615"/>
      <c r="U5" s="315"/>
      <c r="V5" s="315"/>
      <c r="W5" s="315"/>
      <c r="X5" s="315"/>
      <c r="Y5" s="850"/>
    </row>
    <row r="6" spans="1:30" x14ac:dyDescent="0.25">
      <c r="A6" t="s">
        <v>2996</v>
      </c>
      <c r="B6" t="s">
        <v>84</v>
      </c>
      <c r="H6">
        <v>2020</v>
      </c>
      <c r="I6" t="s">
        <v>3101</v>
      </c>
      <c r="J6" t="s">
        <v>3147</v>
      </c>
      <c r="K6">
        <v>2035</v>
      </c>
      <c r="L6" s="246"/>
      <c r="M6" s="246"/>
      <c r="N6" s="246">
        <f>0.05*INDEX(CostInvest!$K$3:$Q$100,MATCH($A6,CostInvest!$A$3:$A$100,0), MATCH(N$2,CostInvest!$K$2:$Q$2,0))</f>
        <v>0.14040205200000005</v>
      </c>
      <c r="O6" s="246">
        <f>0.05*INDEX(CostInvest!$K$3:$Q$100,MATCH($A6,CostInvest!$A$3:$A$100,0), MATCH(O$2,CostInvest!$K$2:$Q$2,0))</f>
        <v>0.14040205200000005</v>
      </c>
      <c r="P6" s="246"/>
      <c r="Q6" s="246"/>
      <c r="R6" s="246"/>
      <c r="S6" s="68" t="s">
        <v>3119</v>
      </c>
      <c r="T6" s="615"/>
      <c r="U6" s="315"/>
      <c r="V6" s="315"/>
      <c r="W6" s="315"/>
      <c r="X6" s="315"/>
      <c r="Y6" s="850"/>
    </row>
    <row r="7" spans="1:30" x14ac:dyDescent="0.25">
      <c r="A7" t="s">
        <v>2996</v>
      </c>
      <c r="B7" t="s">
        <v>84</v>
      </c>
      <c r="H7">
        <v>2020</v>
      </c>
      <c r="I7" t="s">
        <v>3101</v>
      </c>
      <c r="J7" t="s">
        <v>3147</v>
      </c>
      <c r="K7">
        <v>2040</v>
      </c>
      <c r="L7" s="246"/>
      <c r="M7" s="246"/>
      <c r="N7" s="246"/>
      <c r="O7" s="246">
        <f>0.05*INDEX(CostInvest!$K$3:$Q$100,MATCH($A7,CostInvest!$A$3:$A$100,0), MATCH(O$2,CostInvest!$K$2:$Q$2,0))</f>
        <v>0.14040205200000005</v>
      </c>
      <c r="P7" s="246">
        <f>0.05*INDEX(CostInvest!$K$3:$Q$100,MATCH($A7,CostInvest!$A$3:$A$100,0), MATCH(P$2,CostInvest!$K$2:$Q$2,0))</f>
        <v>0.14040205200000005</v>
      </c>
      <c r="Q7" s="246"/>
      <c r="R7" s="246"/>
      <c r="S7" s="68" t="s">
        <v>3119</v>
      </c>
      <c r="T7" s="615"/>
      <c r="U7" s="315"/>
      <c r="V7" s="315"/>
      <c r="W7" s="315"/>
      <c r="X7" s="315"/>
      <c r="Y7" s="850"/>
    </row>
    <row r="8" spans="1:30" x14ac:dyDescent="0.25">
      <c r="A8" t="s">
        <v>2996</v>
      </c>
      <c r="B8" t="s">
        <v>84</v>
      </c>
      <c r="H8">
        <v>2020</v>
      </c>
      <c r="I8" t="s">
        <v>3101</v>
      </c>
      <c r="J8" t="s">
        <v>3147</v>
      </c>
      <c r="K8">
        <v>2045</v>
      </c>
      <c r="L8" s="246"/>
      <c r="M8" s="246"/>
      <c r="N8" s="246"/>
      <c r="O8" s="246"/>
      <c r="P8" s="246">
        <f>0.05*INDEX(CostInvest!$K$3:$Q$100,MATCH($A8,CostInvest!$A$3:$A$100,0), MATCH(P$2,CostInvest!$K$2:$Q$2,0))</f>
        <v>0.14040205200000005</v>
      </c>
      <c r="Q8" s="246">
        <f>0.05*INDEX(CostInvest!$K$3:$Q$100,MATCH($A8,CostInvest!$A$3:$A$100,0), MATCH(Q$2,CostInvest!$K$2:$Q$2,0))</f>
        <v>0.14040205200000005</v>
      </c>
      <c r="R8" s="246"/>
      <c r="S8" s="68" t="s">
        <v>3119</v>
      </c>
      <c r="T8" s="615"/>
      <c r="U8" s="315"/>
      <c r="V8" s="315"/>
      <c r="W8" s="315"/>
      <c r="X8" s="315"/>
      <c r="Y8" s="850"/>
    </row>
    <row r="9" spans="1:30" x14ac:dyDescent="0.25">
      <c r="A9" t="s">
        <v>2996</v>
      </c>
      <c r="B9" t="s">
        <v>84</v>
      </c>
      <c r="H9">
        <v>2020</v>
      </c>
      <c r="I9" t="s">
        <v>3101</v>
      </c>
      <c r="J9" t="s">
        <v>3147</v>
      </c>
      <c r="K9">
        <v>2050</v>
      </c>
      <c r="L9" s="246"/>
      <c r="M9" s="246"/>
      <c r="N9" s="246"/>
      <c r="O9" s="246"/>
      <c r="P9" s="246"/>
      <c r="Q9" s="246">
        <f>0.05*INDEX(CostInvest!$K$3:$Q$100,MATCH($A9,CostInvest!$A$3:$A$100,0), MATCH(Q$2,CostInvest!$K$2:$Q$2,0))</f>
        <v>0.14040205200000005</v>
      </c>
      <c r="R9" s="246">
        <f>0.05*INDEX(CostInvest!$K$3:$Q$100,MATCH($A9,CostInvest!$A$3:$A$100,0), MATCH(R$2,CostInvest!$K$2:$Q$2,0))</f>
        <v>0.14040205200000005</v>
      </c>
      <c r="S9" s="68" t="s">
        <v>3119</v>
      </c>
      <c r="T9" s="615"/>
      <c r="U9" s="315"/>
      <c r="V9" s="315"/>
      <c r="W9" s="315"/>
      <c r="X9" s="315"/>
      <c r="Y9" s="850"/>
    </row>
    <row r="10" spans="1:30" x14ac:dyDescent="0.25">
      <c r="A10" t="s">
        <v>2997</v>
      </c>
      <c r="B10" t="s">
        <v>84</v>
      </c>
      <c r="C10" t="s">
        <v>3120</v>
      </c>
      <c r="D10">
        <v>2022</v>
      </c>
      <c r="E10">
        <v>2022</v>
      </c>
      <c r="F10" t="s">
        <v>3100</v>
      </c>
      <c r="G10">
        <f t="shared" ref="G10:G23" si="0">USD2022_to_CAD2020</f>
        <v>1.1226268817204299</v>
      </c>
      <c r="H10">
        <v>2020</v>
      </c>
      <c r="I10" t="s">
        <v>3101</v>
      </c>
      <c r="J10" t="s">
        <v>3148</v>
      </c>
      <c r="K10">
        <v>2021</v>
      </c>
      <c r="L10" s="837">
        <f>0.0052*$G10</f>
        <v>5.837659784946235E-3</v>
      </c>
      <c r="M10" s="823"/>
      <c r="N10" s="823"/>
      <c r="O10" s="823"/>
      <c r="P10" s="823"/>
      <c r="Q10" s="823"/>
      <c r="R10" s="823"/>
      <c r="S10" t="s">
        <v>3123</v>
      </c>
      <c r="T10" s="615"/>
      <c r="U10" s="315"/>
      <c r="V10" s="315"/>
      <c r="W10" s="315"/>
      <c r="X10" s="315"/>
      <c r="Y10" s="850"/>
    </row>
    <row r="11" spans="1:30" x14ac:dyDescent="0.25">
      <c r="A11" t="s">
        <v>2997</v>
      </c>
      <c r="B11" t="s">
        <v>84</v>
      </c>
      <c r="C11" t="s">
        <v>3120</v>
      </c>
      <c r="D11">
        <v>2022</v>
      </c>
      <c r="E11">
        <v>2022</v>
      </c>
      <c r="F11" t="s">
        <v>3100</v>
      </c>
      <c r="G11">
        <f t="shared" si="0"/>
        <v>1.1226268817204299</v>
      </c>
      <c r="H11">
        <v>2020</v>
      </c>
      <c r="I11" t="s">
        <v>3101</v>
      </c>
      <c r="J11" t="s">
        <v>3148</v>
      </c>
      <c r="K11">
        <v>2025</v>
      </c>
      <c r="L11" s="837">
        <f t="shared" ref="L11:L13" si="1">0.0052*$G11</f>
        <v>5.837659784946235E-3</v>
      </c>
      <c r="M11" s="823">
        <f>$L$11</f>
        <v>5.837659784946235E-3</v>
      </c>
      <c r="N11" s="823"/>
      <c r="O11" s="823"/>
      <c r="P11" s="823"/>
      <c r="Q11" s="823"/>
      <c r="R11" s="823"/>
      <c r="S11" t="s">
        <v>3123</v>
      </c>
      <c r="T11" s="615"/>
      <c r="U11" s="315"/>
      <c r="V11" s="315"/>
      <c r="W11" s="315"/>
      <c r="X11" s="315"/>
      <c r="Y11" s="850"/>
    </row>
    <row r="12" spans="1:30" x14ac:dyDescent="0.25">
      <c r="A12" t="s">
        <v>2997</v>
      </c>
      <c r="B12" t="s">
        <v>84</v>
      </c>
      <c r="C12" t="s">
        <v>3120</v>
      </c>
      <c r="D12">
        <v>2022</v>
      </c>
      <c r="E12">
        <v>2022</v>
      </c>
      <c r="F12" t="s">
        <v>3100</v>
      </c>
      <c r="G12">
        <f t="shared" si="0"/>
        <v>1.1226268817204299</v>
      </c>
      <c r="H12">
        <v>2020</v>
      </c>
      <c r="I12" t="s">
        <v>3101</v>
      </c>
      <c r="J12" t="s">
        <v>3148</v>
      </c>
      <c r="K12">
        <v>2030</v>
      </c>
      <c r="L12" s="837">
        <f t="shared" si="1"/>
        <v>5.837659784946235E-3</v>
      </c>
      <c r="M12" s="823">
        <f t="shared" ref="M12:P16" si="2">$L$11</f>
        <v>5.837659784946235E-3</v>
      </c>
      <c r="N12" s="823">
        <f t="shared" si="2"/>
        <v>5.837659784946235E-3</v>
      </c>
      <c r="O12" s="823"/>
      <c r="P12" s="823"/>
      <c r="Q12" s="823"/>
      <c r="R12" s="823"/>
      <c r="S12" t="s">
        <v>3123</v>
      </c>
      <c r="T12" s="615"/>
      <c r="U12" s="315"/>
      <c r="V12" s="315"/>
      <c r="W12" s="315"/>
      <c r="X12" s="315"/>
      <c r="Y12" s="850"/>
    </row>
    <row r="13" spans="1:30" x14ac:dyDescent="0.25">
      <c r="A13" t="s">
        <v>2997</v>
      </c>
      <c r="B13" t="s">
        <v>84</v>
      </c>
      <c r="C13" t="s">
        <v>3120</v>
      </c>
      <c r="D13">
        <v>2022</v>
      </c>
      <c r="E13">
        <v>2022</v>
      </c>
      <c r="F13" t="s">
        <v>3100</v>
      </c>
      <c r="G13">
        <f t="shared" si="0"/>
        <v>1.1226268817204299</v>
      </c>
      <c r="H13">
        <v>2020</v>
      </c>
      <c r="I13" t="s">
        <v>3101</v>
      </c>
      <c r="J13" t="s">
        <v>3148</v>
      </c>
      <c r="K13">
        <v>2035</v>
      </c>
      <c r="L13" s="837">
        <f t="shared" si="1"/>
        <v>5.837659784946235E-3</v>
      </c>
      <c r="M13" s="823">
        <f t="shared" si="2"/>
        <v>5.837659784946235E-3</v>
      </c>
      <c r="N13" s="823">
        <f t="shared" si="2"/>
        <v>5.837659784946235E-3</v>
      </c>
      <c r="O13" s="823">
        <f t="shared" si="2"/>
        <v>5.837659784946235E-3</v>
      </c>
      <c r="P13" s="823"/>
      <c r="Q13" s="823"/>
      <c r="R13" s="823"/>
      <c r="S13" t="s">
        <v>3123</v>
      </c>
      <c r="T13" s="615"/>
      <c r="U13" s="315"/>
      <c r="V13" s="315"/>
      <c r="W13" s="315"/>
      <c r="X13" s="315"/>
      <c r="Y13" s="850"/>
    </row>
    <row r="14" spans="1:30" x14ac:dyDescent="0.25">
      <c r="A14" t="s">
        <v>2997</v>
      </c>
      <c r="B14" t="s">
        <v>84</v>
      </c>
      <c r="C14" t="s">
        <v>3120</v>
      </c>
      <c r="D14">
        <v>2022</v>
      </c>
      <c r="E14">
        <v>2022</v>
      </c>
      <c r="F14" t="s">
        <v>3100</v>
      </c>
      <c r="G14">
        <f t="shared" si="0"/>
        <v>1.1226268817204299</v>
      </c>
      <c r="H14">
        <v>2020</v>
      </c>
      <c r="I14" t="s">
        <v>3101</v>
      </c>
      <c r="J14" t="s">
        <v>3148</v>
      </c>
      <c r="K14">
        <v>2040</v>
      </c>
      <c r="L14" s="837"/>
      <c r="M14" s="823"/>
      <c r="N14" s="823">
        <f t="shared" si="2"/>
        <v>5.837659784946235E-3</v>
      </c>
      <c r="O14" s="823">
        <f t="shared" si="2"/>
        <v>5.837659784946235E-3</v>
      </c>
      <c r="P14" s="823">
        <f t="shared" si="2"/>
        <v>5.837659784946235E-3</v>
      </c>
      <c r="Q14" s="823"/>
      <c r="R14" s="823"/>
      <c r="S14" t="s">
        <v>3123</v>
      </c>
      <c r="T14" s="615"/>
      <c r="U14" s="315"/>
      <c r="V14" s="315"/>
      <c r="W14" s="315"/>
      <c r="X14" s="315"/>
      <c r="Y14" s="850"/>
    </row>
    <row r="15" spans="1:30" x14ac:dyDescent="0.25">
      <c r="A15" t="s">
        <v>2997</v>
      </c>
      <c r="B15" t="s">
        <v>84</v>
      </c>
      <c r="C15" t="s">
        <v>3120</v>
      </c>
      <c r="D15">
        <v>2022</v>
      </c>
      <c r="E15">
        <v>2022</v>
      </c>
      <c r="F15" t="s">
        <v>3100</v>
      </c>
      <c r="G15">
        <f t="shared" si="0"/>
        <v>1.1226268817204299</v>
      </c>
      <c r="H15">
        <v>2020</v>
      </c>
      <c r="I15" t="s">
        <v>3101</v>
      </c>
      <c r="J15" t="s">
        <v>3148</v>
      </c>
      <c r="K15">
        <v>2045</v>
      </c>
      <c r="L15" s="837"/>
      <c r="M15" s="823"/>
      <c r="N15" s="823"/>
      <c r="O15" s="823">
        <f t="shared" si="2"/>
        <v>5.837659784946235E-3</v>
      </c>
      <c r="P15" s="823">
        <f t="shared" si="2"/>
        <v>5.837659784946235E-3</v>
      </c>
      <c r="Q15" s="823">
        <f t="shared" ref="Q15" si="3">P15</f>
        <v>5.837659784946235E-3</v>
      </c>
      <c r="R15" s="823"/>
      <c r="S15" t="s">
        <v>3123</v>
      </c>
      <c r="T15" s="615"/>
      <c r="U15" s="315"/>
      <c r="V15" s="315"/>
      <c r="W15" s="315"/>
      <c r="X15" s="315"/>
      <c r="Y15" s="850"/>
    </row>
    <row r="16" spans="1:30" x14ac:dyDescent="0.25">
      <c r="A16" t="s">
        <v>2997</v>
      </c>
      <c r="B16" t="s">
        <v>84</v>
      </c>
      <c r="C16" t="s">
        <v>3120</v>
      </c>
      <c r="D16">
        <v>2022</v>
      </c>
      <c r="E16">
        <v>2022</v>
      </c>
      <c r="F16" t="s">
        <v>3100</v>
      </c>
      <c r="G16">
        <f t="shared" si="0"/>
        <v>1.1226268817204299</v>
      </c>
      <c r="H16">
        <v>2020</v>
      </c>
      <c r="I16" t="s">
        <v>3101</v>
      </c>
      <c r="J16" t="s">
        <v>3148</v>
      </c>
      <c r="K16">
        <v>2050</v>
      </c>
      <c r="L16" s="837"/>
      <c r="M16" s="823"/>
      <c r="N16" s="823"/>
      <c r="O16" s="823"/>
      <c r="P16" s="823">
        <f t="shared" si="2"/>
        <v>5.837659784946235E-3</v>
      </c>
      <c r="Q16" s="823">
        <f t="shared" ref="Q16:R16" si="4">P16</f>
        <v>5.837659784946235E-3</v>
      </c>
      <c r="R16" s="823">
        <f t="shared" si="4"/>
        <v>5.837659784946235E-3</v>
      </c>
      <c r="S16" t="s">
        <v>3123</v>
      </c>
      <c r="T16" s="615"/>
      <c r="U16" s="315"/>
      <c r="V16" s="315"/>
      <c r="W16" s="315"/>
      <c r="X16" s="315"/>
      <c r="Y16" s="850"/>
    </row>
    <row r="17" spans="1:25" x14ac:dyDescent="0.25">
      <c r="A17" t="s">
        <v>2998</v>
      </c>
      <c r="B17" t="s">
        <v>84</v>
      </c>
      <c r="C17" t="s">
        <v>3120</v>
      </c>
      <c r="D17">
        <v>2022</v>
      </c>
      <c r="E17">
        <v>2022</v>
      </c>
      <c r="F17" t="s">
        <v>3100</v>
      </c>
      <c r="G17">
        <f t="shared" si="0"/>
        <v>1.1226268817204299</v>
      </c>
      <c r="H17">
        <v>2020</v>
      </c>
      <c r="I17" t="s">
        <v>3101</v>
      </c>
      <c r="J17" t="s">
        <v>3148</v>
      </c>
      <c r="K17">
        <v>2021</v>
      </c>
      <c r="L17" s="837">
        <f>0.005*$G17</f>
        <v>5.61313440860215E-3</v>
      </c>
      <c r="M17" s="823"/>
      <c r="N17" s="823"/>
      <c r="O17" s="823"/>
      <c r="P17" s="823"/>
      <c r="Q17" s="823"/>
      <c r="R17" s="823"/>
      <c r="S17" t="s">
        <v>3124</v>
      </c>
      <c r="T17" s="615"/>
      <c r="U17" s="315"/>
      <c r="V17" s="315"/>
      <c r="W17" s="315"/>
      <c r="X17" s="315"/>
      <c r="Y17" s="850"/>
    </row>
    <row r="18" spans="1:25" x14ac:dyDescent="0.25">
      <c r="A18" t="s">
        <v>2998</v>
      </c>
      <c r="B18" t="s">
        <v>84</v>
      </c>
      <c r="C18" t="s">
        <v>3120</v>
      </c>
      <c r="D18">
        <v>2022</v>
      </c>
      <c r="E18">
        <v>2022</v>
      </c>
      <c r="F18" t="s">
        <v>3100</v>
      </c>
      <c r="G18">
        <f t="shared" si="0"/>
        <v>1.1226268817204299</v>
      </c>
      <c r="H18">
        <v>2020</v>
      </c>
      <c r="I18" t="s">
        <v>3101</v>
      </c>
      <c r="J18" t="s">
        <v>3148</v>
      </c>
      <c r="K18">
        <v>2025</v>
      </c>
      <c r="L18" s="837">
        <f t="shared" ref="L18:L20" si="5">0.005*$G18</f>
        <v>5.61313440860215E-3</v>
      </c>
      <c r="M18" s="823">
        <f>$L$18</f>
        <v>5.61313440860215E-3</v>
      </c>
      <c r="N18" s="823"/>
      <c r="O18" s="823"/>
      <c r="P18" s="823"/>
      <c r="Q18" s="823"/>
      <c r="R18" s="823"/>
      <c r="S18" t="s">
        <v>3124</v>
      </c>
      <c r="T18" s="615"/>
      <c r="U18" s="315"/>
      <c r="V18" s="315"/>
      <c r="W18" s="315"/>
      <c r="X18" s="315"/>
      <c r="Y18" s="850"/>
    </row>
    <row r="19" spans="1:25" x14ac:dyDescent="0.25">
      <c r="A19" t="s">
        <v>2998</v>
      </c>
      <c r="B19" t="s">
        <v>84</v>
      </c>
      <c r="C19" t="s">
        <v>3120</v>
      </c>
      <c r="D19">
        <v>2022</v>
      </c>
      <c r="E19">
        <v>2022</v>
      </c>
      <c r="F19" t="s">
        <v>3100</v>
      </c>
      <c r="G19">
        <f t="shared" si="0"/>
        <v>1.1226268817204299</v>
      </c>
      <c r="H19">
        <v>2020</v>
      </c>
      <c r="I19" t="s">
        <v>3101</v>
      </c>
      <c r="J19" t="s">
        <v>3148</v>
      </c>
      <c r="K19">
        <v>2030</v>
      </c>
      <c r="L19" s="837">
        <f t="shared" si="5"/>
        <v>5.61313440860215E-3</v>
      </c>
      <c r="M19" s="823">
        <f t="shared" ref="M19:P23" si="6">$L$18</f>
        <v>5.61313440860215E-3</v>
      </c>
      <c r="N19" s="823">
        <f t="shared" si="6"/>
        <v>5.61313440860215E-3</v>
      </c>
      <c r="O19" s="823"/>
      <c r="P19" s="823"/>
      <c r="Q19" s="823"/>
      <c r="R19" s="823"/>
      <c r="S19" t="s">
        <v>3124</v>
      </c>
      <c r="T19" s="615"/>
      <c r="U19" s="315"/>
      <c r="V19" s="315"/>
      <c r="W19" s="315"/>
      <c r="X19" s="315"/>
      <c r="Y19" s="850"/>
    </row>
    <row r="20" spans="1:25" x14ac:dyDescent="0.25">
      <c r="A20" t="s">
        <v>2998</v>
      </c>
      <c r="B20" t="s">
        <v>84</v>
      </c>
      <c r="C20" t="s">
        <v>3120</v>
      </c>
      <c r="D20">
        <v>2022</v>
      </c>
      <c r="E20">
        <v>2022</v>
      </c>
      <c r="F20" t="s">
        <v>3100</v>
      </c>
      <c r="G20">
        <f t="shared" si="0"/>
        <v>1.1226268817204299</v>
      </c>
      <c r="H20">
        <v>2020</v>
      </c>
      <c r="I20" t="s">
        <v>3101</v>
      </c>
      <c r="J20" t="s">
        <v>3148</v>
      </c>
      <c r="K20">
        <v>2035</v>
      </c>
      <c r="L20" s="837">
        <f t="shared" si="5"/>
        <v>5.61313440860215E-3</v>
      </c>
      <c r="M20" s="823">
        <f t="shared" si="6"/>
        <v>5.61313440860215E-3</v>
      </c>
      <c r="N20" s="823">
        <f t="shared" si="6"/>
        <v>5.61313440860215E-3</v>
      </c>
      <c r="O20" s="823">
        <f t="shared" si="6"/>
        <v>5.61313440860215E-3</v>
      </c>
      <c r="P20" s="823"/>
      <c r="Q20" s="823"/>
      <c r="R20" s="823"/>
      <c r="S20" t="s">
        <v>3124</v>
      </c>
      <c r="T20" s="615"/>
      <c r="U20" s="315"/>
      <c r="V20" s="315"/>
      <c r="W20" s="315"/>
      <c r="X20" s="315"/>
      <c r="Y20" s="850"/>
    </row>
    <row r="21" spans="1:25" x14ac:dyDescent="0.25">
      <c r="A21" t="s">
        <v>2998</v>
      </c>
      <c r="B21" t="s">
        <v>84</v>
      </c>
      <c r="C21" t="s">
        <v>3120</v>
      </c>
      <c r="D21">
        <v>2022</v>
      </c>
      <c r="E21">
        <v>2022</v>
      </c>
      <c r="F21" t="s">
        <v>3100</v>
      </c>
      <c r="G21">
        <f t="shared" si="0"/>
        <v>1.1226268817204299</v>
      </c>
      <c r="H21">
        <v>2020</v>
      </c>
      <c r="I21" t="s">
        <v>3101</v>
      </c>
      <c r="J21" t="s">
        <v>3148</v>
      </c>
      <c r="K21">
        <v>2040</v>
      </c>
      <c r="L21" s="837"/>
      <c r="M21" s="823"/>
      <c r="N21" s="823">
        <f t="shared" si="6"/>
        <v>5.61313440860215E-3</v>
      </c>
      <c r="O21" s="823">
        <f t="shared" si="6"/>
        <v>5.61313440860215E-3</v>
      </c>
      <c r="P21" s="823">
        <f t="shared" si="6"/>
        <v>5.61313440860215E-3</v>
      </c>
      <c r="Q21" s="823"/>
      <c r="R21" s="823"/>
      <c r="S21" t="s">
        <v>3124</v>
      </c>
      <c r="T21" s="615"/>
      <c r="U21" s="315"/>
      <c r="V21" s="315"/>
      <c r="W21" s="315"/>
      <c r="X21" s="315"/>
      <c r="Y21" s="850"/>
    </row>
    <row r="22" spans="1:25" x14ac:dyDescent="0.25">
      <c r="A22" t="s">
        <v>2998</v>
      </c>
      <c r="B22" t="s">
        <v>84</v>
      </c>
      <c r="C22" t="s">
        <v>3120</v>
      </c>
      <c r="D22">
        <v>2022</v>
      </c>
      <c r="E22">
        <v>2022</v>
      </c>
      <c r="F22" t="s">
        <v>3100</v>
      </c>
      <c r="G22">
        <f t="shared" si="0"/>
        <v>1.1226268817204299</v>
      </c>
      <c r="H22">
        <v>2020</v>
      </c>
      <c r="I22" t="s">
        <v>3101</v>
      </c>
      <c r="J22" t="s">
        <v>3148</v>
      </c>
      <c r="K22">
        <v>2045</v>
      </c>
      <c r="L22" s="837"/>
      <c r="M22" s="823"/>
      <c r="N22" s="823"/>
      <c r="O22" s="823">
        <f t="shared" si="6"/>
        <v>5.61313440860215E-3</v>
      </c>
      <c r="P22" s="823">
        <f t="shared" si="6"/>
        <v>5.61313440860215E-3</v>
      </c>
      <c r="Q22" s="823">
        <f t="shared" ref="Q22" si="7">P22</f>
        <v>5.61313440860215E-3</v>
      </c>
      <c r="R22" s="823"/>
      <c r="S22" t="s">
        <v>3124</v>
      </c>
      <c r="T22" s="615"/>
      <c r="U22" s="315"/>
      <c r="V22" s="315"/>
      <c r="W22" s="315"/>
      <c r="X22" s="315"/>
      <c r="Y22" s="850"/>
    </row>
    <row r="23" spans="1:25" x14ac:dyDescent="0.25">
      <c r="A23" t="s">
        <v>2998</v>
      </c>
      <c r="B23" t="s">
        <v>84</v>
      </c>
      <c r="C23" t="s">
        <v>3120</v>
      </c>
      <c r="D23">
        <v>2022</v>
      </c>
      <c r="E23">
        <v>2022</v>
      </c>
      <c r="F23" t="s">
        <v>3100</v>
      </c>
      <c r="G23">
        <f t="shared" si="0"/>
        <v>1.1226268817204299</v>
      </c>
      <c r="H23">
        <v>2020</v>
      </c>
      <c r="I23" t="s">
        <v>3101</v>
      </c>
      <c r="J23" t="s">
        <v>3148</v>
      </c>
      <c r="K23">
        <v>2050</v>
      </c>
      <c r="L23" s="837"/>
      <c r="M23" s="823"/>
      <c r="N23" s="823"/>
      <c r="O23" s="823"/>
      <c r="P23" s="823">
        <f t="shared" si="6"/>
        <v>5.61313440860215E-3</v>
      </c>
      <c r="Q23" s="823">
        <f t="shared" ref="Q23:R23" si="8">P23</f>
        <v>5.61313440860215E-3</v>
      </c>
      <c r="R23" s="823">
        <f t="shared" si="8"/>
        <v>5.61313440860215E-3</v>
      </c>
      <c r="S23" t="s">
        <v>3124</v>
      </c>
      <c r="T23" s="615"/>
      <c r="U23" s="315"/>
      <c r="V23" s="315"/>
      <c r="W23" s="315"/>
      <c r="X23" s="315"/>
      <c r="Y23" s="850"/>
    </row>
    <row r="24" spans="1:25" x14ac:dyDescent="0.25">
      <c r="A24" t="s">
        <v>2999</v>
      </c>
      <c r="B24" t="s">
        <v>84</v>
      </c>
      <c r="C24" t="s">
        <v>3126</v>
      </c>
      <c r="D24">
        <v>2022</v>
      </c>
      <c r="E24">
        <v>2020</v>
      </c>
      <c r="F24" t="s">
        <v>3101</v>
      </c>
      <c r="G24">
        <v>1</v>
      </c>
      <c r="H24">
        <v>2020</v>
      </c>
      <c r="I24" t="s">
        <v>3101</v>
      </c>
      <c r="J24" t="s">
        <v>3149</v>
      </c>
      <c r="K24">
        <v>2021</v>
      </c>
      <c r="L24" s="246">
        <f>$AC$3*INDEX(CostInvest!$K$20:$Q$24,MATCH(CostFixed!$A24,CostInvest!$A$20:$A$24,0),MATCH(CostFixed!L$2,CostInvest!$K$2:$Q$2,0))</f>
        <v>0.05</v>
      </c>
      <c r="M24" s="246"/>
      <c r="N24" s="246"/>
      <c r="O24" s="246"/>
      <c r="P24" s="246"/>
      <c r="Q24" s="246"/>
      <c r="R24" s="246"/>
      <c r="S24" s="68" t="str">
        <f>"eRoads O&amp;M costs are "&amp;100*$AC$3&amp;"% of initial investment cost"</f>
        <v>eRoads O&amp;M costs are 2% of initial investment cost</v>
      </c>
      <c r="T24" s="615"/>
      <c r="U24" s="315"/>
      <c r="V24" s="315"/>
      <c r="W24" s="315"/>
      <c r="X24" s="315"/>
      <c r="Y24" s="850"/>
    </row>
    <row r="25" spans="1:25" x14ac:dyDescent="0.25">
      <c r="A25" t="s">
        <v>3000</v>
      </c>
      <c r="B25" t="s">
        <v>84</v>
      </c>
      <c r="C25" t="s">
        <v>3126</v>
      </c>
      <c r="D25">
        <v>2022</v>
      </c>
      <c r="E25">
        <v>2020</v>
      </c>
      <c r="F25" t="s">
        <v>3101</v>
      </c>
      <c r="G25">
        <v>1</v>
      </c>
      <c r="H25">
        <v>2020</v>
      </c>
      <c r="I25" t="s">
        <v>3101</v>
      </c>
      <c r="J25" t="s">
        <v>3149</v>
      </c>
      <c r="K25">
        <v>2021</v>
      </c>
      <c r="L25" s="246">
        <f>$AC$3*INDEX(CostInvest!$K$20:$Q$24,MATCH(CostFixed!$A25,CostInvest!$A$20:$A$24,0),MATCH(CostFixed!L$2,CostInvest!$K$2:$Q$2,0))</f>
        <v>0.05</v>
      </c>
      <c r="M25" s="246"/>
      <c r="N25" s="246"/>
      <c r="O25" s="246"/>
      <c r="P25" s="246"/>
      <c r="Q25" s="246"/>
      <c r="R25" s="246"/>
      <c r="S25" s="68" t="str">
        <f t="shared" ref="S25:S58" si="9">"eRoads O&amp;M costs are "&amp;100*$AC$3&amp;"% of initial investment cost"</f>
        <v>eRoads O&amp;M costs are 2% of initial investment cost</v>
      </c>
      <c r="T25" s="615"/>
      <c r="U25" s="315"/>
      <c r="V25" s="315"/>
      <c r="W25" s="315"/>
      <c r="X25" s="315"/>
      <c r="Y25" s="850"/>
    </row>
    <row r="26" spans="1:25" x14ac:dyDescent="0.25">
      <c r="A26" t="s">
        <v>3001</v>
      </c>
      <c r="B26" t="s">
        <v>84</v>
      </c>
      <c r="C26" t="s">
        <v>3126</v>
      </c>
      <c r="D26">
        <v>2022</v>
      </c>
      <c r="E26">
        <v>2020</v>
      </c>
      <c r="F26" t="s">
        <v>3101</v>
      </c>
      <c r="G26">
        <v>1</v>
      </c>
      <c r="H26">
        <v>2020</v>
      </c>
      <c r="I26" t="s">
        <v>3101</v>
      </c>
      <c r="J26" t="s">
        <v>3149</v>
      </c>
      <c r="K26">
        <v>2021</v>
      </c>
      <c r="L26" s="246">
        <f>$AC$3*INDEX(CostInvest!$K$20:$Q$24,MATCH(CostFixed!$A26,CostInvest!$A$20:$A$24,0),MATCH(CostFixed!L$2,CostInvest!$K$2:$Q$2,0))</f>
        <v>0.05</v>
      </c>
      <c r="M26" s="246"/>
      <c r="N26" s="246"/>
      <c r="O26" s="246"/>
      <c r="P26" s="246"/>
      <c r="Q26" s="246"/>
      <c r="R26" s="246"/>
      <c r="S26" s="68" t="str">
        <f t="shared" si="9"/>
        <v>eRoads O&amp;M costs are 2% of initial investment cost</v>
      </c>
      <c r="T26" s="615"/>
      <c r="U26" s="315"/>
      <c r="V26" s="315"/>
      <c r="W26" s="315"/>
      <c r="X26" s="315"/>
      <c r="Y26" s="850"/>
    </row>
    <row r="27" spans="1:25" x14ac:dyDescent="0.25">
      <c r="A27" t="s">
        <v>3002</v>
      </c>
      <c r="B27" t="s">
        <v>84</v>
      </c>
      <c r="C27" t="s">
        <v>3126</v>
      </c>
      <c r="D27">
        <v>2022</v>
      </c>
      <c r="E27">
        <v>2020</v>
      </c>
      <c r="F27" t="s">
        <v>3101</v>
      </c>
      <c r="G27">
        <v>1</v>
      </c>
      <c r="H27">
        <v>2020</v>
      </c>
      <c r="I27" t="s">
        <v>3101</v>
      </c>
      <c r="J27" t="s">
        <v>3149</v>
      </c>
      <c r="K27">
        <v>2021</v>
      </c>
      <c r="L27" s="246">
        <f>$AC$3*INDEX(CostInvest!$K$20:$Q$24,MATCH(CostFixed!$A27,CostInvest!$A$20:$A$24,0),MATCH(CostFixed!L$2,CostInvest!$K$2:$Q$2,0))</f>
        <v>0.05</v>
      </c>
      <c r="M27" s="246"/>
      <c r="N27" s="246"/>
      <c r="O27" s="246"/>
      <c r="P27" s="246"/>
      <c r="Q27" s="246"/>
      <c r="R27" s="246"/>
      <c r="S27" s="68" t="str">
        <f t="shared" si="9"/>
        <v>eRoads O&amp;M costs are 2% of initial investment cost</v>
      </c>
      <c r="T27" s="615"/>
      <c r="U27" s="315"/>
      <c r="V27" s="315"/>
      <c r="W27" s="315"/>
      <c r="X27" s="315"/>
      <c r="Y27" s="850"/>
    </row>
    <row r="28" spans="1:25" x14ac:dyDescent="0.25">
      <c r="A28" t="s">
        <v>3003</v>
      </c>
      <c r="B28" t="s">
        <v>84</v>
      </c>
      <c r="C28" t="s">
        <v>3126</v>
      </c>
      <c r="D28">
        <v>2022</v>
      </c>
      <c r="E28">
        <v>2020</v>
      </c>
      <c r="F28" t="s">
        <v>3101</v>
      </c>
      <c r="G28">
        <v>1</v>
      </c>
      <c r="H28">
        <v>2020</v>
      </c>
      <c r="I28" t="s">
        <v>3101</v>
      </c>
      <c r="J28" t="s">
        <v>3149</v>
      </c>
      <c r="K28">
        <v>2021</v>
      </c>
      <c r="L28" s="246">
        <f>$AC$3*INDEX(CostInvest!$K$20:$Q$24,MATCH(CostFixed!$A28,CostInvest!$A$20:$A$24,0),MATCH(CostFixed!L$2,CostInvest!$K$2:$Q$2,0))</f>
        <v>0.05</v>
      </c>
      <c r="M28" s="246"/>
      <c r="N28" s="246"/>
      <c r="O28" s="246"/>
      <c r="P28" s="246"/>
      <c r="Q28" s="246"/>
      <c r="R28" s="246"/>
      <c r="S28" s="68" t="str">
        <f t="shared" si="9"/>
        <v>eRoads O&amp;M costs are 2% of initial investment cost</v>
      </c>
      <c r="T28" s="615"/>
      <c r="U28" s="315"/>
      <c r="V28" s="315"/>
      <c r="W28" s="315"/>
      <c r="X28" s="315"/>
      <c r="Y28" s="850"/>
    </row>
    <row r="29" spans="1:25" x14ac:dyDescent="0.25">
      <c r="A29" t="s">
        <v>2999</v>
      </c>
      <c r="B29" t="s">
        <v>84</v>
      </c>
      <c r="C29" t="s">
        <v>3126</v>
      </c>
      <c r="D29">
        <v>2022</v>
      </c>
      <c r="E29">
        <v>2020</v>
      </c>
      <c r="F29" t="s">
        <v>3101</v>
      </c>
      <c r="G29">
        <v>1</v>
      </c>
      <c r="H29">
        <v>2020</v>
      </c>
      <c r="I29" t="s">
        <v>3101</v>
      </c>
      <c r="J29" t="s">
        <v>3149</v>
      </c>
      <c r="K29">
        <v>2025</v>
      </c>
      <c r="L29" s="246">
        <f>$AC$3*INDEX(CostInvest!$K$20:$Q$24,MATCH(CostFixed!$A29,CostInvest!$A$20:$A$24,0),MATCH(CostFixed!L$2,CostInvest!$K$2:$Q$2,0))</f>
        <v>0.05</v>
      </c>
      <c r="M29" s="246">
        <f>$AC$3*INDEX(CostInvest!$K$20:$Q$24,MATCH(CostFixed!$A29,CostInvest!$A$20:$A$24,0),MATCH(CostFixed!M$2,CostInvest!$K$2:$Q$2,0))</f>
        <v>0.05</v>
      </c>
      <c r="N29" s="246"/>
      <c r="O29" s="246"/>
      <c r="P29" s="246"/>
      <c r="Q29" s="246"/>
      <c r="R29" s="246"/>
      <c r="S29" s="68" t="str">
        <f t="shared" si="9"/>
        <v>eRoads O&amp;M costs are 2% of initial investment cost</v>
      </c>
      <c r="T29" s="615"/>
      <c r="U29" s="315"/>
      <c r="V29" s="315"/>
      <c r="W29" s="315"/>
      <c r="X29" s="315"/>
      <c r="Y29" s="850"/>
    </row>
    <row r="30" spans="1:25" x14ac:dyDescent="0.25">
      <c r="A30" t="s">
        <v>3000</v>
      </c>
      <c r="B30" t="s">
        <v>84</v>
      </c>
      <c r="C30" t="s">
        <v>3126</v>
      </c>
      <c r="D30">
        <v>2022</v>
      </c>
      <c r="E30">
        <v>2020</v>
      </c>
      <c r="F30" t="s">
        <v>3101</v>
      </c>
      <c r="G30">
        <v>1</v>
      </c>
      <c r="H30">
        <v>2020</v>
      </c>
      <c r="I30" t="s">
        <v>3101</v>
      </c>
      <c r="J30" t="s">
        <v>3149</v>
      </c>
      <c r="K30">
        <v>2025</v>
      </c>
      <c r="L30" s="246">
        <f>$AC$3*INDEX(CostInvest!$K$20:$Q$24,MATCH(CostFixed!$A30,CostInvest!$A$20:$A$24,0),MATCH(CostFixed!L$2,CostInvest!$K$2:$Q$2,0))</f>
        <v>0.05</v>
      </c>
      <c r="M30" s="246">
        <f>$AC$3*INDEX(CostInvest!$K$20:$Q$24,MATCH(CostFixed!$A30,CostInvest!$A$20:$A$24,0),MATCH(CostFixed!M$2,CostInvest!$K$2:$Q$2,0))</f>
        <v>0.05</v>
      </c>
      <c r="N30" s="246"/>
      <c r="O30" s="246"/>
      <c r="P30" s="246"/>
      <c r="Q30" s="246"/>
      <c r="R30" s="246"/>
      <c r="S30" s="68" t="str">
        <f t="shared" si="9"/>
        <v>eRoads O&amp;M costs are 2% of initial investment cost</v>
      </c>
      <c r="T30" s="615"/>
      <c r="U30" s="315"/>
      <c r="V30" s="315"/>
      <c r="W30" s="315"/>
      <c r="X30" s="315"/>
      <c r="Y30" s="850"/>
    </row>
    <row r="31" spans="1:25" x14ac:dyDescent="0.25">
      <c r="A31" t="s">
        <v>3001</v>
      </c>
      <c r="B31" t="s">
        <v>84</v>
      </c>
      <c r="C31" t="s">
        <v>3126</v>
      </c>
      <c r="D31">
        <v>2022</v>
      </c>
      <c r="E31">
        <v>2020</v>
      </c>
      <c r="F31" t="s">
        <v>3101</v>
      </c>
      <c r="G31">
        <v>1</v>
      </c>
      <c r="H31">
        <v>2020</v>
      </c>
      <c r="I31" t="s">
        <v>3101</v>
      </c>
      <c r="J31" t="s">
        <v>3149</v>
      </c>
      <c r="K31">
        <v>2025</v>
      </c>
      <c r="L31" s="246">
        <f>$AC$3*INDEX(CostInvest!$K$20:$Q$24,MATCH(CostFixed!$A31,CostInvest!$A$20:$A$24,0),MATCH(CostFixed!L$2,CostInvest!$K$2:$Q$2,0))</f>
        <v>0.05</v>
      </c>
      <c r="M31" s="246">
        <f>$AC$3*INDEX(CostInvest!$K$20:$Q$24,MATCH(CostFixed!$A31,CostInvest!$A$20:$A$24,0),MATCH(CostFixed!M$2,CostInvest!$K$2:$Q$2,0))</f>
        <v>0.05</v>
      </c>
      <c r="N31" s="246"/>
      <c r="O31" s="246"/>
      <c r="P31" s="246"/>
      <c r="Q31" s="246"/>
      <c r="R31" s="246"/>
      <c r="S31" s="68" t="str">
        <f t="shared" si="9"/>
        <v>eRoads O&amp;M costs are 2% of initial investment cost</v>
      </c>
      <c r="T31" s="615"/>
      <c r="U31" s="315"/>
      <c r="V31" s="315"/>
      <c r="W31" s="315"/>
      <c r="X31" s="315"/>
      <c r="Y31" s="850"/>
    </row>
    <row r="32" spans="1:25" x14ac:dyDescent="0.25">
      <c r="A32" t="s">
        <v>3002</v>
      </c>
      <c r="B32" t="s">
        <v>84</v>
      </c>
      <c r="C32" t="s">
        <v>3126</v>
      </c>
      <c r="D32">
        <v>2022</v>
      </c>
      <c r="E32">
        <v>2020</v>
      </c>
      <c r="F32" t="s">
        <v>3101</v>
      </c>
      <c r="G32">
        <v>1</v>
      </c>
      <c r="H32">
        <v>2020</v>
      </c>
      <c r="I32" t="s">
        <v>3101</v>
      </c>
      <c r="J32" t="s">
        <v>3149</v>
      </c>
      <c r="K32">
        <v>2025</v>
      </c>
      <c r="L32" s="246">
        <f>$AC$3*INDEX(CostInvest!$K$20:$Q$24,MATCH(CostFixed!$A32,CostInvest!$A$20:$A$24,0),MATCH(CostFixed!L$2,CostInvest!$K$2:$Q$2,0))</f>
        <v>0.05</v>
      </c>
      <c r="M32" s="246">
        <f>$AC$3*INDEX(CostInvest!$K$20:$Q$24,MATCH(CostFixed!$A32,CostInvest!$A$20:$A$24,0),MATCH(CostFixed!M$2,CostInvest!$K$2:$Q$2,0))</f>
        <v>0.05</v>
      </c>
      <c r="N32" s="246"/>
      <c r="O32" s="246"/>
      <c r="P32" s="246"/>
      <c r="Q32" s="246"/>
      <c r="R32" s="246"/>
      <c r="S32" s="68" t="str">
        <f t="shared" si="9"/>
        <v>eRoads O&amp;M costs are 2% of initial investment cost</v>
      </c>
      <c r="T32" s="615"/>
      <c r="U32" s="315"/>
      <c r="V32" s="315"/>
      <c r="W32" s="315"/>
      <c r="X32" s="315"/>
      <c r="Y32" s="850"/>
    </row>
    <row r="33" spans="1:25" x14ac:dyDescent="0.25">
      <c r="A33" t="s">
        <v>3003</v>
      </c>
      <c r="B33" t="s">
        <v>84</v>
      </c>
      <c r="C33" t="s">
        <v>3126</v>
      </c>
      <c r="D33">
        <v>2022</v>
      </c>
      <c r="E33">
        <v>2020</v>
      </c>
      <c r="F33" t="s">
        <v>3101</v>
      </c>
      <c r="G33">
        <v>1</v>
      </c>
      <c r="H33">
        <v>2020</v>
      </c>
      <c r="I33" t="s">
        <v>3101</v>
      </c>
      <c r="J33" t="s">
        <v>3149</v>
      </c>
      <c r="K33">
        <v>2025</v>
      </c>
      <c r="L33" s="246">
        <f>$AC$3*INDEX(CostInvest!$K$20:$Q$24,MATCH(CostFixed!$A33,CostInvest!$A$20:$A$24,0),MATCH(CostFixed!L$2,CostInvest!$K$2:$Q$2,0))</f>
        <v>0.05</v>
      </c>
      <c r="M33" s="246">
        <f>$AC$3*INDEX(CostInvest!$K$20:$Q$24,MATCH(CostFixed!$A33,CostInvest!$A$20:$A$24,0),MATCH(CostFixed!M$2,CostInvest!$K$2:$Q$2,0))</f>
        <v>0.05</v>
      </c>
      <c r="N33" s="246"/>
      <c r="O33" s="246"/>
      <c r="P33" s="246"/>
      <c r="Q33" s="246"/>
      <c r="R33" s="246"/>
      <c r="S33" s="68" t="str">
        <f t="shared" si="9"/>
        <v>eRoads O&amp;M costs are 2% of initial investment cost</v>
      </c>
      <c r="T33" s="615"/>
      <c r="U33" s="315"/>
      <c r="V33" s="315"/>
      <c r="W33" s="315"/>
      <c r="X33" s="315"/>
      <c r="Y33" s="850"/>
    </row>
    <row r="34" spans="1:25" x14ac:dyDescent="0.25">
      <c r="A34" t="s">
        <v>2999</v>
      </c>
      <c r="B34" t="s">
        <v>84</v>
      </c>
      <c r="C34" t="s">
        <v>3126</v>
      </c>
      <c r="D34">
        <v>2022</v>
      </c>
      <c r="E34">
        <v>2020</v>
      </c>
      <c r="F34" t="s">
        <v>3101</v>
      </c>
      <c r="G34">
        <v>1</v>
      </c>
      <c r="H34">
        <v>2020</v>
      </c>
      <c r="I34" t="s">
        <v>3101</v>
      </c>
      <c r="J34" t="s">
        <v>3149</v>
      </c>
      <c r="K34">
        <v>2030</v>
      </c>
      <c r="L34" s="246">
        <f>$AC$3*INDEX(CostInvest!$K$20:$Q$24,MATCH(CostFixed!$A34,CostInvest!$A$20:$A$24,0),MATCH(CostFixed!L$2,CostInvest!$K$2:$Q$2,0))</f>
        <v>0.05</v>
      </c>
      <c r="M34" s="246">
        <f>$AC$3*INDEX(CostInvest!$K$20:$Q$24,MATCH(CostFixed!$A34,CostInvest!$A$20:$A$24,0),MATCH(CostFixed!M$2,CostInvest!$K$2:$Q$2,0))</f>
        <v>0.05</v>
      </c>
      <c r="N34" s="246">
        <f>$AC$3*INDEX(CostInvest!$K$20:$Q$24,MATCH(CostFixed!$A34,CostInvest!$A$20:$A$24,0),MATCH(CostFixed!N$2,CostInvest!$K$2:$Q$2,0))</f>
        <v>0.05</v>
      </c>
      <c r="O34" s="246"/>
      <c r="P34" s="246"/>
      <c r="Q34" s="246"/>
      <c r="R34" s="246"/>
      <c r="S34" s="68" t="str">
        <f t="shared" si="9"/>
        <v>eRoads O&amp;M costs are 2% of initial investment cost</v>
      </c>
      <c r="T34" s="615"/>
      <c r="U34" s="315"/>
      <c r="V34" s="315"/>
      <c r="W34" s="315"/>
      <c r="X34" s="315"/>
      <c r="Y34" s="850"/>
    </row>
    <row r="35" spans="1:25" x14ac:dyDescent="0.25">
      <c r="A35" t="s">
        <v>3000</v>
      </c>
      <c r="B35" t="s">
        <v>84</v>
      </c>
      <c r="C35" t="s">
        <v>3126</v>
      </c>
      <c r="D35">
        <v>2022</v>
      </c>
      <c r="E35">
        <v>2020</v>
      </c>
      <c r="F35" t="s">
        <v>3101</v>
      </c>
      <c r="G35">
        <v>1</v>
      </c>
      <c r="H35">
        <v>2020</v>
      </c>
      <c r="I35" t="s">
        <v>3101</v>
      </c>
      <c r="J35" t="s">
        <v>3149</v>
      </c>
      <c r="K35">
        <v>2030</v>
      </c>
      <c r="L35" s="246">
        <f>$AC$3*INDEX(CostInvest!$K$20:$Q$24,MATCH(CostFixed!$A35,CostInvest!$A$20:$A$24,0),MATCH(CostFixed!L$2,CostInvest!$K$2:$Q$2,0))</f>
        <v>0.05</v>
      </c>
      <c r="M35" s="246">
        <f>$AC$3*INDEX(CostInvest!$K$20:$Q$24,MATCH(CostFixed!$A35,CostInvest!$A$20:$A$24,0),MATCH(CostFixed!M$2,CostInvest!$K$2:$Q$2,0))</f>
        <v>0.05</v>
      </c>
      <c r="N35" s="246">
        <f>$AC$3*INDEX(CostInvest!$K$20:$Q$24,MATCH(CostFixed!$A35,CostInvest!$A$20:$A$24,0),MATCH(CostFixed!N$2,CostInvest!$K$2:$Q$2,0))</f>
        <v>0.05</v>
      </c>
      <c r="O35" s="246"/>
      <c r="P35" s="246"/>
      <c r="Q35" s="246"/>
      <c r="R35" s="246"/>
      <c r="S35" s="68" t="str">
        <f t="shared" si="9"/>
        <v>eRoads O&amp;M costs are 2% of initial investment cost</v>
      </c>
      <c r="T35" s="615"/>
      <c r="U35" s="315"/>
      <c r="V35" s="315"/>
      <c r="W35" s="315"/>
      <c r="X35" s="315"/>
      <c r="Y35" s="850"/>
    </row>
    <row r="36" spans="1:25" x14ac:dyDescent="0.25">
      <c r="A36" t="s">
        <v>3001</v>
      </c>
      <c r="B36" t="s">
        <v>84</v>
      </c>
      <c r="C36" t="s">
        <v>3126</v>
      </c>
      <c r="D36">
        <v>2022</v>
      </c>
      <c r="E36">
        <v>2020</v>
      </c>
      <c r="F36" t="s">
        <v>3101</v>
      </c>
      <c r="G36">
        <v>1</v>
      </c>
      <c r="H36">
        <v>2020</v>
      </c>
      <c r="I36" t="s">
        <v>3101</v>
      </c>
      <c r="J36" t="s">
        <v>3149</v>
      </c>
      <c r="K36">
        <v>2030</v>
      </c>
      <c r="L36" s="246">
        <f>$AC$3*INDEX(CostInvest!$K$20:$Q$24,MATCH(CostFixed!$A36,CostInvest!$A$20:$A$24,0),MATCH(CostFixed!L$2,CostInvest!$K$2:$Q$2,0))</f>
        <v>0.05</v>
      </c>
      <c r="M36" s="246">
        <f>$AC$3*INDEX(CostInvest!$K$20:$Q$24,MATCH(CostFixed!$A36,CostInvest!$A$20:$A$24,0),MATCH(CostFixed!M$2,CostInvest!$K$2:$Q$2,0))</f>
        <v>0.05</v>
      </c>
      <c r="N36" s="246">
        <f>$AC$3*INDEX(CostInvest!$K$20:$Q$24,MATCH(CostFixed!$A36,CostInvest!$A$20:$A$24,0),MATCH(CostFixed!N$2,CostInvest!$K$2:$Q$2,0))</f>
        <v>0.05</v>
      </c>
      <c r="O36" s="246"/>
      <c r="P36" s="246"/>
      <c r="Q36" s="246"/>
      <c r="R36" s="246"/>
      <c r="S36" s="68" t="str">
        <f t="shared" si="9"/>
        <v>eRoads O&amp;M costs are 2% of initial investment cost</v>
      </c>
      <c r="T36" s="615"/>
      <c r="U36" s="315"/>
      <c r="V36" s="315"/>
      <c r="W36" s="315"/>
      <c r="X36" s="315"/>
      <c r="Y36" s="850"/>
    </row>
    <row r="37" spans="1:25" x14ac:dyDescent="0.25">
      <c r="A37" t="s">
        <v>3002</v>
      </c>
      <c r="B37" t="s">
        <v>84</v>
      </c>
      <c r="C37" t="s">
        <v>3126</v>
      </c>
      <c r="D37">
        <v>2022</v>
      </c>
      <c r="E37">
        <v>2020</v>
      </c>
      <c r="F37" t="s">
        <v>3101</v>
      </c>
      <c r="G37">
        <v>1</v>
      </c>
      <c r="H37">
        <v>2020</v>
      </c>
      <c r="I37" t="s">
        <v>3101</v>
      </c>
      <c r="J37" t="s">
        <v>3149</v>
      </c>
      <c r="K37">
        <v>2030</v>
      </c>
      <c r="L37" s="246">
        <f>$AC$3*INDEX(CostInvest!$K$20:$Q$24,MATCH(CostFixed!$A37,CostInvest!$A$20:$A$24,0),MATCH(CostFixed!L$2,CostInvest!$K$2:$Q$2,0))</f>
        <v>0.05</v>
      </c>
      <c r="M37" s="246">
        <f>$AC$3*INDEX(CostInvest!$K$20:$Q$24,MATCH(CostFixed!$A37,CostInvest!$A$20:$A$24,0),MATCH(CostFixed!M$2,CostInvest!$K$2:$Q$2,0))</f>
        <v>0.05</v>
      </c>
      <c r="N37" s="246">
        <f>$AC$3*INDEX(CostInvest!$K$20:$Q$24,MATCH(CostFixed!$A37,CostInvest!$A$20:$A$24,0),MATCH(CostFixed!N$2,CostInvest!$K$2:$Q$2,0))</f>
        <v>0.05</v>
      </c>
      <c r="O37" s="246"/>
      <c r="P37" s="246"/>
      <c r="Q37" s="246"/>
      <c r="R37" s="246"/>
      <c r="S37" s="68" t="str">
        <f t="shared" si="9"/>
        <v>eRoads O&amp;M costs are 2% of initial investment cost</v>
      </c>
      <c r="T37" s="615"/>
      <c r="U37" s="315"/>
      <c r="V37" s="315"/>
      <c r="W37" s="315"/>
      <c r="X37" s="315"/>
      <c r="Y37" s="850"/>
    </row>
    <row r="38" spans="1:25" x14ac:dyDescent="0.25">
      <c r="A38" t="s">
        <v>3003</v>
      </c>
      <c r="B38" t="s">
        <v>84</v>
      </c>
      <c r="C38" t="s">
        <v>3126</v>
      </c>
      <c r="D38">
        <v>2022</v>
      </c>
      <c r="E38">
        <v>2020</v>
      </c>
      <c r="F38" t="s">
        <v>3101</v>
      </c>
      <c r="G38">
        <v>1</v>
      </c>
      <c r="H38">
        <v>2020</v>
      </c>
      <c r="I38" t="s">
        <v>3101</v>
      </c>
      <c r="J38" t="s">
        <v>3149</v>
      </c>
      <c r="K38">
        <v>2030</v>
      </c>
      <c r="L38" s="246">
        <f>$AC$3*INDEX(CostInvest!$K$20:$Q$24,MATCH(CostFixed!$A38,CostInvest!$A$20:$A$24,0),MATCH(CostFixed!L$2,CostInvest!$K$2:$Q$2,0))</f>
        <v>0.05</v>
      </c>
      <c r="M38" s="246">
        <f>$AC$3*INDEX(CostInvest!$K$20:$Q$24,MATCH(CostFixed!$A38,CostInvest!$A$20:$A$24,0),MATCH(CostFixed!M$2,CostInvest!$K$2:$Q$2,0))</f>
        <v>0.05</v>
      </c>
      <c r="N38" s="246">
        <f>$AC$3*INDEX(CostInvest!$K$20:$Q$24,MATCH(CostFixed!$A38,CostInvest!$A$20:$A$24,0),MATCH(CostFixed!N$2,CostInvest!$K$2:$Q$2,0))</f>
        <v>0.05</v>
      </c>
      <c r="O38" s="246"/>
      <c r="P38" s="246"/>
      <c r="Q38" s="246"/>
      <c r="R38" s="246"/>
      <c r="S38" s="68" t="str">
        <f t="shared" si="9"/>
        <v>eRoads O&amp;M costs are 2% of initial investment cost</v>
      </c>
      <c r="T38" s="615"/>
      <c r="U38" s="315"/>
      <c r="V38" s="315"/>
      <c r="W38" s="315"/>
      <c r="X38" s="315"/>
      <c r="Y38" s="850"/>
    </row>
    <row r="39" spans="1:25" x14ac:dyDescent="0.25">
      <c r="A39" t="s">
        <v>2999</v>
      </c>
      <c r="B39" t="s">
        <v>84</v>
      </c>
      <c r="C39" t="s">
        <v>3126</v>
      </c>
      <c r="D39">
        <v>2022</v>
      </c>
      <c r="E39">
        <v>2020</v>
      </c>
      <c r="F39" t="s">
        <v>3101</v>
      </c>
      <c r="G39">
        <v>1</v>
      </c>
      <c r="H39">
        <v>2020</v>
      </c>
      <c r="I39" t="s">
        <v>3101</v>
      </c>
      <c r="J39" t="s">
        <v>3149</v>
      </c>
      <c r="K39">
        <v>2035</v>
      </c>
      <c r="L39" s="246">
        <f>$AC$3*INDEX(CostInvest!$K$20:$Q$24,MATCH(CostFixed!$A39,CostInvest!$A$20:$A$24,0),MATCH(CostFixed!L$2,CostInvest!$K$2:$Q$2,0))</f>
        <v>0.05</v>
      </c>
      <c r="M39" s="246">
        <f>$AC$3*INDEX(CostInvest!$K$20:$Q$24,MATCH(CostFixed!$A39,CostInvest!$A$20:$A$24,0),MATCH(CostFixed!M$2,CostInvest!$K$2:$Q$2,0))</f>
        <v>0.05</v>
      </c>
      <c r="N39" s="246">
        <f>$AC$3*INDEX(CostInvest!$K$20:$Q$24,MATCH(CostFixed!$A39,CostInvest!$A$20:$A$24,0),MATCH(CostFixed!N$2,CostInvest!$K$2:$Q$2,0))</f>
        <v>0.05</v>
      </c>
      <c r="O39" s="246">
        <f>$AC$3*INDEX(CostInvest!$K$20:$Q$24,MATCH(CostFixed!$A39,CostInvest!$A$20:$A$24,0),MATCH(CostFixed!O$2,CostInvest!$K$2:$Q$2,0))</f>
        <v>0.05</v>
      </c>
      <c r="P39" s="246"/>
      <c r="Q39" s="246"/>
      <c r="R39" s="246"/>
      <c r="S39" s="68" t="str">
        <f t="shared" si="9"/>
        <v>eRoads O&amp;M costs are 2% of initial investment cost</v>
      </c>
      <c r="T39" s="615"/>
      <c r="U39" s="315"/>
      <c r="V39" s="315"/>
      <c r="W39" s="315"/>
      <c r="X39" s="315"/>
      <c r="Y39" s="850"/>
    </row>
    <row r="40" spans="1:25" x14ac:dyDescent="0.25">
      <c r="A40" t="s">
        <v>3000</v>
      </c>
      <c r="B40" t="s">
        <v>84</v>
      </c>
      <c r="C40" t="s">
        <v>3126</v>
      </c>
      <c r="D40">
        <v>2022</v>
      </c>
      <c r="E40">
        <v>2020</v>
      </c>
      <c r="F40" t="s">
        <v>3101</v>
      </c>
      <c r="G40">
        <v>1</v>
      </c>
      <c r="H40">
        <v>2020</v>
      </c>
      <c r="I40" t="s">
        <v>3101</v>
      </c>
      <c r="J40" t="s">
        <v>3149</v>
      </c>
      <c r="K40">
        <v>2035</v>
      </c>
      <c r="L40" s="246">
        <f>$AC$3*INDEX(CostInvest!$K$20:$Q$24,MATCH(CostFixed!$A40,CostInvest!$A$20:$A$24,0),MATCH(CostFixed!L$2,CostInvest!$K$2:$Q$2,0))</f>
        <v>0.05</v>
      </c>
      <c r="M40" s="246">
        <f>$AC$3*INDEX(CostInvest!$K$20:$Q$24,MATCH(CostFixed!$A40,CostInvest!$A$20:$A$24,0),MATCH(CostFixed!M$2,CostInvest!$K$2:$Q$2,0))</f>
        <v>0.05</v>
      </c>
      <c r="N40" s="246">
        <f>$AC$3*INDEX(CostInvest!$K$20:$Q$24,MATCH(CostFixed!$A40,CostInvest!$A$20:$A$24,0),MATCH(CostFixed!N$2,CostInvest!$K$2:$Q$2,0))</f>
        <v>0.05</v>
      </c>
      <c r="O40" s="246">
        <f>$AC$3*INDEX(CostInvest!$K$20:$Q$24,MATCH(CostFixed!$A40,CostInvest!$A$20:$A$24,0),MATCH(CostFixed!O$2,CostInvest!$K$2:$Q$2,0))</f>
        <v>0.05</v>
      </c>
      <c r="P40" s="246"/>
      <c r="Q40" s="246"/>
      <c r="R40" s="246"/>
      <c r="S40" s="68" t="str">
        <f t="shared" si="9"/>
        <v>eRoads O&amp;M costs are 2% of initial investment cost</v>
      </c>
      <c r="T40" s="615"/>
      <c r="U40" s="315"/>
      <c r="V40" s="315"/>
      <c r="W40" s="315"/>
      <c r="X40" s="315"/>
      <c r="Y40" s="850"/>
    </row>
    <row r="41" spans="1:25" x14ac:dyDescent="0.25">
      <c r="A41" t="s">
        <v>3001</v>
      </c>
      <c r="B41" t="s">
        <v>84</v>
      </c>
      <c r="C41" t="s">
        <v>3126</v>
      </c>
      <c r="D41">
        <v>2022</v>
      </c>
      <c r="E41">
        <v>2020</v>
      </c>
      <c r="F41" t="s">
        <v>3101</v>
      </c>
      <c r="G41">
        <v>1</v>
      </c>
      <c r="H41">
        <v>2020</v>
      </c>
      <c r="I41" t="s">
        <v>3101</v>
      </c>
      <c r="J41" t="s">
        <v>3149</v>
      </c>
      <c r="K41">
        <v>2035</v>
      </c>
      <c r="L41" s="246">
        <f>$AC$3*INDEX(CostInvest!$K$20:$Q$24,MATCH(CostFixed!$A41,CostInvest!$A$20:$A$24,0),MATCH(CostFixed!L$2,CostInvest!$K$2:$Q$2,0))</f>
        <v>0.05</v>
      </c>
      <c r="M41" s="246">
        <f>$AC$3*INDEX(CostInvest!$K$20:$Q$24,MATCH(CostFixed!$A41,CostInvest!$A$20:$A$24,0),MATCH(CostFixed!M$2,CostInvest!$K$2:$Q$2,0))</f>
        <v>0.05</v>
      </c>
      <c r="N41" s="246">
        <f>$AC$3*INDEX(CostInvest!$K$20:$Q$24,MATCH(CostFixed!$A41,CostInvest!$A$20:$A$24,0),MATCH(CostFixed!N$2,CostInvest!$K$2:$Q$2,0))</f>
        <v>0.05</v>
      </c>
      <c r="O41" s="246">
        <f>$AC$3*INDEX(CostInvest!$K$20:$Q$24,MATCH(CostFixed!$A41,CostInvest!$A$20:$A$24,0),MATCH(CostFixed!O$2,CostInvest!$K$2:$Q$2,0))</f>
        <v>0.05</v>
      </c>
      <c r="P41" s="246"/>
      <c r="Q41" s="246"/>
      <c r="R41" s="246"/>
      <c r="S41" s="68" t="str">
        <f t="shared" si="9"/>
        <v>eRoads O&amp;M costs are 2% of initial investment cost</v>
      </c>
      <c r="T41" s="615"/>
      <c r="U41" s="315"/>
      <c r="V41" s="315"/>
      <c r="W41" s="315"/>
      <c r="X41" s="315"/>
      <c r="Y41" s="850"/>
    </row>
    <row r="42" spans="1:25" x14ac:dyDescent="0.25">
      <c r="A42" t="s">
        <v>3002</v>
      </c>
      <c r="B42" t="s">
        <v>84</v>
      </c>
      <c r="C42" t="s">
        <v>3126</v>
      </c>
      <c r="D42">
        <v>2022</v>
      </c>
      <c r="E42">
        <v>2020</v>
      </c>
      <c r="F42" t="s">
        <v>3101</v>
      </c>
      <c r="G42">
        <v>1</v>
      </c>
      <c r="H42">
        <v>2020</v>
      </c>
      <c r="I42" t="s">
        <v>3101</v>
      </c>
      <c r="J42" t="s">
        <v>3149</v>
      </c>
      <c r="K42">
        <v>2035</v>
      </c>
      <c r="L42" s="246">
        <f>$AC$3*INDEX(CostInvest!$K$20:$Q$24,MATCH(CostFixed!$A42,CostInvest!$A$20:$A$24,0),MATCH(CostFixed!L$2,CostInvest!$K$2:$Q$2,0))</f>
        <v>0.05</v>
      </c>
      <c r="M42" s="246">
        <f>$AC$3*INDEX(CostInvest!$K$20:$Q$24,MATCH(CostFixed!$A42,CostInvest!$A$20:$A$24,0),MATCH(CostFixed!M$2,CostInvest!$K$2:$Q$2,0))</f>
        <v>0.05</v>
      </c>
      <c r="N42" s="246">
        <f>$AC$3*INDEX(CostInvest!$K$20:$Q$24,MATCH(CostFixed!$A42,CostInvest!$A$20:$A$24,0),MATCH(CostFixed!N$2,CostInvest!$K$2:$Q$2,0))</f>
        <v>0.05</v>
      </c>
      <c r="O42" s="246">
        <f>$AC$3*INDEX(CostInvest!$K$20:$Q$24,MATCH(CostFixed!$A42,CostInvest!$A$20:$A$24,0),MATCH(CostFixed!O$2,CostInvest!$K$2:$Q$2,0))</f>
        <v>0.05</v>
      </c>
      <c r="P42" s="246"/>
      <c r="Q42" s="246"/>
      <c r="R42" s="246"/>
      <c r="S42" s="68" t="str">
        <f t="shared" si="9"/>
        <v>eRoads O&amp;M costs are 2% of initial investment cost</v>
      </c>
      <c r="T42" s="615"/>
      <c r="U42" s="315"/>
      <c r="V42" s="315"/>
      <c r="W42" s="315"/>
      <c r="X42" s="315"/>
      <c r="Y42" s="850"/>
    </row>
    <row r="43" spans="1:25" x14ac:dyDescent="0.25">
      <c r="A43" t="s">
        <v>3003</v>
      </c>
      <c r="B43" t="s">
        <v>84</v>
      </c>
      <c r="C43" t="s">
        <v>3126</v>
      </c>
      <c r="D43">
        <v>2022</v>
      </c>
      <c r="E43">
        <v>2020</v>
      </c>
      <c r="F43" t="s">
        <v>3101</v>
      </c>
      <c r="G43">
        <v>1</v>
      </c>
      <c r="H43">
        <v>2020</v>
      </c>
      <c r="I43" t="s">
        <v>3101</v>
      </c>
      <c r="J43" t="s">
        <v>3149</v>
      </c>
      <c r="K43">
        <v>2035</v>
      </c>
      <c r="L43" s="246">
        <f>$AC$3*INDEX(CostInvest!$K$20:$Q$24,MATCH(CostFixed!$A43,CostInvest!$A$20:$A$24,0),MATCH(CostFixed!L$2,CostInvest!$K$2:$Q$2,0))</f>
        <v>0.05</v>
      </c>
      <c r="M43" s="246">
        <f>$AC$3*INDEX(CostInvest!$K$20:$Q$24,MATCH(CostFixed!$A43,CostInvest!$A$20:$A$24,0),MATCH(CostFixed!M$2,CostInvest!$K$2:$Q$2,0))</f>
        <v>0.05</v>
      </c>
      <c r="N43" s="246">
        <f>$AC$3*INDEX(CostInvest!$K$20:$Q$24,MATCH(CostFixed!$A43,CostInvest!$A$20:$A$24,0),MATCH(CostFixed!N$2,CostInvest!$K$2:$Q$2,0))</f>
        <v>0.05</v>
      </c>
      <c r="O43" s="246">
        <f>$AC$3*INDEX(CostInvest!$K$20:$Q$24,MATCH(CostFixed!$A43,CostInvest!$A$20:$A$24,0),MATCH(CostFixed!O$2,CostInvest!$K$2:$Q$2,0))</f>
        <v>0.05</v>
      </c>
      <c r="P43" s="246"/>
      <c r="Q43" s="246"/>
      <c r="R43" s="246"/>
      <c r="S43" s="68" t="str">
        <f t="shared" si="9"/>
        <v>eRoads O&amp;M costs are 2% of initial investment cost</v>
      </c>
      <c r="T43" s="615"/>
      <c r="U43" s="315"/>
      <c r="V43" s="315"/>
      <c r="W43" s="315"/>
      <c r="X43" s="315"/>
      <c r="Y43" s="850"/>
    </row>
    <row r="44" spans="1:25" x14ac:dyDescent="0.25">
      <c r="A44" t="s">
        <v>2999</v>
      </c>
      <c r="B44" t="s">
        <v>84</v>
      </c>
      <c r="C44" t="s">
        <v>3126</v>
      </c>
      <c r="D44">
        <v>2022</v>
      </c>
      <c r="E44">
        <v>2020</v>
      </c>
      <c r="F44" t="s">
        <v>3101</v>
      </c>
      <c r="G44">
        <v>1</v>
      </c>
      <c r="H44">
        <v>2020</v>
      </c>
      <c r="I44" t="s">
        <v>3101</v>
      </c>
      <c r="J44" t="s">
        <v>3149</v>
      </c>
      <c r="K44">
        <v>2040</v>
      </c>
      <c r="L44" s="246">
        <f>$AC$3*INDEX(CostInvest!$K$20:$Q$24,MATCH(CostFixed!$A44,CostInvest!$A$20:$A$24,0),MATCH(CostFixed!L$2,CostInvest!$K$2:$Q$2,0))</f>
        <v>0.05</v>
      </c>
      <c r="M44" s="246">
        <f>$AC$3*INDEX(CostInvest!$K$20:$Q$24,MATCH(CostFixed!$A44,CostInvest!$A$20:$A$24,0),MATCH(CostFixed!M$2,CostInvest!$K$2:$Q$2,0))</f>
        <v>0.05</v>
      </c>
      <c r="N44" s="246">
        <f>$AC$3*INDEX(CostInvest!$K$20:$Q$24,MATCH(CostFixed!$A44,CostInvest!$A$20:$A$24,0),MATCH(CostFixed!N$2,CostInvest!$K$2:$Q$2,0))</f>
        <v>0.05</v>
      </c>
      <c r="O44" s="246">
        <f>$AC$3*INDEX(CostInvest!$K$20:$Q$24,MATCH(CostFixed!$A44,CostInvest!$A$20:$A$24,0),MATCH(CostFixed!O$2,CostInvest!$K$2:$Q$2,0))</f>
        <v>0.05</v>
      </c>
      <c r="P44" s="246">
        <f>$AC$3*INDEX(CostInvest!$K$20:$Q$24,MATCH(CostFixed!$A44,CostInvest!$A$20:$A$24,0),MATCH(CostFixed!P$2,CostInvest!$K$2:$Q$2,0))</f>
        <v>0.05</v>
      </c>
      <c r="Q44" s="246"/>
      <c r="R44" s="246"/>
      <c r="S44" s="68" t="str">
        <f t="shared" si="9"/>
        <v>eRoads O&amp;M costs are 2% of initial investment cost</v>
      </c>
      <c r="T44" s="615"/>
      <c r="U44" s="315"/>
      <c r="V44" s="315"/>
      <c r="W44" s="315"/>
      <c r="X44" s="315"/>
      <c r="Y44" s="850"/>
    </row>
    <row r="45" spans="1:25" x14ac:dyDescent="0.25">
      <c r="A45" t="s">
        <v>3000</v>
      </c>
      <c r="B45" t="s">
        <v>84</v>
      </c>
      <c r="C45" t="s">
        <v>3126</v>
      </c>
      <c r="D45">
        <v>2022</v>
      </c>
      <c r="E45">
        <v>2020</v>
      </c>
      <c r="F45" t="s">
        <v>3101</v>
      </c>
      <c r="G45">
        <v>1</v>
      </c>
      <c r="H45">
        <v>2020</v>
      </c>
      <c r="I45" t="s">
        <v>3101</v>
      </c>
      <c r="J45" t="s">
        <v>3149</v>
      </c>
      <c r="K45">
        <v>2040</v>
      </c>
      <c r="L45" s="246">
        <f>$AC$3*INDEX(CostInvest!$K$20:$Q$24,MATCH(CostFixed!$A45,CostInvest!$A$20:$A$24,0),MATCH(CostFixed!L$2,CostInvest!$K$2:$Q$2,0))</f>
        <v>0.05</v>
      </c>
      <c r="M45" s="246">
        <f>$AC$3*INDEX(CostInvest!$K$20:$Q$24,MATCH(CostFixed!$A45,CostInvest!$A$20:$A$24,0),MATCH(CostFixed!M$2,CostInvest!$K$2:$Q$2,0))</f>
        <v>0.05</v>
      </c>
      <c r="N45" s="246">
        <f>$AC$3*INDEX(CostInvest!$K$20:$Q$24,MATCH(CostFixed!$A45,CostInvest!$A$20:$A$24,0),MATCH(CostFixed!N$2,CostInvest!$K$2:$Q$2,0))</f>
        <v>0.05</v>
      </c>
      <c r="O45" s="246">
        <f>$AC$3*INDEX(CostInvest!$K$20:$Q$24,MATCH(CostFixed!$A45,CostInvest!$A$20:$A$24,0),MATCH(CostFixed!O$2,CostInvest!$K$2:$Q$2,0))</f>
        <v>0.05</v>
      </c>
      <c r="P45" s="246">
        <f>$AC$3*INDEX(CostInvest!$K$20:$Q$24,MATCH(CostFixed!$A45,CostInvest!$A$20:$A$24,0),MATCH(CostFixed!P$2,CostInvest!$K$2:$Q$2,0))</f>
        <v>0.05</v>
      </c>
      <c r="Q45" s="246"/>
      <c r="R45" s="246"/>
      <c r="S45" s="68" t="str">
        <f t="shared" si="9"/>
        <v>eRoads O&amp;M costs are 2% of initial investment cost</v>
      </c>
      <c r="T45" s="615"/>
      <c r="U45" s="315"/>
      <c r="V45" s="315"/>
      <c r="W45" s="315"/>
      <c r="X45" s="315"/>
      <c r="Y45" s="850"/>
    </row>
    <row r="46" spans="1:25" x14ac:dyDescent="0.25">
      <c r="A46" t="s">
        <v>3001</v>
      </c>
      <c r="B46" t="s">
        <v>84</v>
      </c>
      <c r="C46" t="s">
        <v>3126</v>
      </c>
      <c r="D46">
        <v>2022</v>
      </c>
      <c r="E46">
        <v>2020</v>
      </c>
      <c r="F46" t="s">
        <v>3101</v>
      </c>
      <c r="G46">
        <v>1</v>
      </c>
      <c r="H46">
        <v>2020</v>
      </c>
      <c r="I46" t="s">
        <v>3101</v>
      </c>
      <c r="J46" t="s">
        <v>3149</v>
      </c>
      <c r="K46">
        <v>2040</v>
      </c>
      <c r="L46" s="246">
        <f>$AC$3*INDEX(CostInvest!$K$20:$Q$24,MATCH(CostFixed!$A46,CostInvest!$A$20:$A$24,0),MATCH(CostFixed!L$2,CostInvest!$K$2:$Q$2,0))</f>
        <v>0.05</v>
      </c>
      <c r="M46" s="246">
        <f>$AC$3*INDEX(CostInvest!$K$20:$Q$24,MATCH(CostFixed!$A46,CostInvest!$A$20:$A$24,0),MATCH(CostFixed!M$2,CostInvest!$K$2:$Q$2,0))</f>
        <v>0.05</v>
      </c>
      <c r="N46" s="246">
        <f>$AC$3*INDEX(CostInvest!$K$20:$Q$24,MATCH(CostFixed!$A46,CostInvest!$A$20:$A$24,0),MATCH(CostFixed!N$2,CostInvest!$K$2:$Q$2,0))</f>
        <v>0.05</v>
      </c>
      <c r="O46" s="246">
        <f>$AC$3*INDEX(CostInvest!$K$20:$Q$24,MATCH(CostFixed!$A46,CostInvest!$A$20:$A$24,0),MATCH(CostFixed!O$2,CostInvest!$K$2:$Q$2,0))</f>
        <v>0.05</v>
      </c>
      <c r="P46" s="246">
        <f>$AC$3*INDEX(CostInvest!$K$20:$Q$24,MATCH(CostFixed!$A46,CostInvest!$A$20:$A$24,0),MATCH(CostFixed!P$2,CostInvest!$K$2:$Q$2,0))</f>
        <v>0.05</v>
      </c>
      <c r="Q46" s="246"/>
      <c r="R46" s="246"/>
      <c r="S46" s="68" t="str">
        <f t="shared" si="9"/>
        <v>eRoads O&amp;M costs are 2% of initial investment cost</v>
      </c>
      <c r="T46" s="615"/>
      <c r="U46" s="315"/>
      <c r="V46" s="315"/>
      <c r="W46" s="315"/>
      <c r="X46" s="315"/>
      <c r="Y46" s="850"/>
    </row>
    <row r="47" spans="1:25" x14ac:dyDescent="0.25">
      <c r="A47" t="s">
        <v>3002</v>
      </c>
      <c r="B47" t="s">
        <v>84</v>
      </c>
      <c r="C47" t="s">
        <v>3126</v>
      </c>
      <c r="D47">
        <v>2022</v>
      </c>
      <c r="E47">
        <v>2020</v>
      </c>
      <c r="F47" t="s">
        <v>3101</v>
      </c>
      <c r="G47">
        <v>1</v>
      </c>
      <c r="H47">
        <v>2020</v>
      </c>
      <c r="I47" t="s">
        <v>3101</v>
      </c>
      <c r="J47" t="s">
        <v>3149</v>
      </c>
      <c r="K47">
        <v>2040</v>
      </c>
      <c r="L47" s="246">
        <f>$AC$3*INDEX(CostInvest!$K$20:$Q$24,MATCH(CostFixed!$A47,CostInvest!$A$20:$A$24,0),MATCH(CostFixed!L$2,CostInvest!$K$2:$Q$2,0))</f>
        <v>0.05</v>
      </c>
      <c r="M47" s="246">
        <f>$AC$3*INDEX(CostInvest!$K$20:$Q$24,MATCH(CostFixed!$A47,CostInvest!$A$20:$A$24,0),MATCH(CostFixed!M$2,CostInvest!$K$2:$Q$2,0))</f>
        <v>0.05</v>
      </c>
      <c r="N47" s="246">
        <f>$AC$3*INDEX(CostInvest!$K$20:$Q$24,MATCH(CostFixed!$A47,CostInvest!$A$20:$A$24,0),MATCH(CostFixed!N$2,CostInvest!$K$2:$Q$2,0))</f>
        <v>0.05</v>
      </c>
      <c r="O47" s="246">
        <f>$AC$3*INDEX(CostInvest!$K$20:$Q$24,MATCH(CostFixed!$A47,CostInvest!$A$20:$A$24,0),MATCH(CostFixed!O$2,CostInvest!$K$2:$Q$2,0))</f>
        <v>0.05</v>
      </c>
      <c r="P47" s="246">
        <f>$AC$3*INDEX(CostInvest!$K$20:$Q$24,MATCH(CostFixed!$A47,CostInvest!$A$20:$A$24,0),MATCH(CostFixed!P$2,CostInvest!$K$2:$Q$2,0))</f>
        <v>0.05</v>
      </c>
      <c r="Q47" s="246"/>
      <c r="R47" s="246"/>
      <c r="S47" s="68" t="str">
        <f t="shared" si="9"/>
        <v>eRoads O&amp;M costs are 2% of initial investment cost</v>
      </c>
      <c r="T47" s="615"/>
      <c r="U47" s="315"/>
      <c r="V47" s="315"/>
      <c r="W47" s="315"/>
      <c r="X47" s="315"/>
      <c r="Y47" s="850"/>
    </row>
    <row r="48" spans="1:25" x14ac:dyDescent="0.25">
      <c r="A48" t="s">
        <v>3003</v>
      </c>
      <c r="B48" t="s">
        <v>84</v>
      </c>
      <c r="C48" t="s">
        <v>3126</v>
      </c>
      <c r="D48">
        <v>2022</v>
      </c>
      <c r="E48">
        <v>2020</v>
      </c>
      <c r="F48" t="s">
        <v>3101</v>
      </c>
      <c r="G48">
        <v>1</v>
      </c>
      <c r="H48">
        <v>2020</v>
      </c>
      <c r="I48" t="s">
        <v>3101</v>
      </c>
      <c r="J48" t="s">
        <v>3149</v>
      </c>
      <c r="K48">
        <v>2040</v>
      </c>
      <c r="L48" s="246">
        <f>$AC$3*INDEX(CostInvest!$K$20:$Q$24,MATCH(CostFixed!$A48,CostInvest!$A$20:$A$24,0),MATCH(CostFixed!L$2,CostInvest!$K$2:$Q$2,0))</f>
        <v>0.05</v>
      </c>
      <c r="M48" s="246">
        <f>$AC$3*INDEX(CostInvest!$K$20:$Q$24,MATCH(CostFixed!$A48,CostInvest!$A$20:$A$24,0),MATCH(CostFixed!M$2,CostInvest!$K$2:$Q$2,0))</f>
        <v>0.05</v>
      </c>
      <c r="N48" s="246">
        <f>$AC$3*INDEX(CostInvest!$K$20:$Q$24,MATCH(CostFixed!$A48,CostInvest!$A$20:$A$24,0),MATCH(CostFixed!N$2,CostInvest!$K$2:$Q$2,0))</f>
        <v>0.05</v>
      </c>
      <c r="O48" s="246">
        <f>$AC$3*INDEX(CostInvest!$K$20:$Q$24,MATCH(CostFixed!$A48,CostInvest!$A$20:$A$24,0),MATCH(CostFixed!O$2,CostInvest!$K$2:$Q$2,0))</f>
        <v>0.05</v>
      </c>
      <c r="P48" s="246">
        <f>$AC$3*INDEX(CostInvest!$K$20:$Q$24,MATCH(CostFixed!$A48,CostInvest!$A$20:$A$24,0),MATCH(CostFixed!P$2,CostInvest!$K$2:$Q$2,0))</f>
        <v>0.05</v>
      </c>
      <c r="Q48" s="246"/>
      <c r="R48" s="246"/>
      <c r="S48" s="68" t="str">
        <f t="shared" si="9"/>
        <v>eRoads O&amp;M costs are 2% of initial investment cost</v>
      </c>
      <c r="T48" s="615"/>
      <c r="U48" s="315"/>
      <c r="V48" s="315"/>
      <c r="W48" s="315"/>
      <c r="X48" s="315"/>
      <c r="Y48" s="850"/>
    </row>
    <row r="49" spans="1:25" x14ac:dyDescent="0.25">
      <c r="A49" t="s">
        <v>2999</v>
      </c>
      <c r="B49" t="s">
        <v>84</v>
      </c>
      <c r="C49" t="s">
        <v>3126</v>
      </c>
      <c r="D49">
        <v>2022</v>
      </c>
      <c r="E49">
        <v>2020</v>
      </c>
      <c r="F49" t="s">
        <v>3101</v>
      </c>
      <c r="G49">
        <v>1</v>
      </c>
      <c r="H49">
        <v>2020</v>
      </c>
      <c r="I49" t="s">
        <v>3101</v>
      </c>
      <c r="J49" t="s">
        <v>3149</v>
      </c>
      <c r="K49">
        <v>2045</v>
      </c>
      <c r="L49" s="246"/>
      <c r="M49" s="246"/>
      <c r="N49" s="246">
        <f>$AC$3*INDEX(CostInvest!$K$20:$Q$24,MATCH(CostFixed!$A49,CostInvest!$A$20:$A$24,0),MATCH(CostFixed!N$2,CostInvest!$K$2:$Q$2,0))</f>
        <v>0.05</v>
      </c>
      <c r="O49" s="246">
        <f>$AC$3*INDEX(CostInvest!$K$20:$Q$24,MATCH(CostFixed!$A49,CostInvest!$A$20:$A$24,0),MATCH(CostFixed!O$2,CostInvest!$K$2:$Q$2,0))</f>
        <v>0.05</v>
      </c>
      <c r="P49" s="246">
        <f>$AC$3*INDEX(CostInvest!$K$20:$Q$24,MATCH(CostFixed!$A49,CostInvest!$A$20:$A$24,0),MATCH(CostFixed!P$2,CostInvest!$K$2:$Q$2,0))</f>
        <v>0.05</v>
      </c>
      <c r="Q49" s="246">
        <f>$AC$3*INDEX(CostInvest!$K$20:$Q$24,MATCH(CostFixed!$A49,CostInvest!$A$20:$A$24,0),MATCH(CostFixed!Q$2,CostInvest!$K$2:$Q$2,0))</f>
        <v>0.05</v>
      </c>
      <c r="R49" s="246"/>
      <c r="S49" s="68" t="str">
        <f t="shared" si="9"/>
        <v>eRoads O&amp;M costs are 2% of initial investment cost</v>
      </c>
      <c r="T49" s="615"/>
      <c r="U49" s="315"/>
      <c r="V49" s="315"/>
      <c r="W49" s="315"/>
      <c r="X49" s="315"/>
      <c r="Y49" s="850"/>
    </row>
    <row r="50" spans="1:25" x14ac:dyDescent="0.25">
      <c r="A50" t="s">
        <v>3000</v>
      </c>
      <c r="B50" t="s">
        <v>84</v>
      </c>
      <c r="C50" t="s">
        <v>3126</v>
      </c>
      <c r="D50">
        <v>2022</v>
      </c>
      <c r="E50">
        <v>2020</v>
      </c>
      <c r="F50" t="s">
        <v>3101</v>
      </c>
      <c r="G50">
        <v>1</v>
      </c>
      <c r="H50">
        <v>2020</v>
      </c>
      <c r="I50" t="s">
        <v>3101</v>
      </c>
      <c r="J50" t="s">
        <v>3149</v>
      </c>
      <c r="K50">
        <v>2045</v>
      </c>
      <c r="L50" s="246"/>
      <c r="M50" s="246"/>
      <c r="N50" s="246">
        <f>$AC$3*INDEX(CostInvest!$K$20:$Q$24,MATCH(CostFixed!$A50,CostInvest!$A$20:$A$24,0),MATCH(CostFixed!N$2,CostInvest!$K$2:$Q$2,0))</f>
        <v>0.05</v>
      </c>
      <c r="O50" s="246">
        <f>$AC$3*INDEX(CostInvest!$K$20:$Q$24,MATCH(CostFixed!$A50,CostInvest!$A$20:$A$24,0),MATCH(CostFixed!O$2,CostInvest!$K$2:$Q$2,0))</f>
        <v>0.05</v>
      </c>
      <c r="P50" s="246">
        <f>$AC$3*INDEX(CostInvest!$K$20:$Q$24,MATCH(CostFixed!$A50,CostInvest!$A$20:$A$24,0),MATCH(CostFixed!P$2,CostInvest!$K$2:$Q$2,0))</f>
        <v>0.05</v>
      </c>
      <c r="Q50" s="246">
        <f>$AC$3*INDEX(CostInvest!$K$20:$Q$24,MATCH(CostFixed!$A50,CostInvest!$A$20:$A$24,0),MATCH(CostFixed!Q$2,CostInvest!$K$2:$Q$2,0))</f>
        <v>0.05</v>
      </c>
      <c r="R50" s="246"/>
      <c r="S50" s="68" t="str">
        <f t="shared" si="9"/>
        <v>eRoads O&amp;M costs are 2% of initial investment cost</v>
      </c>
      <c r="T50" s="615"/>
      <c r="U50" s="315"/>
      <c r="V50" s="315"/>
      <c r="W50" s="315"/>
      <c r="X50" s="315"/>
      <c r="Y50" s="850"/>
    </row>
    <row r="51" spans="1:25" x14ac:dyDescent="0.25">
      <c r="A51" t="s">
        <v>3001</v>
      </c>
      <c r="B51" t="s">
        <v>84</v>
      </c>
      <c r="C51" t="s">
        <v>3126</v>
      </c>
      <c r="D51">
        <v>2022</v>
      </c>
      <c r="E51">
        <v>2020</v>
      </c>
      <c r="F51" t="s">
        <v>3101</v>
      </c>
      <c r="G51">
        <v>1</v>
      </c>
      <c r="H51">
        <v>2020</v>
      </c>
      <c r="I51" t="s">
        <v>3101</v>
      </c>
      <c r="J51" t="s">
        <v>3149</v>
      </c>
      <c r="K51">
        <v>2045</v>
      </c>
      <c r="L51" s="246"/>
      <c r="M51" s="246"/>
      <c r="N51" s="246">
        <f>$AC$3*INDEX(CostInvest!$K$20:$Q$24,MATCH(CostFixed!$A51,CostInvest!$A$20:$A$24,0),MATCH(CostFixed!N$2,CostInvest!$K$2:$Q$2,0))</f>
        <v>0.05</v>
      </c>
      <c r="O51" s="246">
        <f>$AC$3*INDEX(CostInvest!$K$20:$Q$24,MATCH(CostFixed!$A51,CostInvest!$A$20:$A$24,0),MATCH(CostFixed!O$2,CostInvest!$K$2:$Q$2,0))</f>
        <v>0.05</v>
      </c>
      <c r="P51" s="246">
        <f>$AC$3*INDEX(CostInvest!$K$20:$Q$24,MATCH(CostFixed!$A51,CostInvest!$A$20:$A$24,0),MATCH(CostFixed!P$2,CostInvest!$K$2:$Q$2,0))</f>
        <v>0.05</v>
      </c>
      <c r="Q51" s="246">
        <f>$AC$3*INDEX(CostInvest!$K$20:$Q$24,MATCH(CostFixed!$A51,CostInvest!$A$20:$A$24,0),MATCH(CostFixed!Q$2,CostInvest!$K$2:$Q$2,0))</f>
        <v>0.05</v>
      </c>
      <c r="R51" s="246"/>
      <c r="S51" s="68" t="str">
        <f t="shared" si="9"/>
        <v>eRoads O&amp;M costs are 2% of initial investment cost</v>
      </c>
      <c r="T51" s="615"/>
      <c r="U51" s="315"/>
      <c r="V51" s="315"/>
      <c r="W51" s="315"/>
      <c r="X51" s="315"/>
      <c r="Y51" s="850"/>
    </row>
    <row r="52" spans="1:25" x14ac:dyDescent="0.25">
      <c r="A52" t="s">
        <v>3002</v>
      </c>
      <c r="B52" t="s">
        <v>84</v>
      </c>
      <c r="C52" t="s">
        <v>3126</v>
      </c>
      <c r="D52">
        <v>2022</v>
      </c>
      <c r="E52">
        <v>2020</v>
      </c>
      <c r="F52" t="s">
        <v>3101</v>
      </c>
      <c r="G52">
        <v>1</v>
      </c>
      <c r="H52">
        <v>2020</v>
      </c>
      <c r="I52" t="s">
        <v>3101</v>
      </c>
      <c r="J52" t="s">
        <v>3149</v>
      </c>
      <c r="K52">
        <v>2045</v>
      </c>
      <c r="L52" s="246"/>
      <c r="M52" s="246"/>
      <c r="N52" s="246">
        <f>$AC$3*INDEX(CostInvest!$K$20:$Q$24,MATCH(CostFixed!$A52,CostInvest!$A$20:$A$24,0),MATCH(CostFixed!N$2,CostInvest!$K$2:$Q$2,0))</f>
        <v>0.05</v>
      </c>
      <c r="O52" s="246">
        <f>$AC$3*INDEX(CostInvest!$K$20:$Q$24,MATCH(CostFixed!$A52,CostInvest!$A$20:$A$24,0),MATCH(CostFixed!O$2,CostInvest!$K$2:$Q$2,0))</f>
        <v>0.05</v>
      </c>
      <c r="P52" s="246">
        <f>$AC$3*INDEX(CostInvest!$K$20:$Q$24,MATCH(CostFixed!$A52,CostInvest!$A$20:$A$24,0),MATCH(CostFixed!P$2,CostInvest!$K$2:$Q$2,0))</f>
        <v>0.05</v>
      </c>
      <c r="Q52" s="246">
        <f>$AC$3*INDEX(CostInvest!$K$20:$Q$24,MATCH(CostFixed!$A52,CostInvest!$A$20:$A$24,0),MATCH(CostFixed!Q$2,CostInvest!$K$2:$Q$2,0))</f>
        <v>0.05</v>
      </c>
      <c r="R52" s="246"/>
      <c r="S52" s="68" t="str">
        <f t="shared" si="9"/>
        <v>eRoads O&amp;M costs are 2% of initial investment cost</v>
      </c>
      <c r="T52" s="615"/>
      <c r="U52" s="315"/>
      <c r="V52" s="315"/>
      <c r="W52" s="315"/>
      <c r="X52" s="315"/>
      <c r="Y52" s="850"/>
    </row>
    <row r="53" spans="1:25" x14ac:dyDescent="0.25">
      <c r="A53" t="s">
        <v>3003</v>
      </c>
      <c r="B53" t="s">
        <v>84</v>
      </c>
      <c r="C53" t="s">
        <v>3126</v>
      </c>
      <c r="D53">
        <v>2022</v>
      </c>
      <c r="E53">
        <v>2020</v>
      </c>
      <c r="F53" t="s">
        <v>3101</v>
      </c>
      <c r="G53">
        <v>1</v>
      </c>
      <c r="H53">
        <v>2020</v>
      </c>
      <c r="I53" t="s">
        <v>3101</v>
      </c>
      <c r="J53" t="s">
        <v>3149</v>
      </c>
      <c r="K53">
        <v>2045</v>
      </c>
      <c r="L53" s="246"/>
      <c r="M53" s="246"/>
      <c r="N53" s="246">
        <f>$AC$3*INDEX(CostInvest!$K$20:$Q$24,MATCH(CostFixed!$A53,CostInvest!$A$20:$A$24,0),MATCH(CostFixed!N$2,CostInvest!$K$2:$Q$2,0))</f>
        <v>0.05</v>
      </c>
      <c r="O53" s="246">
        <f>$AC$3*INDEX(CostInvest!$K$20:$Q$24,MATCH(CostFixed!$A53,CostInvest!$A$20:$A$24,0),MATCH(CostFixed!O$2,CostInvest!$K$2:$Q$2,0))</f>
        <v>0.05</v>
      </c>
      <c r="P53" s="246">
        <f>$AC$3*INDEX(CostInvest!$K$20:$Q$24,MATCH(CostFixed!$A53,CostInvest!$A$20:$A$24,0),MATCH(CostFixed!P$2,CostInvest!$K$2:$Q$2,0))</f>
        <v>0.05</v>
      </c>
      <c r="Q53" s="246">
        <f>$AC$3*INDEX(CostInvest!$K$20:$Q$24,MATCH(CostFixed!$A53,CostInvest!$A$20:$A$24,0),MATCH(CostFixed!Q$2,CostInvest!$K$2:$Q$2,0))</f>
        <v>0.05</v>
      </c>
      <c r="R53" s="246"/>
      <c r="S53" s="68" t="str">
        <f t="shared" si="9"/>
        <v>eRoads O&amp;M costs are 2% of initial investment cost</v>
      </c>
      <c r="T53" s="615"/>
      <c r="U53" s="315"/>
      <c r="V53" s="315"/>
      <c r="W53" s="315"/>
      <c r="X53" s="315"/>
      <c r="Y53" s="850"/>
    </row>
    <row r="54" spans="1:25" x14ac:dyDescent="0.25">
      <c r="A54" t="s">
        <v>2999</v>
      </c>
      <c r="B54" t="s">
        <v>84</v>
      </c>
      <c r="C54" t="s">
        <v>3126</v>
      </c>
      <c r="D54">
        <v>2022</v>
      </c>
      <c r="E54">
        <v>2020</v>
      </c>
      <c r="F54" t="s">
        <v>3101</v>
      </c>
      <c r="G54">
        <v>1</v>
      </c>
      <c r="H54">
        <v>2020</v>
      </c>
      <c r="I54" t="s">
        <v>3101</v>
      </c>
      <c r="J54" t="s">
        <v>3149</v>
      </c>
      <c r="K54">
        <v>2050</v>
      </c>
      <c r="L54" s="246"/>
      <c r="M54" s="246"/>
      <c r="N54" s="246"/>
      <c r="O54" s="246">
        <f>$AC$3*INDEX(CostInvest!$K$20:$Q$24,MATCH(CostFixed!$A54,CostInvest!$A$20:$A$24,0),MATCH(CostFixed!O$2,CostInvest!$K$2:$Q$2,0))</f>
        <v>0.05</v>
      </c>
      <c r="P54" s="246">
        <f>$AC$3*INDEX(CostInvest!$K$20:$Q$24,MATCH(CostFixed!$A54,CostInvest!$A$20:$A$24,0),MATCH(CostFixed!P$2,CostInvest!$K$2:$Q$2,0))</f>
        <v>0.05</v>
      </c>
      <c r="Q54" s="246">
        <f>$AC$3*INDEX(CostInvest!$K$20:$Q$24,MATCH(CostFixed!$A54,CostInvest!$A$20:$A$24,0),MATCH(CostFixed!Q$2,CostInvest!$K$2:$Q$2,0))</f>
        <v>0.05</v>
      </c>
      <c r="R54" s="246">
        <f>$AC$3*INDEX(CostInvest!$K$20:$Q$24,MATCH(CostFixed!$A54,CostInvest!$A$20:$A$24,0),MATCH(CostFixed!R$2,CostInvest!$K$2:$Q$2,0))</f>
        <v>0.05</v>
      </c>
      <c r="S54" s="68" t="str">
        <f t="shared" si="9"/>
        <v>eRoads O&amp;M costs are 2% of initial investment cost</v>
      </c>
      <c r="T54" s="615"/>
      <c r="U54" s="315"/>
      <c r="V54" s="315"/>
      <c r="W54" s="315"/>
      <c r="X54" s="315"/>
      <c r="Y54" s="850"/>
    </row>
    <row r="55" spans="1:25" x14ac:dyDescent="0.25">
      <c r="A55" t="s">
        <v>3000</v>
      </c>
      <c r="B55" t="s">
        <v>84</v>
      </c>
      <c r="C55" t="s">
        <v>3126</v>
      </c>
      <c r="D55">
        <v>2022</v>
      </c>
      <c r="E55">
        <v>2020</v>
      </c>
      <c r="F55" t="s">
        <v>3101</v>
      </c>
      <c r="G55">
        <v>1</v>
      </c>
      <c r="H55">
        <v>2020</v>
      </c>
      <c r="I55" t="s">
        <v>3101</v>
      </c>
      <c r="J55" t="s">
        <v>3149</v>
      </c>
      <c r="K55">
        <v>2050</v>
      </c>
      <c r="L55" s="246"/>
      <c r="M55" s="246"/>
      <c r="N55" s="246"/>
      <c r="O55" s="246">
        <f>$AC$3*INDEX(CostInvest!$K$20:$Q$24,MATCH(CostFixed!$A55,CostInvest!$A$20:$A$24,0),MATCH(CostFixed!O$2,CostInvest!$K$2:$Q$2,0))</f>
        <v>0.05</v>
      </c>
      <c r="P55" s="246">
        <f>$AC$3*INDEX(CostInvest!$K$20:$Q$24,MATCH(CostFixed!$A55,CostInvest!$A$20:$A$24,0),MATCH(CostFixed!P$2,CostInvest!$K$2:$Q$2,0))</f>
        <v>0.05</v>
      </c>
      <c r="Q55" s="246">
        <f>$AC$3*INDEX(CostInvest!$K$20:$Q$24,MATCH(CostFixed!$A55,CostInvest!$A$20:$A$24,0),MATCH(CostFixed!Q$2,CostInvest!$K$2:$Q$2,0))</f>
        <v>0.05</v>
      </c>
      <c r="R55" s="246">
        <f>$AC$3*INDEX(CostInvest!$K$20:$Q$24,MATCH(CostFixed!$A55,CostInvest!$A$20:$A$24,0),MATCH(CostFixed!R$2,CostInvest!$K$2:$Q$2,0))</f>
        <v>0.05</v>
      </c>
      <c r="S55" s="68" t="str">
        <f t="shared" si="9"/>
        <v>eRoads O&amp;M costs are 2% of initial investment cost</v>
      </c>
      <c r="T55" s="615"/>
      <c r="U55" s="315"/>
      <c r="V55" s="315"/>
      <c r="W55" s="315"/>
      <c r="X55" s="315"/>
      <c r="Y55" s="850"/>
    </row>
    <row r="56" spans="1:25" x14ac:dyDescent="0.25">
      <c r="A56" t="s">
        <v>3001</v>
      </c>
      <c r="B56" t="s">
        <v>84</v>
      </c>
      <c r="C56" t="s">
        <v>3126</v>
      </c>
      <c r="D56">
        <v>2022</v>
      </c>
      <c r="E56">
        <v>2020</v>
      </c>
      <c r="F56" t="s">
        <v>3101</v>
      </c>
      <c r="G56">
        <v>1</v>
      </c>
      <c r="H56">
        <v>2020</v>
      </c>
      <c r="I56" t="s">
        <v>3101</v>
      </c>
      <c r="J56" t="s">
        <v>3149</v>
      </c>
      <c r="K56">
        <v>2050</v>
      </c>
      <c r="L56" s="246"/>
      <c r="M56" s="246"/>
      <c r="N56" s="246"/>
      <c r="O56" s="246">
        <f>$AC$3*INDEX(CostInvest!$K$20:$Q$24,MATCH(CostFixed!$A56,CostInvest!$A$20:$A$24,0),MATCH(CostFixed!O$2,CostInvest!$K$2:$Q$2,0))</f>
        <v>0.05</v>
      </c>
      <c r="P56" s="246">
        <f>$AC$3*INDEX(CostInvest!$K$20:$Q$24,MATCH(CostFixed!$A56,CostInvest!$A$20:$A$24,0),MATCH(CostFixed!P$2,CostInvest!$K$2:$Q$2,0))</f>
        <v>0.05</v>
      </c>
      <c r="Q56" s="246">
        <f>$AC$3*INDEX(CostInvest!$K$20:$Q$24,MATCH(CostFixed!$A56,CostInvest!$A$20:$A$24,0),MATCH(CostFixed!Q$2,CostInvest!$K$2:$Q$2,0))</f>
        <v>0.05</v>
      </c>
      <c r="R56" s="246">
        <f>$AC$3*INDEX(CostInvest!$K$20:$Q$24,MATCH(CostFixed!$A56,CostInvest!$A$20:$A$24,0),MATCH(CostFixed!R$2,CostInvest!$K$2:$Q$2,0))</f>
        <v>0.05</v>
      </c>
      <c r="S56" s="68" t="str">
        <f t="shared" si="9"/>
        <v>eRoads O&amp;M costs are 2% of initial investment cost</v>
      </c>
      <c r="T56" s="615"/>
      <c r="U56" s="315"/>
      <c r="V56" s="315"/>
      <c r="W56" s="315"/>
      <c r="X56" s="315"/>
      <c r="Y56" s="850"/>
    </row>
    <row r="57" spans="1:25" x14ac:dyDescent="0.25">
      <c r="A57" t="s">
        <v>3002</v>
      </c>
      <c r="B57" t="s">
        <v>84</v>
      </c>
      <c r="C57" t="s">
        <v>3126</v>
      </c>
      <c r="D57">
        <v>2022</v>
      </c>
      <c r="E57">
        <v>2020</v>
      </c>
      <c r="F57" t="s">
        <v>3101</v>
      </c>
      <c r="G57">
        <v>1</v>
      </c>
      <c r="H57">
        <v>2020</v>
      </c>
      <c r="I57" t="s">
        <v>3101</v>
      </c>
      <c r="J57" t="s">
        <v>3149</v>
      </c>
      <c r="K57">
        <v>2050</v>
      </c>
      <c r="L57" s="246"/>
      <c r="M57" s="246"/>
      <c r="N57" s="246"/>
      <c r="O57" s="246">
        <f>$AC$3*INDEX(CostInvest!$K$20:$Q$24,MATCH(CostFixed!$A57,CostInvest!$A$20:$A$24,0),MATCH(CostFixed!O$2,CostInvest!$K$2:$Q$2,0))</f>
        <v>0.05</v>
      </c>
      <c r="P57" s="246">
        <f>$AC$3*INDEX(CostInvest!$K$20:$Q$24,MATCH(CostFixed!$A57,CostInvest!$A$20:$A$24,0),MATCH(CostFixed!P$2,CostInvest!$K$2:$Q$2,0))</f>
        <v>0.05</v>
      </c>
      <c r="Q57" s="246">
        <f>$AC$3*INDEX(CostInvest!$K$20:$Q$24,MATCH(CostFixed!$A57,CostInvest!$A$20:$A$24,0),MATCH(CostFixed!Q$2,CostInvest!$K$2:$Q$2,0))</f>
        <v>0.05</v>
      </c>
      <c r="R57" s="246">
        <f>$AC$3*INDEX(CostInvest!$K$20:$Q$24,MATCH(CostFixed!$A57,CostInvest!$A$20:$A$24,0),MATCH(CostFixed!R$2,CostInvest!$K$2:$Q$2,0))</f>
        <v>0.05</v>
      </c>
      <c r="S57" s="68" t="str">
        <f t="shared" si="9"/>
        <v>eRoads O&amp;M costs are 2% of initial investment cost</v>
      </c>
      <c r="T57" s="615"/>
      <c r="U57" s="315"/>
      <c r="V57" s="315"/>
      <c r="W57" s="315"/>
      <c r="X57" s="315"/>
      <c r="Y57" s="850"/>
    </row>
    <row r="58" spans="1:25" x14ac:dyDescent="0.25">
      <c r="A58" t="s">
        <v>3003</v>
      </c>
      <c r="B58" t="s">
        <v>84</v>
      </c>
      <c r="C58" t="s">
        <v>3126</v>
      </c>
      <c r="D58">
        <v>2022</v>
      </c>
      <c r="E58">
        <v>2020</v>
      </c>
      <c r="F58" t="s">
        <v>3101</v>
      </c>
      <c r="G58">
        <v>1</v>
      </c>
      <c r="H58">
        <v>2020</v>
      </c>
      <c r="I58" t="s">
        <v>3101</v>
      </c>
      <c r="J58" t="s">
        <v>3149</v>
      </c>
      <c r="K58">
        <v>2050</v>
      </c>
      <c r="L58" s="246"/>
      <c r="M58" s="246"/>
      <c r="N58" s="246"/>
      <c r="O58" s="246">
        <f>$AC$3*INDEX(CostInvest!$K$20:$Q$24,MATCH(CostFixed!$A58,CostInvest!$A$20:$A$24,0),MATCH(CostFixed!O$2,CostInvest!$K$2:$Q$2,0))</f>
        <v>0.05</v>
      </c>
      <c r="P58" s="246">
        <f>$AC$3*INDEX(CostInvest!$K$20:$Q$24,MATCH(CostFixed!$A58,CostInvest!$A$20:$A$24,0),MATCH(CostFixed!P$2,CostInvest!$K$2:$Q$2,0))</f>
        <v>0.05</v>
      </c>
      <c r="Q58" s="246">
        <f>$AC$3*INDEX(CostInvest!$K$20:$Q$24,MATCH(CostFixed!$A58,CostInvest!$A$20:$A$24,0),MATCH(CostFixed!Q$2,CostInvest!$K$2:$Q$2,0))</f>
        <v>0.05</v>
      </c>
      <c r="R58" s="246">
        <f>$AC$3*INDEX(CostInvest!$K$20:$Q$24,MATCH(CostFixed!$A58,CostInvest!$A$20:$A$24,0),MATCH(CostFixed!R$2,CostInvest!$K$2:$Q$2,0))</f>
        <v>0.05</v>
      </c>
      <c r="S58" s="68" t="str">
        <f t="shared" si="9"/>
        <v>eRoads O&amp;M costs are 2% of initial investment cost</v>
      </c>
      <c r="T58" s="615"/>
      <c r="U58" s="315"/>
      <c r="V58" s="315"/>
      <c r="W58" s="315"/>
      <c r="X58" s="315"/>
      <c r="Y58" s="850"/>
    </row>
    <row r="59" spans="1:25" x14ac:dyDescent="0.25">
      <c r="L59" s="246"/>
      <c r="M59" s="69"/>
      <c r="N59" s="69"/>
      <c r="O59" s="69"/>
      <c r="P59" s="69"/>
      <c r="Q59" s="69"/>
      <c r="R59" s="69"/>
      <c r="S59" s="68"/>
      <c r="T59" s="615"/>
      <c r="U59" s="315"/>
      <c r="V59" s="315"/>
      <c r="W59" s="315"/>
      <c r="X59" s="315"/>
      <c r="Y59" s="850"/>
    </row>
    <row r="60" spans="1:25" x14ac:dyDescent="0.25">
      <c r="L60" s="246"/>
      <c r="M60" s="69"/>
      <c r="N60" s="69"/>
      <c r="O60" s="69"/>
      <c r="P60" s="69"/>
      <c r="Q60" s="69"/>
      <c r="R60" s="69"/>
      <c r="S60" s="68"/>
      <c r="T60" s="615"/>
      <c r="U60" s="315"/>
      <c r="V60" s="315"/>
      <c r="W60" s="315"/>
      <c r="X60" s="315"/>
      <c r="Y60" s="850"/>
    </row>
    <row r="61" spans="1:25" x14ac:dyDescent="0.25">
      <c r="L61" s="246"/>
      <c r="M61" s="69"/>
      <c r="N61" s="69"/>
      <c r="O61" s="69"/>
      <c r="P61" s="69"/>
      <c r="Q61" s="69"/>
      <c r="R61" s="69"/>
      <c r="S61" s="68"/>
      <c r="T61" s="615"/>
      <c r="U61" s="315"/>
      <c r="V61" s="315"/>
      <c r="W61" s="315"/>
      <c r="X61" s="315"/>
      <c r="Y61" s="850"/>
    </row>
    <row r="62" spans="1:25" x14ac:dyDescent="0.25">
      <c r="L62" s="68"/>
      <c r="S62" s="68"/>
      <c r="T62" s="615"/>
      <c r="U62" s="315"/>
      <c r="V62" s="315"/>
      <c r="W62" s="315"/>
      <c r="X62" s="315"/>
      <c r="Y62" s="850"/>
    </row>
    <row r="63" spans="1:25" x14ac:dyDescent="0.25">
      <c r="L63" s="68"/>
      <c r="S63" s="68"/>
      <c r="T63" s="615"/>
      <c r="U63" s="315"/>
      <c r="V63" s="315"/>
      <c r="W63" s="315"/>
      <c r="X63" s="315"/>
      <c r="Y63" s="850"/>
    </row>
    <row r="64" spans="1:25" x14ac:dyDescent="0.25">
      <c r="L64" s="68"/>
      <c r="S64" s="68"/>
      <c r="T64" s="615"/>
      <c r="U64" s="315"/>
      <c r="V64" s="315"/>
      <c r="W64" s="315"/>
      <c r="X64" s="315"/>
      <c r="Y64" s="850"/>
    </row>
    <row r="65" spans="12:25" x14ac:dyDescent="0.25">
      <c r="L65" s="68"/>
      <c r="S65" s="68"/>
      <c r="T65" s="615"/>
      <c r="U65" s="315"/>
      <c r="V65" s="315"/>
      <c r="W65" s="315"/>
      <c r="X65" s="315"/>
      <c r="Y65" s="850"/>
    </row>
    <row r="66" spans="12:25" x14ac:dyDescent="0.25">
      <c r="L66" s="68"/>
      <c r="S66" s="68"/>
      <c r="T66" s="615"/>
      <c r="U66" s="315"/>
      <c r="V66" s="315"/>
      <c r="W66" s="315"/>
      <c r="X66" s="315"/>
      <c r="Y66" s="850"/>
    </row>
  </sheetData>
  <mergeCells count="3">
    <mergeCell ref="L1:R1"/>
    <mergeCell ref="T1:X1"/>
    <mergeCell ref="Y1:Y6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4F2BC-C123-4012-9BCA-B01C64ABACE2}">
  <sheetPr codeName="Sheet15">
    <tabColor rgb="FFFFFF00"/>
    <pageSetUpPr autoPageBreaks="0"/>
  </sheetPr>
  <dimension ref="A1:BQ337"/>
  <sheetViews>
    <sheetView topLeftCell="W10" zoomScale="60" zoomScaleNormal="60" workbookViewId="0">
      <selection activeCell="X26" sqref="X26"/>
    </sheetView>
  </sheetViews>
  <sheetFormatPr defaultColWidth="8.7109375" defaultRowHeight="15" x14ac:dyDescent="0.25"/>
  <cols>
    <col min="1" max="1" width="87.42578125" style="3" hidden="1" customWidth="1"/>
    <col min="2" max="2" width="45.42578125" style="156" customWidth="1"/>
    <col min="3" max="24" width="11.42578125" style="3" customWidth="1"/>
    <col min="25" max="26" width="11.42578125" customWidth="1"/>
    <col min="27" max="27" width="1.140625" style="21" customWidth="1"/>
    <col min="28" max="28" width="9.28515625" style="3" customWidth="1"/>
    <col min="29" max="29" width="49.5703125" style="3" customWidth="1"/>
    <col min="30" max="30" width="40.42578125" style="12" customWidth="1"/>
    <col min="31" max="31" width="44.42578125" style="12" customWidth="1"/>
    <col min="32" max="32" width="18.28515625" style="12" customWidth="1"/>
    <col min="33" max="33" width="15.5703125" style="12" bestFit="1" customWidth="1"/>
    <col min="34" max="34" width="17.42578125" style="12" customWidth="1"/>
    <col min="35" max="35" width="18.85546875" style="12" customWidth="1"/>
    <col min="36" max="36" width="34.5703125" style="12" customWidth="1"/>
    <col min="37" max="37" width="20.140625" style="12" customWidth="1"/>
    <col min="38" max="38" width="38.5703125" style="12" customWidth="1"/>
    <col min="39" max="39" width="17.42578125" style="12" customWidth="1"/>
    <col min="40" max="40" width="18.140625" style="12" bestFit="1" customWidth="1"/>
    <col min="41" max="41" width="38.42578125" style="3" customWidth="1"/>
    <col min="42" max="42" width="40.42578125" style="3" customWidth="1"/>
    <col min="43" max="43" width="61.85546875" style="3" customWidth="1"/>
    <col min="44" max="44" width="40.42578125" style="3" customWidth="1"/>
    <col min="45" max="45" width="18.140625" style="3" customWidth="1"/>
    <col min="46" max="46" width="45.42578125" style="3" customWidth="1"/>
    <col min="47" max="48" width="15.85546875" style="3" bestFit="1" customWidth="1"/>
    <col min="49" max="49" width="15.5703125" style="3" bestFit="1" customWidth="1"/>
    <col min="50" max="50" width="11.28515625" style="3" bestFit="1" customWidth="1"/>
    <col min="51" max="52" width="12" style="3" customWidth="1"/>
    <col min="53" max="53" width="40.140625" style="3" customWidth="1"/>
    <col min="54" max="54" width="22.42578125" style="3" bestFit="1" customWidth="1"/>
    <col min="55" max="55" width="52.7109375" style="3" customWidth="1"/>
    <col min="56" max="56" width="20.140625" style="3" customWidth="1"/>
    <col min="57" max="57" width="17.7109375" style="3" bestFit="1" customWidth="1"/>
    <col min="58" max="58" width="27.140625" style="3" customWidth="1"/>
    <col min="59" max="59" width="14" style="3" bestFit="1" customWidth="1"/>
    <col min="60" max="60" width="24.7109375" style="3" customWidth="1"/>
    <col min="61" max="61" width="33.42578125" style="3" bestFit="1" customWidth="1"/>
    <col min="62" max="62" width="23.85546875" style="3" bestFit="1" customWidth="1"/>
    <col min="63" max="63" width="15.7109375" style="3" customWidth="1"/>
    <col min="64" max="64" width="17.42578125" style="3" bestFit="1" customWidth="1"/>
    <col min="65" max="65" width="11.5703125" style="3" bestFit="1" customWidth="1"/>
    <col min="66" max="67" width="13.140625" style="3" bestFit="1" customWidth="1"/>
    <col min="68" max="68" width="12.5703125" style="3" bestFit="1" customWidth="1"/>
    <col min="69" max="69" width="12.85546875" style="3" customWidth="1"/>
    <col min="70" max="70" width="12.5703125" style="3" bestFit="1" customWidth="1"/>
    <col min="71" max="73" width="13.5703125" style="3" bestFit="1" customWidth="1"/>
    <col min="74" max="74" width="12.28515625" style="3" bestFit="1" customWidth="1"/>
    <col min="75" max="16384" width="8.7109375" style="3"/>
  </cols>
  <sheetData>
    <row r="1" spans="1:69" ht="21" x14ac:dyDescent="0.35">
      <c r="B1" s="730" t="s">
        <v>1237</v>
      </c>
      <c r="C1" s="730"/>
      <c r="D1" s="730"/>
      <c r="E1" s="730"/>
      <c r="F1" s="730"/>
      <c r="G1" s="730"/>
      <c r="H1" s="730"/>
      <c r="I1" s="730"/>
      <c r="J1" s="730"/>
      <c r="K1" s="730"/>
      <c r="L1" s="730"/>
      <c r="M1" s="730"/>
      <c r="N1" s="730"/>
      <c r="O1" s="730"/>
      <c r="P1" s="730"/>
      <c r="Q1" s="730"/>
      <c r="R1" s="730"/>
      <c r="S1" s="730"/>
      <c r="T1" s="730"/>
      <c r="U1" s="730"/>
      <c r="V1" s="730"/>
      <c r="W1" s="730"/>
      <c r="AC1" s="881" t="s">
        <v>1238</v>
      </c>
      <c r="AD1" s="882"/>
      <c r="AE1" s="882"/>
      <c r="AF1" s="882"/>
      <c r="AG1" s="882"/>
      <c r="AH1" s="882"/>
      <c r="AI1" s="882"/>
      <c r="AJ1" s="882"/>
      <c r="AK1" s="882"/>
      <c r="AL1" s="882"/>
      <c r="AM1" s="882"/>
      <c r="AN1" s="882"/>
      <c r="AO1" s="882"/>
      <c r="AP1" s="882"/>
      <c r="AQ1" s="882"/>
      <c r="AR1" s="883"/>
      <c r="AT1" s="881" t="s">
        <v>1239</v>
      </c>
      <c r="AU1" s="882"/>
      <c r="AV1" s="882"/>
      <c r="AW1" s="882"/>
      <c r="AX1" s="882"/>
      <c r="AY1" s="882"/>
      <c r="AZ1" s="882"/>
      <c r="BA1" s="882"/>
      <c r="BB1" s="882"/>
      <c r="BC1" s="882"/>
      <c r="BD1" s="882"/>
      <c r="BE1" s="882"/>
      <c r="BF1" s="882"/>
      <c r="BG1" s="882"/>
      <c r="BH1" s="882"/>
      <c r="BI1" s="882"/>
      <c r="BJ1" s="882"/>
      <c r="BK1" s="882"/>
      <c r="BL1" s="882"/>
      <c r="BM1" s="882"/>
      <c r="BN1" s="882"/>
      <c r="BO1" s="882"/>
      <c r="BP1" s="882"/>
      <c r="BQ1" s="883"/>
    </row>
    <row r="2" spans="1:69" ht="16.5" thickBot="1" x14ac:dyDescent="0.3">
      <c r="B2" s="177" t="s">
        <v>169</v>
      </c>
      <c r="C2" s="177"/>
      <c r="D2" s="177"/>
      <c r="E2" s="177"/>
      <c r="F2" s="177"/>
      <c r="G2" s="177"/>
      <c r="H2" s="177"/>
      <c r="I2" s="177"/>
      <c r="J2" s="177"/>
      <c r="K2" s="177"/>
      <c r="L2" s="177"/>
      <c r="M2" s="177"/>
      <c r="N2" s="177"/>
      <c r="O2" s="177"/>
      <c r="P2" s="177"/>
      <c r="Q2" s="177"/>
      <c r="R2" s="177"/>
      <c r="S2" s="177"/>
      <c r="T2" s="177"/>
      <c r="U2" s="177"/>
      <c r="V2" s="177"/>
      <c r="W2" s="177"/>
      <c r="AC2" s="887" t="s">
        <v>588</v>
      </c>
      <c r="AD2" s="888"/>
      <c r="AE2" s="888"/>
      <c r="AF2" s="888"/>
      <c r="AG2" s="888"/>
      <c r="AH2" s="888"/>
      <c r="AI2" s="888"/>
      <c r="AJ2" s="888"/>
      <c r="AK2" s="888"/>
      <c r="AL2" s="888"/>
      <c r="AM2" s="344"/>
      <c r="AN2" s="344"/>
      <c r="AO2" s="888" t="s">
        <v>707</v>
      </c>
      <c r="AP2" s="888"/>
      <c r="AQ2" s="888"/>
      <c r="AR2" s="900"/>
      <c r="AS2"/>
      <c r="AT2" s="367" t="s">
        <v>1025</v>
      </c>
      <c r="AU2" s="344"/>
      <c r="AV2" s="344"/>
      <c r="AW2" s="344"/>
      <c r="AX2" s="344"/>
      <c r="AY2" s="344"/>
      <c r="AZ2" s="344"/>
      <c r="BA2" s="344"/>
      <c r="BB2" s="344"/>
      <c r="BC2" s="344"/>
      <c r="BD2" s="344"/>
      <c r="BE2" s="344"/>
      <c r="BF2" s="344"/>
      <c r="BG2" s="344"/>
      <c r="BH2" s="344"/>
      <c r="BI2" s="344"/>
      <c r="BJ2" s="344"/>
      <c r="BK2" s="344"/>
      <c r="BL2" s="344"/>
      <c r="BM2" s="344"/>
      <c r="BN2" s="344"/>
      <c r="BO2" s="344"/>
      <c r="BP2" s="344"/>
      <c r="BQ2" s="358"/>
    </row>
    <row r="3" spans="1:69" s="156" customFormat="1" ht="30.75" thickBot="1" x14ac:dyDescent="0.3">
      <c r="A3" s="302" t="s">
        <v>2815</v>
      </c>
      <c r="B3" s="155"/>
      <c r="C3" s="167">
        <v>2000</v>
      </c>
      <c r="D3" s="168">
        <v>2001</v>
      </c>
      <c r="E3" s="168">
        <v>2002</v>
      </c>
      <c r="F3" s="168">
        <v>2003</v>
      </c>
      <c r="G3" s="168">
        <v>2004</v>
      </c>
      <c r="H3" s="168">
        <v>2005</v>
      </c>
      <c r="I3" s="168">
        <v>2006</v>
      </c>
      <c r="J3" s="168">
        <v>2007</v>
      </c>
      <c r="K3" s="168">
        <v>2008</v>
      </c>
      <c r="L3" s="168">
        <v>2009</v>
      </c>
      <c r="M3" s="168">
        <v>2010</v>
      </c>
      <c r="N3" s="168">
        <v>2011</v>
      </c>
      <c r="O3" s="168">
        <v>2012</v>
      </c>
      <c r="P3" s="168">
        <v>2013</v>
      </c>
      <c r="Q3" s="168">
        <v>2014</v>
      </c>
      <c r="R3" s="168">
        <v>2015</v>
      </c>
      <c r="S3" s="168">
        <v>2016</v>
      </c>
      <c r="T3" s="168">
        <v>2017</v>
      </c>
      <c r="U3" s="168">
        <v>2018</v>
      </c>
      <c r="V3" s="168">
        <v>2019</v>
      </c>
      <c r="W3" s="168">
        <v>2020</v>
      </c>
      <c r="X3" s="168">
        <v>2021</v>
      </c>
      <c r="Y3"/>
      <c r="Z3"/>
      <c r="AA3" s="166"/>
      <c r="AC3" s="345" t="s">
        <v>94</v>
      </c>
      <c r="AD3" s="190" t="s">
        <v>1</v>
      </c>
      <c r="AE3" s="158" t="s">
        <v>571</v>
      </c>
      <c r="AF3" s="158" t="s">
        <v>570</v>
      </c>
      <c r="AG3" s="158" t="s">
        <v>586</v>
      </c>
      <c r="AH3" s="158" t="s">
        <v>572</v>
      </c>
      <c r="AI3" s="158" t="s">
        <v>574</v>
      </c>
      <c r="AJ3" s="158" t="s">
        <v>612</v>
      </c>
      <c r="AK3" s="158" t="s">
        <v>587</v>
      </c>
      <c r="AL3" s="158" t="s">
        <v>666</v>
      </c>
      <c r="AM3" s="169" t="s">
        <v>84</v>
      </c>
      <c r="AN3" s="157"/>
      <c r="AO3" s="191" t="s">
        <v>701</v>
      </c>
      <c r="AP3" s="158" t="s">
        <v>700</v>
      </c>
      <c r="AQ3" s="158" t="s">
        <v>689</v>
      </c>
      <c r="AR3" s="346" t="s">
        <v>690</v>
      </c>
      <c r="AS3"/>
      <c r="AT3" s="368" t="s">
        <v>1024</v>
      </c>
      <c r="AU3" s="250" t="s">
        <v>998</v>
      </c>
      <c r="AV3" s="250" t="s">
        <v>999</v>
      </c>
      <c r="AW3" s="250" t="s">
        <v>1000</v>
      </c>
      <c r="AX3" s="191" t="s">
        <v>1001</v>
      </c>
      <c r="AY3" s="191" t="s">
        <v>1002</v>
      </c>
      <c r="AZ3" s="191" t="s">
        <v>1003</v>
      </c>
      <c r="BA3" s="191" t="s">
        <v>1004</v>
      </c>
      <c r="BB3" s="191" t="s">
        <v>1005</v>
      </c>
      <c r="BC3" s="191" t="s">
        <v>1006</v>
      </c>
      <c r="BD3" s="191" t="s">
        <v>1007</v>
      </c>
      <c r="BE3" s="191" t="s">
        <v>1008</v>
      </c>
      <c r="BF3" s="191" t="s">
        <v>1009</v>
      </c>
      <c r="BG3" s="191" t="s">
        <v>1010</v>
      </c>
      <c r="BH3" s="191" t="s">
        <v>1011</v>
      </c>
      <c r="BI3" s="191" t="s">
        <v>1012</v>
      </c>
      <c r="BJ3" s="191" t="s">
        <v>1013</v>
      </c>
      <c r="BK3" s="264">
        <v>2021</v>
      </c>
      <c r="BL3" s="191" t="s">
        <v>1014</v>
      </c>
      <c r="BM3" s="191" t="s">
        <v>1015</v>
      </c>
      <c r="BN3" s="191" t="s">
        <v>1016</v>
      </c>
      <c r="BO3" s="191" t="s">
        <v>1017</v>
      </c>
      <c r="BP3" s="191" t="s">
        <v>1018</v>
      </c>
      <c r="BQ3" s="369" t="s">
        <v>1019</v>
      </c>
    </row>
    <row r="4" spans="1:69" ht="60.75" thickTop="1" x14ac:dyDescent="0.25">
      <c r="B4" s="161" t="s">
        <v>7</v>
      </c>
      <c r="C4" s="20"/>
      <c r="D4" s="20"/>
      <c r="E4" s="20"/>
      <c r="F4" s="20"/>
      <c r="G4" s="20"/>
      <c r="H4" s="20"/>
      <c r="I4" s="20"/>
      <c r="J4" s="20"/>
      <c r="K4" s="20"/>
      <c r="L4" s="20"/>
      <c r="M4" s="20"/>
      <c r="N4" s="20"/>
      <c r="O4" s="20"/>
      <c r="P4" s="20"/>
      <c r="Q4" s="20"/>
      <c r="R4" s="20"/>
      <c r="S4" s="20"/>
      <c r="T4" s="20"/>
      <c r="U4" s="20"/>
      <c r="V4" s="20"/>
      <c r="W4" s="20"/>
      <c r="AC4" s="347" t="s">
        <v>8</v>
      </c>
      <c r="AD4" s="348" t="s">
        <v>246</v>
      </c>
      <c r="AE4" s="348" t="s">
        <v>1682</v>
      </c>
      <c r="AF4" s="349" t="s">
        <v>575</v>
      </c>
      <c r="AG4" s="349" t="s">
        <v>576</v>
      </c>
      <c r="AH4" s="350" t="s">
        <v>581</v>
      </c>
      <c r="AI4" s="350" t="s">
        <v>742</v>
      </c>
      <c r="AJ4" s="350" t="s">
        <v>742</v>
      </c>
      <c r="AK4" s="350" t="s">
        <v>742</v>
      </c>
      <c r="AL4" s="350" t="s">
        <v>667</v>
      </c>
      <c r="AM4" s="170" t="s">
        <v>95</v>
      </c>
      <c r="AN4" s="62"/>
      <c r="AO4" s="351" t="s">
        <v>737</v>
      </c>
      <c r="AP4" s="352" t="s">
        <v>739</v>
      </c>
      <c r="AQ4" s="352" t="s">
        <v>741</v>
      </c>
      <c r="AR4" s="313" t="s">
        <v>738</v>
      </c>
      <c r="AS4"/>
      <c r="AT4" s="370" t="s">
        <v>1020</v>
      </c>
      <c r="AU4" s="371">
        <v>640614</v>
      </c>
      <c r="AV4" s="371">
        <v>652625</v>
      </c>
      <c r="AW4" s="371">
        <v>657733</v>
      </c>
      <c r="AX4" s="371">
        <v>657720</v>
      </c>
      <c r="AY4" s="371">
        <v>637298</v>
      </c>
      <c r="AZ4" s="371">
        <v>656103</v>
      </c>
      <c r="BA4" s="371">
        <v>671942</v>
      </c>
      <c r="BB4" s="371">
        <v>680792</v>
      </c>
      <c r="BC4" s="371">
        <v>690275</v>
      </c>
      <c r="BD4" s="371">
        <v>707589</v>
      </c>
      <c r="BE4" s="371">
        <v>724946</v>
      </c>
      <c r="BF4" s="371">
        <v>740164</v>
      </c>
      <c r="BG4" s="371">
        <v>761818</v>
      </c>
      <c r="BH4" s="371">
        <v>778518</v>
      </c>
      <c r="BI4" s="371">
        <v>791885</v>
      </c>
      <c r="BJ4" s="371">
        <v>743502</v>
      </c>
      <c r="BK4" s="371">
        <v>775835</v>
      </c>
      <c r="BL4" s="371">
        <v>849221</v>
      </c>
      <c r="BM4" s="371">
        <v>935937</v>
      </c>
      <c r="BN4" s="371">
        <v>1025883</v>
      </c>
      <c r="BO4" s="371">
        <v>1111428</v>
      </c>
      <c r="BP4" s="371">
        <v>1207441</v>
      </c>
      <c r="BQ4" s="372">
        <v>1305276</v>
      </c>
    </row>
    <row r="5" spans="1:69" ht="45.75" thickBot="1" x14ac:dyDescent="0.3">
      <c r="A5" s="3" t="s">
        <v>2760</v>
      </c>
      <c r="B5" s="173" t="s">
        <v>8</v>
      </c>
      <c r="C5" s="20">
        <v>363.08100000000002</v>
      </c>
      <c r="D5" s="20">
        <v>354.27300000000002</v>
      </c>
      <c r="E5" s="20">
        <v>368.36900000000003</v>
      </c>
      <c r="F5" s="20">
        <v>332.26499999999999</v>
      </c>
      <c r="G5" s="20">
        <v>302.41500000000002</v>
      </c>
      <c r="H5" s="20">
        <v>315.20800000000003</v>
      </c>
      <c r="I5" s="20">
        <v>320.17500000000001</v>
      </c>
      <c r="J5" s="20">
        <v>320.13900000000001</v>
      </c>
      <c r="K5" s="20">
        <v>326.35500000000002</v>
      </c>
      <c r="L5" s="20">
        <v>271.52300000000002</v>
      </c>
      <c r="M5" s="20">
        <v>256.755</v>
      </c>
      <c r="N5" s="20">
        <v>261.23200000000003</v>
      </c>
      <c r="O5" s="20">
        <v>278.47899999999998</v>
      </c>
      <c r="P5" s="20">
        <v>283.54599999999999</v>
      </c>
      <c r="Q5" s="20">
        <v>290.69299999999998</v>
      </c>
      <c r="R5" s="20">
        <v>281.87400000000002</v>
      </c>
      <c r="S5" s="20">
        <v>262.173</v>
      </c>
      <c r="T5" s="20">
        <v>268.84899999999999</v>
      </c>
      <c r="U5" s="20">
        <v>261.887</v>
      </c>
      <c r="V5" s="20">
        <v>223.369</v>
      </c>
      <c r="W5" s="20">
        <v>147.38</v>
      </c>
      <c r="X5" s="3">
        <v>159.94399999999999</v>
      </c>
      <c r="Z5" s="76"/>
      <c r="AC5" s="347" t="s">
        <v>17</v>
      </c>
      <c r="AD5" s="348" t="s">
        <v>247</v>
      </c>
      <c r="AE5" s="348" t="s">
        <v>1677</v>
      </c>
      <c r="AF5" s="349" t="s">
        <v>575</v>
      </c>
      <c r="AG5" s="349" t="s">
        <v>576</v>
      </c>
      <c r="AH5" s="350" t="s">
        <v>581</v>
      </c>
      <c r="AI5" s="350" t="s">
        <v>742</v>
      </c>
      <c r="AJ5" s="350" t="s">
        <v>742</v>
      </c>
      <c r="AK5" s="350" t="s">
        <v>742</v>
      </c>
      <c r="AL5" s="350" t="s">
        <v>667</v>
      </c>
      <c r="AM5" s="171" t="s">
        <v>589</v>
      </c>
      <c r="AN5" s="62"/>
      <c r="AO5" s="351" t="s">
        <v>702</v>
      </c>
      <c r="AP5" s="163" t="s">
        <v>703</v>
      </c>
      <c r="AQ5" s="352" t="s">
        <v>704</v>
      </c>
      <c r="AR5" s="353" t="s">
        <v>705</v>
      </c>
      <c r="AS5"/>
      <c r="AT5" s="370" t="s">
        <v>1021</v>
      </c>
      <c r="AU5" s="373">
        <v>12528.7</v>
      </c>
      <c r="AV5" s="373">
        <v>12661.9</v>
      </c>
      <c r="AW5" s="373">
        <v>12764.8</v>
      </c>
      <c r="AX5" s="373">
        <v>12883.6</v>
      </c>
      <c r="AY5" s="373">
        <v>12998.3</v>
      </c>
      <c r="AZ5" s="373">
        <v>13135.8</v>
      </c>
      <c r="BA5" s="373">
        <v>13261.4</v>
      </c>
      <c r="BB5" s="373">
        <v>13390.6</v>
      </c>
      <c r="BC5" s="373">
        <v>13510.8</v>
      </c>
      <c r="BD5" s="373">
        <v>13617.6</v>
      </c>
      <c r="BE5" s="373">
        <v>13707.1</v>
      </c>
      <c r="BF5" s="373">
        <v>13875.4</v>
      </c>
      <c r="BG5" s="373">
        <v>14072.6</v>
      </c>
      <c r="BH5" s="373">
        <v>14318.5</v>
      </c>
      <c r="BI5" s="373">
        <v>14566.5</v>
      </c>
      <c r="BJ5" s="373">
        <v>14786.4</v>
      </c>
      <c r="BK5" s="373">
        <v>15004.3</v>
      </c>
      <c r="BL5" s="373">
        <v>15717.9</v>
      </c>
      <c r="BM5" s="373">
        <v>16525.900000000001</v>
      </c>
      <c r="BN5" s="373">
        <v>17258</v>
      </c>
      <c r="BO5" s="373">
        <v>17889.5</v>
      </c>
      <c r="BP5" s="373">
        <v>18463.2</v>
      </c>
      <c r="BQ5" s="374">
        <v>19004.2</v>
      </c>
    </row>
    <row r="6" spans="1:69" ht="30" x14ac:dyDescent="0.25">
      <c r="A6" s="3" t="s">
        <v>2761</v>
      </c>
      <c r="B6" s="173" t="s">
        <v>17</v>
      </c>
      <c r="C6" s="20">
        <v>207.27500000000001</v>
      </c>
      <c r="D6" s="20">
        <v>203.66200000000001</v>
      </c>
      <c r="E6" s="20">
        <v>220.07</v>
      </c>
      <c r="F6" s="20">
        <v>210.28100000000001</v>
      </c>
      <c r="G6" s="20">
        <v>199.63399999999999</v>
      </c>
      <c r="H6" s="20">
        <v>204.684</v>
      </c>
      <c r="I6" s="20">
        <v>202.79300000000001</v>
      </c>
      <c r="J6" s="20">
        <v>213.12100000000001</v>
      </c>
      <c r="K6" s="20">
        <v>207.77500000000001</v>
      </c>
      <c r="L6" s="20">
        <v>193.34100000000001</v>
      </c>
      <c r="M6" s="20">
        <v>232.059</v>
      </c>
      <c r="N6" s="20">
        <v>231.80500000000001</v>
      </c>
      <c r="O6" s="20">
        <v>229.67500000000001</v>
      </c>
      <c r="P6" s="20">
        <v>245.554</v>
      </c>
      <c r="Q6" s="20">
        <v>282.346</v>
      </c>
      <c r="R6" s="20">
        <v>330.39499999999998</v>
      </c>
      <c r="S6" s="20">
        <v>371.16699999999997</v>
      </c>
      <c r="T6" s="20">
        <v>398.48500000000001</v>
      </c>
      <c r="U6" s="20">
        <v>407.03800000000001</v>
      </c>
      <c r="V6" s="20">
        <v>413.91899999999998</v>
      </c>
      <c r="W6" s="20">
        <v>335.78100000000001</v>
      </c>
      <c r="X6" s="3">
        <v>365.56900000000002</v>
      </c>
      <c r="Z6" s="76"/>
      <c r="AC6" s="347" t="s">
        <v>18</v>
      </c>
      <c r="AD6" s="348" t="s">
        <v>248</v>
      </c>
      <c r="AE6" s="348" t="s">
        <v>1678</v>
      </c>
      <c r="AF6" s="349" t="s">
        <v>575</v>
      </c>
      <c r="AG6" s="349" t="s">
        <v>576</v>
      </c>
      <c r="AH6" s="350" t="s">
        <v>581</v>
      </c>
      <c r="AI6" s="350" t="s">
        <v>742</v>
      </c>
      <c r="AJ6" s="350" t="s">
        <v>742</v>
      </c>
      <c r="AK6" s="350" t="s">
        <v>742</v>
      </c>
      <c r="AL6" s="350" t="s">
        <v>667</v>
      </c>
      <c r="AM6" s="62"/>
      <c r="AN6" s="344"/>
      <c r="AO6" s="351" t="s">
        <v>699</v>
      </c>
      <c r="AP6" s="352" t="s">
        <v>706</v>
      </c>
      <c r="AQ6" s="352" t="s">
        <v>708</v>
      </c>
      <c r="AR6" s="354" t="s">
        <v>708</v>
      </c>
      <c r="AS6"/>
      <c r="AT6" s="370" t="s">
        <v>1022</v>
      </c>
      <c r="AU6" s="157">
        <v>0.87</v>
      </c>
      <c r="AV6" s="157">
        <v>0.89</v>
      </c>
      <c r="AW6" s="157">
        <v>0.92</v>
      </c>
      <c r="AX6" s="157">
        <v>0.93</v>
      </c>
      <c r="AY6" s="157">
        <v>0.94</v>
      </c>
      <c r="AZ6" s="157">
        <v>0.96</v>
      </c>
      <c r="BA6" s="157">
        <v>0.98</v>
      </c>
      <c r="BB6" s="157">
        <v>1</v>
      </c>
      <c r="BC6" s="157">
        <v>1.01</v>
      </c>
      <c r="BD6" s="157">
        <v>1.03</v>
      </c>
      <c r="BE6" s="157">
        <v>1.05</v>
      </c>
      <c r="BF6" s="157">
        <v>1.07</v>
      </c>
      <c r="BG6" s="157">
        <v>1.0900000000000001</v>
      </c>
      <c r="BH6" s="157">
        <v>1.1000000000000001</v>
      </c>
      <c r="BI6" s="157">
        <v>1.1299999999999999</v>
      </c>
      <c r="BJ6" s="157">
        <v>1.1399999999999999</v>
      </c>
      <c r="BK6" s="157">
        <v>1.1599999999999999</v>
      </c>
      <c r="BL6" s="157">
        <v>1.25</v>
      </c>
      <c r="BM6" s="157">
        <v>1.38</v>
      </c>
      <c r="BN6" s="157">
        <v>1.55</v>
      </c>
      <c r="BO6" s="157">
        <v>1.73</v>
      </c>
      <c r="BP6" s="157">
        <v>1.94</v>
      </c>
      <c r="BQ6" s="375">
        <v>2.1800000000000002</v>
      </c>
    </row>
    <row r="7" spans="1:69" ht="45" x14ac:dyDescent="0.25">
      <c r="A7" s="3" t="s">
        <v>2762</v>
      </c>
      <c r="B7" s="173" t="s">
        <v>18</v>
      </c>
      <c r="C7" s="20">
        <v>58.768000000000001</v>
      </c>
      <c r="D7" s="20">
        <v>57.411999999999999</v>
      </c>
      <c r="E7" s="20">
        <v>61.798999999999999</v>
      </c>
      <c r="F7" s="20">
        <v>58.777999999999999</v>
      </c>
      <c r="G7" s="20">
        <v>55.686999999999998</v>
      </c>
      <c r="H7" s="20">
        <v>56.999000000000002</v>
      </c>
      <c r="I7" s="20">
        <v>56.433999999999997</v>
      </c>
      <c r="J7" s="20">
        <v>59.31</v>
      </c>
      <c r="K7" s="20">
        <v>57.783000000000001</v>
      </c>
      <c r="L7" s="20">
        <v>53.854999999999997</v>
      </c>
      <c r="M7" s="20">
        <v>64.665000000000006</v>
      </c>
      <c r="N7" s="20">
        <v>64.575000000000003</v>
      </c>
      <c r="O7" s="20">
        <v>63.997</v>
      </c>
      <c r="P7" s="20">
        <v>68.533000000000001</v>
      </c>
      <c r="Q7" s="20">
        <v>78.911000000000001</v>
      </c>
      <c r="R7" s="20">
        <v>92.335999999999999</v>
      </c>
      <c r="S7" s="20">
        <v>103.57899999999999</v>
      </c>
      <c r="T7" s="20">
        <v>111.116</v>
      </c>
      <c r="U7" s="20">
        <v>113.36499999999999</v>
      </c>
      <c r="V7" s="20">
        <v>115.151</v>
      </c>
      <c r="W7" s="20">
        <v>93.346999999999994</v>
      </c>
      <c r="X7" s="3">
        <v>102.155</v>
      </c>
      <c r="Z7" s="76"/>
      <c r="AC7" s="347" t="s">
        <v>19</v>
      </c>
      <c r="AD7" s="348" t="s">
        <v>642</v>
      </c>
      <c r="AE7" s="348" t="s">
        <v>1681</v>
      </c>
      <c r="AF7" s="349" t="s">
        <v>610</v>
      </c>
      <c r="AG7" s="349" t="s">
        <v>576</v>
      </c>
      <c r="AH7" s="350" t="s">
        <v>581</v>
      </c>
      <c r="AI7" s="350" t="s">
        <v>742</v>
      </c>
      <c r="AJ7" s="350" t="s">
        <v>742</v>
      </c>
      <c r="AK7" s="350" t="s">
        <v>742</v>
      </c>
      <c r="AL7" s="350" t="s">
        <v>667</v>
      </c>
      <c r="AM7" s="344"/>
      <c r="AN7" s="344"/>
      <c r="AO7" s="351" t="s">
        <v>710</v>
      </c>
      <c r="AP7" s="352" t="s">
        <v>720</v>
      </c>
      <c r="AQ7" s="352" t="s">
        <v>719</v>
      </c>
      <c r="AR7" s="354" t="s">
        <v>721</v>
      </c>
      <c r="AS7"/>
      <c r="AT7" s="370" t="s">
        <v>1023</v>
      </c>
      <c r="AU7" s="157">
        <v>1.07</v>
      </c>
      <c r="AV7" s="157">
        <v>1.0900000000000001</v>
      </c>
      <c r="AW7" s="157">
        <v>1.1100000000000001</v>
      </c>
      <c r="AX7" s="157">
        <v>1.1299999999999999</v>
      </c>
      <c r="AY7" s="157">
        <v>1.1399999999999999</v>
      </c>
      <c r="AZ7" s="157">
        <v>1.17</v>
      </c>
      <c r="BA7" s="157">
        <v>1.2</v>
      </c>
      <c r="BB7" s="157">
        <v>1.22</v>
      </c>
      <c r="BC7" s="157">
        <v>1.23</v>
      </c>
      <c r="BD7" s="157">
        <v>1.26</v>
      </c>
      <c r="BE7" s="157">
        <v>1.27</v>
      </c>
      <c r="BF7" s="157">
        <v>1.3</v>
      </c>
      <c r="BG7" s="157">
        <v>1.32</v>
      </c>
      <c r="BH7" s="157">
        <v>1.35</v>
      </c>
      <c r="BI7" s="157">
        <v>1.38</v>
      </c>
      <c r="BJ7" s="157">
        <v>1.38</v>
      </c>
      <c r="BK7" s="157">
        <v>1.4</v>
      </c>
      <c r="BL7" s="157">
        <v>1.51</v>
      </c>
      <c r="BM7" s="157">
        <v>1.67</v>
      </c>
      <c r="BN7" s="157">
        <v>1.87</v>
      </c>
      <c r="BO7" s="157">
        <v>2.09</v>
      </c>
      <c r="BP7" s="157">
        <v>2.33</v>
      </c>
      <c r="BQ7" s="375">
        <v>2.61</v>
      </c>
    </row>
    <row r="8" spans="1:69" ht="30" x14ac:dyDescent="0.25">
      <c r="A8" s="3" t="s">
        <v>2763</v>
      </c>
      <c r="B8" s="173" t="s">
        <v>19</v>
      </c>
      <c r="C8" s="20">
        <v>23.594999999999999</v>
      </c>
      <c r="D8" s="20">
        <v>22.550999999999998</v>
      </c>
      <c r="E8" s="20">
        <v>23.609000000000002</v>
      </c>
      <c r="F8" s="20">
        <v>23.013000000000002</v>
      </c>
      <c r="G8" s="20">
        <v>21.844999999999999</v>
      </c>
      <c r="H8" s="20">
        <v>21.928999999999998</v>
      </c>
      <c r="I8" s="20">
        <v>25.878</v>
      </c>
      <c r="J8" s="20">
        <v>27.356999999999999</v>
      </c>
      <c r="K8" s="20">
        <v>25.965</v>
      </c>
      <c r="L8" s="20">
        <v>21.798999999999999</v>
      </c>
      <c r="M8" s="20">
        <v>25.827999999999999</v>
      </c>
      <c r="N8" s="20">
        <v>26.568000000000001</v>
      </c>
      <c r="O8" s="20">
        <v>26.096</v>
      </c>
      <c r="P8" s="20">
        <v>26.707000000000001</v>
      </c>
      <c r="Q8" s="20">
        <v>30.106000000000002</v>
      </c>
      <c r="R8" s="20">
        <v>34.606000000000002</v>
      </c>
      <c r="S8" s="20">
        <v>38.409999999999997</v>
      </c>
      <c r="T8" s="20">
        <v>42.594000000000001</v>
      </c>
      <c r="U8" s="20">
        <v>43.895000000000003</v>
      </c>
      <c r="V8" s="20">
        <v>43.503</v>
      </c>
      <c r="W8" s="20">
        <v>41.548000000000002</v>
      </c>
      <c r="X8" s="3">
        <v>46.911999999999999</v>
      </c>
      <c r="Z8" s="76"/>
      <c r="AC8" s="347" t="s">
        <v>20</v>
      </c>
      <c r="AD8" s="348" t="s">
        <v>249</v>
      </c>
      <c r="AE8" s="348" t="s">
        <v>1680</v>
      </c>
      <c r="AF8" s="349" t="s">
        <v>576</v>
      </c>
      <c r="AG8" s="349" t="s">
        <v>576</v>
      </c>
      <c r="AH8" s="350" t="s">
        <v>667</v>
      </c>
      <c r="AI8" s="350" t="s">
        <v>742</v>
      </c>
      <c r="AJ8" s="350" t="s">
        <v>742</v>
      </c>
      <c r="AK8" s="350" t="s">
        <v>742</v>
      </c>
      <c r="AL8" s="350" t="s">
        <v>667</v>
      </c>
      <c r="AM8" s="344"/>
      <c r="AN8" s="344"/>
      <c r="AO8" s="351" t="s">
        <v>718</v>
      </c>
      <c r="AP8" s="352" t="s">
        <v>722</v>
      </c>
      <c r="AQ8" s="352" t="s">
        <v>722</v>
      </c>
      <c r="AR8" s="355" t="s">
        <v>723</v>
      </c>
      <c r="AS8"/>
      <c r="AT8" s="367" t="s">
        <v>1026</v>
      </c>
      <c r="AU8"/>
      <c r="AV8"/>
      <c r="AW8" s="344"/>
      <c r="AX8" s="344"/>
      <c r="AY8" s="344"/>
      <c r="AZ8" s="344"/>
      <c r="BA8" s="344"/>
      <c r="BB8" s="344"/>
      <c r="BC8" s="344"/>
      <c r="BD8" s="344"/>
      <c r="BE8" s="344"/>
      <c r="BF8" s="344"/>
      <c r="BG8" s="344"/>
      <c r="BH8" s="344"/>
      <c r="BI8" s="344"/>
      <c r="BJ8" s="344"/>
      <c r="BK8" s="344"/>
      <c r="BL8" s="344"/>
      <c r="BM8" s="344"/>
      <c r="BN8" s="344"/>
      <c r="BO8" s="344"/>
      <c r="BP8" s="344"/>
      <c r="BQ8" s="358"/>
    </row>
    <row r="9" spans="1:69" ht="15.75" thickBot="1" x14ac:dyDescent="0.3">
      <c r="A9" s="3" t="s">
        <v>2764</v>
      </c>
      <c r="B9" s="173" t="s">
        <v>20</v>
      </c>
      <c r="C9" s="20">
        <v>11.301</v>
      </c>
      <c r="D9" s="20">
        <v>7.97</v>
      </c>
      <c r="E9" s="20">
        <v>9.6349999999999998</v>
      </c>
      <c r="F9" s="20">
        <v>9.08</v>
      </c>
      <c r="G9" s="20">
        <v>10.907</v>
      </c>
      <c r="H9" s="20">
        <v>12.055999999999999</v>
      </c>
      <c r="I9" s="20">
        <v>12.255000000000001</v>
      </c>
      <c r="J9" s="20">
        <v>8.65</v>
      </c>
      <c r="K9" s="20">
        <v>7.7359999999999998</v>
      </c>
      <c r="L9" s="20">
        <v>4.5460000000000003</v>
      </c>
      <c r="M9" s="20">
        <v>6.3470000000000004</v>
      </c>
      <c r="N9" s="20">
        <v>8.1940000000000008</v>
      </c>
      <c r="O9" s="20">
        <v>9.5850000000000009</v>
      </c>
      <c r="P9" s="20">
        <v>8.6869999999999994</v>
      </c>
      <c r="Q9" s="20">
        <v>9.5960000000000001</v>
      </c>
      <c r="R9" s="20">
        <v>11.362</v>
      </c>
      <c r="S9" s="20">
        <v>10.348000000000001</v>
      </c>
      <c r="T9" s="20">
        <v>10.771000000000001</v>
      </c>
      <c r="U9" s="20">
        <v>14.052</v>
      </c>
      <c r="V9" s="20">
        <v>13.162000000000001</v>
      </c>
      <c r="W9" s="20">
        <v>11.103999999999999</v>
      </c>
      <c r="X9" s="3">
        <v>12.577</v>
      </c>
      <c r="Z9" s="76"/>
      <c r="AC9" s="347" t="s">
        <v>33</v>
      </c>
      <c r="AD9" s="348" t="s">
        <v>250</v>
      </c>
      <c r="AE9" s="157" t="s">
        <v>568</v>
      </c>
      <c r="AF9" s="349" t="s">
        <v>576</v>
      </c>
      <c r="AG9" s="349" t="s">
        <v>576</v>
      </c>
      <c r="AH9" s="350" t="s">
        <v>582</v>
      </c>
      <c r="AI9" s="314" t="s">
        <v>576</v>
      </c>
      <c r="AJ9" s="350" t="s">
        <v>582</v>
      </c>
      <c r="AK9" s="350" t="s">
        <v>582</v>
      </c>
      <c r="AL9" s="350" t="s">
        <v>667</v>
      </c>
      <c r="AM9" s="344"/>
      <c r="AN9" s="344"/>
      <c r="AO9" s="351" t="s">
        <v>711</v>
      </c>
      <c r="AP9" s="163" t="s">
        <v>712</v>
      </c>
      <c r="AQ9" s="163" t="s">
        <v>717</v>
      </c>
      <c r="AR9" s="355" t="s">
        <v>713</v>
      </c>
      <c r="AS9"/>
      <c r="AT9" s="368" t="s">
        <v>1024</v>
      </c>
      <c r="AU9" s="250" t="s">
        <v>998</v>
      </c>
      <c r="AV9" s="250" t="s">
        <v>999</v>
      </c>
      <c r="AW9" s="250" t="s">
        <v>1000</v>
      </c>
      <c r="AX9" s="250" t="s">
        <v>1001</v>
      </c>
      <c r="AY9" s="250" t="s">
        <v>1002</v>
      </c>
      <c r="AZ9" s="250" t="s">
        <v>1003</v>
      </c>
      <c r="BA9" s="250" t="s">
        <v>1004</v>
      </c>
      <c r="BB9" s="250" t="s">
        <v>1005</v>
      </c>
      <c r="BC9" s="250" t="s">
        <v>1006</v>
      </c>
      <c r="BD9" s="250" t="s">
        <v>1007</v>
      </c>
      <c r="BE9" s="250" t="s">
        <v>1008</v>
      </c>
      <c r="BF9" s="250" t="s">
        <v>1009</v>
      </c>
      <c r="BG9" s="250" t="s">
        <v>1010</v>
      </c>
      <c r="BH9" s="250" t="s">
        <v>1011</v>
      </c>
      <c r="BI9" s="250" t="s">
        <v>1012</v>
      </c>
      <c r="BJ9" s="250" t="s">
        <v>1013</v>
      </c>
      <c r="BK9" s="263">
        <v>2021</v>
      </c>
      <c r="BL9" s="250" t="s">
        <v>1014</v>
      </c>
      <c r="BM9" s="250" t="s">
        <v>1015</v>
      </c>
      <c r="BN9" s="250" t="s">
        <v>1016</v>
      </c>
      <c r="BO9" s="250" t="s">
        <v>1017</v>
      </c>
      <c r="BP9" s="250" t="s">
        <v>1018</v>
      </c>
      <c r="BQ9" s="376" t="s">
        <v>1019</v>
      </c>
    </row>
    <row r="10" spans="1:69" ht="45.75" thickTop="1" x14ac:dyDescent="0.25">
      <c r="B10" s="161" t="s">
        <v>9</v>
      </c>
      <c r="C10" s="20"/>
      <c r="D10" s="20"/>
      <c r="E10" s="20"/>
      <c r="F10" s="20"/>
      <c r="G10" s="20"/>
      <c r="H10" s="20"/>
      <c r="I10" s="20"/>
      <c r="J10" s="20"/>
      <c r="K10" s="20"/>
      <c r="L10" s="20"/>
      <c r="M10" s="20"/>
      <c r="N10" s="20"/>
      <c r="O10" s="20"/>
      <c r="P10" s="20"/>
      <c r="Q10" s="20"/>
      <c r="R10" s="20"/>
      <c r="S10" s="20"/>
      <c r="T10" s="20"/>
      <c r="U10" s="20"/>
      <c r="V10" s="20"/>
      <c r="W10" s="20"/>
      <c r="AC10" s="347" t="s">
        <v>38</v>
      </c>
      <c r="AD10" s="348" t="s">
        <v>251</v>
      </c>
      <c r="AE10" s="348" t="s">
        <v>1679</v>
      </c>
      <c r="AF10" s="349" t="s">
        <v>577</v>
      </c>
      <c r="AG10" s="349" t="s">
        <v>576</v>
      </c>
      <c r="AH10" s="349" t="s">
        <v>583</v>
      </c>
      <c r="AI10" s="350" t="s">
        <v>742</v>
      </c>
      <c r="AJ10" s="350" t="s">
        <v>742</v>
      </c>
      <c r="AK10" s="350" t="s">
        <v>742</v>
      </c>
      <c r="AL10" s="350" t="s">
        <v>668</v>
      </c>
      <c r="AM10" s="344"/>
      <c r="AN10" s="344"/>
      <c r="AO10" s="351" t="s">
        <v>714</v>
      </c>
      <c r="AP10" s="163" t="s">
        <v>715</v>
      </c>
      <c r="AQ10" s="163" t="s">
        <v>716</v>
      </c>
      <c r="AR10" s="355" t="s">
        <v>724</v>
      </c>
      <c r="AS10"/>
      <c r="AT10" s="370" t="s">
        <v>1020</v>
      </c>
      <c r="AU10" s="371">
        <v>640614</v>
      </c>
      <c r="AV10" s="371">
        <v>652625</v>
      </c>
      <c r="AW10" s="371">
        <v>657733</v>
      </c>
      <c r="AX10" s="371">
        <v>657720</v>
      </c>
      <c r="AY10" s="371">
        <v>637298</v>
      </c>
      <c r="AZ10" s="371">
        <v>656103</v>
      </c>
      <c r="BA10" s="371">
        <v>671942</v>
      </c>
      <c r="BB10" s="371">
        <v>680792</v>
      </c>
      <c r="BC10" s="371">
        <v>690275</v>
      </c>
      <c r="BD10" s="371">
        <v>707589</v>
      </c>
      <c r="BE10" s="371">
        <v>724946</v>
      </c>
      <c r="BF10" s="371">
        <v>740164</v>
      </c>
      <c r="BG10" s="371">
        <v>761818</v>
      </c>
      <c r="BH10" s="371">
        <v>778518</v>
      </c>
      <c r="BI10" s="371">
        <v>791885</v>
      </c>
      <c r="BJ10" s="371">
        <v>743506</v>
      </c>
      <c r="BK10" s="371">
        <v>775752</v>
      </c>
      <c r="BL10" s="371">
        <v>854474</v>
      </c>
      <c r="BM10" s="371">
        <v>935851</v>
      </c>
      <c r="BN10" s="371">
        <v>1005916</v>
      </c>
      <c r="BO10" s="371">
        <v>1088042</v>
      </c>
      <c r="BP10" s="371">
        <v>1176169</v>
      </c>
      <c r="BQ10" s="372">
        <v>1263216</v>
      </c>
    </row>
    <row r="11" spans="1:69" ht="120" x14ac:dyDescent="0.25">
      <c r="A11" s="3" t="s">
        <v>2765</v>
      </c>
      <c r="B11" s="173" t="s">
        <v>8</v>
      </c>
      <c r="C11" s="20">
        <v>4069.056</v>
      </c>
      <c r="D11" s="20">
        <v>4206.2759999999998</v>
      </c>
      <c r="E11" s="20">
        <v>4163.0590000000002</v>
      </c>
      <c r="F11" s="20">
        <v>4169.9070000000002</v>
      </c>
      <c r="G11" s="20">
        <v>4218.5540000000001</v>
      </c>
      <c r="H11" s="20">
        <v>4212.415</v>
      </c>
      <c r="I11" s="20">
        <v>4199.0360000000001</v>
      </c>
      <c r="J11" s="20">
        <v>4235.8230000000003</v>
      </c>
      <c r="K11" s="20">
        <v>4273.0290000000005</v>
      </c>
      <c r="L11" s="20">
        <v>4275.0959999999995</v>
      </c>
      <c r="M11" s="20">
        <v>4238.9669999999996</v>
      </c>
      <c r="N11" s="20">
        <v>4197.5280000000002</v>
      </c>
      <c r="O11" s="20">
        <v>4190.8919999999998</v>
      </c>
      <c r="P11" s="20">
        <v>4269.3519999999999</v>
      </c>
      <c r="Q11" s="20">
        <v>4352.9740000000002</v>
      </c>
      <c r="R11" s="20">
        <v>4454.4620000000004</v>
      </c>
      <c r="S11" s="20">
        <v>4525.0559999999996</v>
      </c>
      <c r="T11" s="20">
        <v>4593.9049999999997</v>
      </c>
      <c r="U11" s="20">
        <v>4689.1239999999998</v>
      </c>
      <c r="V11" s="20">
        <v>4561.9750000000004</v>
      </c>
      <c r="W11" s="20">
        <v>4342.2569999999996</v>
      </c>
      <c r="X11" s="3">
        <v>4119.7659999999996</v>
      </c>
      <c r="Z11" s="76"/>
      <c r="AC11" s="347" t="s">
        <v>39</v>
      </c>
      <c r="AD11" s="348" t="s">
        <v>253</v>
      </c>
      <c r="AE11" s="348" t="s">
        <v>1679</v>
      </c>
      <c r="AF11" s="349" t="s">
        <v>577</v>
      </c>
      <c r="AG11" s="349" t="s">
        <v>576</v>
      </c>
      <c r="AH11" s="349" t="s">
        <v>583</v>
      </c>
      <c r="AI11" s="350" t="s">
        <v>742</v>
      </c>
      <c r="AJ11" s="350" t="s">
        <v>742</v>
      </c>
      <c r="AK11" s="350" t="s">
        <v>742</v>
      </c>
      <c r="AL11" s="350" t="s">
        <v>667</v>
      </c>
      <c r="AM11" s="344"/>
      <c r="AN11" s="344"/>
      <c r="AO11" s="351" t="s">
        <v>709</v>
      </c>
      <c r="AP11" s="352" t="s">
        <v>725</v>
      </c>
      <c r="AQ11" s="352" t="s">
        <v>726</v>
      </c>
      <c r="AR11" s="354" t="s">
        <v>726</v>
      </c>
      <c r="AS11"/>
      <c r="AT11" s="370" t="s">
        <v>1021</v>
      </c>
      <c r="AU11" s="373">
        <v>12528.7</v>
      </c>
      <c r="AV11" s="373">
        <v>12661.9</v>
      </c>
      <c r="AW11" s="373">
        <v>12764.8</v>
      </c>
      <c r="AX11" s="373">
        <v>12883.6</v>
      </c>
      <c r="AY11" s="373">
        <v>12998.3</v>
      </c>
      <c r="AZ11" s="373">
        <v>13135.8</v>
      </c>
      <c r="BA11" s="373">
        <v>13261.4</v>
      </c>
      <c r="BB11" s="373">
        <v>13390.6</v>
      </c>
      <c r="BC11" s="373">
        <v>13510.8</v>
      </c>
      <c r="BD11" s="373">
        <v>13617.6</v>
      </c>
      <c r="BE11" s="373">
        <v>13707.1</v>
      </c>
      <c r="BF11" s="373">
        <v>13875.4</v>
      </c>
      <c r="BG11" s="373">
        <v>14072.6</v>
      </c>
      <c r="BH11" s="373">
        <v>14318.5</v>
      </c>
      <c r="BI11" s="373">
        <v>14566.5</v>
      </c>
      <c r="BJ11" s="373">
        <v>14785.4</v>
      </c>
      <c r="BK11" s="373">
        <v>15005.4</v>
      </c>
      <c r="BL11" s="373">
        <v>15757.9</v>
      </c>
      <c r="BM11" s="373">
        <v>16598.900000000001</v>
      </c>
      <c r="BN11" s="373">
        <v>17277.8</v>
      </c>
      <c r="BO11" s="373">
        <v>17883.599999999999</v>
      </c>
      <c r="BP11" s="373">
        <v>18429.7</v>
      </c>
      <c r="BQ11" s="374">
        <v>18919.3</v>
      </c>
    </row>
    <row r="12" spans="1:69" ht="45" x14ac:dyDescent="0.25">
      <c r="A12" s="3" t="s">
        <v>2766</v>
      </c>
      <c r="B12" s="173" t="s">
        <v>17</v>
      </c>
      <c r="C12" s="20">
        <v>1642.6659999999999</v>
      </c>
      <c r="D12" s="20">
        <v>1742.415</v>
      </c>
      <c r="E12" s="20">
        <v>1786.546</v>
      </c>
      <c r="F12" s="20">
        <v>1869.0160000000001</v>
      </c>
      <c r="G12" s="20">
        <v>1971.606</v>
      </c>
      <c r="H12" s="20">
        <v>2062.37</v>
      </c>
      <c r="I12" s="20">
        <v>2104.4059999999999</v>
      </c>
      <c r="J12" s="20">
        <v>2192.2910000000002</v>
      </c>
      <c r="K12" s="20">
        <v>2279.721</v>
      </c>
      <c r="L12" s="20">
        <v>2358.5390000000002</v>
      </c>
      <c r="M12" s="20">
        <v>2447.0740000000001</v>
      </c>
      <c r="N12" s="20">
        <v>2539.029</v>
      </c>
      <c r="O12" s="20">
        <v>2600.886</v>
      </c>
      <c r="P12" s="20">
        <v>2745.83</v>
      </c>
      <c r="Q12" s="20">
        <v>2911.4050000000002</v>
      </c>
      <c r="R12" s="20">
        <v>3113.8139999999999</v>
      </c>
      <c r="S12" s="20">
        <v>3386.4409999999998</v>
      </c>
      <c r="T12" s="20">
        <v>3656.51</v>
      </c>
      <c r="U12" s="20">
        <v>3974.45</v>
      </c>
      <c r="V12" s="20">
        <v>4075.1280000000002</v>
      </c>
      <c r="W12" s="20">
        <v>4177.3249999999998</v>
      </c>
      <c r="X12" s="3">
        <v>4112.4629999999997</v>
      </c>
      <c r="Z12" s="76"/>
      <c r="AC12" s="347" t="s">
        <v>40</v>
      </c>
      <c r="AD12" s="157" t="s">
        <v>573</v>
      </c>
      <c r="AE12" s="348" t="s">
        <v>258</v>
      </c>
      <c r="AF12" s="349" t="s">
        <v>577</v>
      </c>
      <c r="AG12" s="349" t="s">
        <v>576</v>
      </c>
      <c r="AH12" s="349" t="s">
        <v>583</v>
      </c>
      <c r="AI12" s="350" t="s">
        <v>742</v>
      </c>
      <c r="AJ12" s="350" t="s">
        <v>742</v>
      </c>
      <c r="AK12" s="350" t="s">
        <v>742</v>
      </c>
      <c r="AL12" s="350" t="s">
        <v>667</v>
      </c>
      <c r="AM12" s="344"/>
      <c r="AN12" s="344"/>
      <c r="AO12" s="356" t="s">
        <v>745</v>
      </c>
      <c r="AP12" s="352" t="s">
        <v>733</v>
      </c>
      <c r="AQ12" s="352" t="s">
        <v>732</v>
      </c>
      <c r="AR12" s="313" t="s">
        <v>731</v>
      </c>
      <c r="AS12"/>
      <c r="AT12" s="370" t="s">
        <v>1022</v>
      </c>
      <c r="AU12" s="157">
        <v>0.87</v>
      </c>
      <c r="AV12" s="157">
        <v>0.89</v>
      </c>
      <c r="AW12" s="157">
        <v>0.92</v>
      </c>
      <c r="AX12" s="157">
        <v>0.93</v>
      </c>
      <c r="AY12" s="157">
        <v>0.94</v>
      </c>
      <c r="AZ12" s="157">
        <v>0.96</v>
      </c>
      <c r="BA12" s="157">
        <v>0.98</v>
      </c>
      <c r="BB12" s="157">
        <v>1</v>
      </c>
      <c r="BC12" s="157">
        <v>1.01</v>
      </c>
      <c r="BD12" s="157">
        <v>1.03</v>
      </c>
      <c r="BE12" s="157">
        <v>1.05</v>
      </c>
      <c r="BF12" s="157">
        <v>1.07</v>
      </c>
      <c r="BG12" s="157">
        <v>1.0900000000000001</v>
      </c>
      <c r="BH12" s="157">
        <v>1.1000000000000001</v>
      </c>
      <c r="BI12" s="157">
        <v>1.1299999999999999</v>
      </c>
      <c r="BJ12" s="157">
        <v>1.1399999999999999</v>
      </c>
      <c r="BK12" s="157">
        <v>1.1599999999999999</v>
      </c>
      <c r="BL12" s="157">
        <v>1.24</v>
      </c>
      <c r="BM12" s="157">
        <v>1.4</v>
      </c>
      <c r="BN12" s="157">
        <v>1.55</v>
      </c>
      <c r="BO12" s="157">
        <v>1.71</v>
      </c>
      <c r="BP12" s="157">
        <v>1.91</v>
      </c>
      <c r="BQ12" s="375">
        <v>2.14</v>
      </c>
    </row>
    <row r="13" spans="1:69" ht="60" x14ac:dyDescent="0.25">
      <c r="A13" s="3" t="s">
        <v>2767</v>
      </c>
      <c r="B13" s="173" t="s">
        <v>18</v>
      </c>
      <c r="C13" s="20">
        <v>465.74400000000003</v>
      </c>
      <c r="D13" s="20">
        <v>491.18200000000002</v>
      </c>
      <c r="E13" s="20">
        <v>501.69</v>
      </c>
      <c r="F13" s="20">
        <v>522.42600000000004</v>
      </c>
      <c r="G13" s="20">
        <v>549.96799999999996</v>
      </c>
      <c r="H13" s="20">
        <v>574.31200000000001</v>
      </c>
      <c r="I13" s="20">
        <v>585.61800000000005</v>
      </c>
      <c r="J13" s="20">
        <v>610.10299999999995</v>
      </c>
      <c r="K13" s="20">
        <v>633.99300000000005</v>
      </c>
      <c r="L13" s="20">
        <v>656.97199999999998</v>
      </c>
      <c r="M13" s="20">
        <v>681.90200000000004</v>
      </c>
      <c r="N13" s="20">
        <v>707.30499999999995</v>
      </c>
      <c r="O13" s="20">
        <v>724.71500000000003</v>
      </c>
      <c r="P13" s="20">
        <v>766.34500000000003</v>
      </c>
      <c r="Q13" s="20">
        <v>813.68600000000004</v>
      </c>
      <c r="R13" s="20">
        <v>870.22799999999995</v>
      </c>
      <c r="S13" s="20">
        <v>945.03099999999995</v>
      </c>
      <c r="T13" s="20">
        <v>1019.605</v>
      </c>
      <c r="U13" s="20">
        <v>1106.9349999999999</v>
      </c>
      <c r="V13" s="20">
        <v>1133.683</v>
      </c>
      <c r="W13" s="20">
        <v>1161.2929999999999</v>
      </c>
      <c r="X13" s="3">
        <v>1149.1949999999999</v>
      </c>
      <c r="Z13" s="76"/>
      <c r="AC13" s="347" t="s">
        <v>70</v>
      </c>
      <c r="AD13" s="348" t="s">
        <v>256</v>
      </c>
      <c r="AE13" s="157" t="s">
        <v>1676</v>
      </c>
      <c r="AF13" s="314" t="s">
        <v>578</v>
      </c>
      <c r="AG13" s="314" t="s">
        <v>576</v>
      </c>
      <c r="AH13" s="350" t="s">
        <v>584</v>
      </c>
      <c r="AI13" s="350" t="s">
        <v>668</v>
      </c>
      <c r="AJ13" s="350" t="s">
        <v>585</v>
      </c>
      <c r="AK13" s="350" t="s">
        <v>585</v>
      </c>
      <c r="AL13" s="350" t="s">
        <v>668</v>
      </c>
      <c r="AM13" s="344"/>
      <c r="AN13" s="344"/>
      <c r="AO13" s="351" t="s">
        <v>727</v>
      </c>
      <c r="AP13" s="352" t="s">
        <v>728</v>
      </c>
      <c r="AQ13" s="352" t="s">
        <v>730</v>
      </c>
      <c r="AR13" s="313" t="s">
        <v>734</v>
      </c>
      <c r="AS13"/>
      <c r="AT13" s="370" t="s">
        <v>1023</v>
      </c>
      <c r="AU13" s="157">
        <v>1.07</v>
      </c>
      <c r="AV13" s="157">
        <v>1.0900000000000001</v>
      </c>
      <c r="AW13" s="157">
        <v>1.1100000000000001</v>
      </c>
      <c r="AX13" s="157">
        <v>1.1299999999999999</v>
      </c>
      <c r="AY13" s="157">
        <v>1.1399999999999999</v>
      </c>
      <c r="AZ13" s="157">
        <v>1.17</v>
      </c>
      <c r="BA13" s="157">
        <v>1.2</v>
      </c>
      <c r="BB13" s="157">
        <v>1.22</v>
      </c>
      <c r="BC13" s="157">
        <v>1.23</v>
      </c>
      <c r="BD13" s="157">
        <v>1.26</v>
      </c>
      <c r="BE13" s="157">
        <v>1.27</v>
      </c>
      <c r="BF13" s="157">
        <v>1.3</v>
      </c>
      <c r="BG13" s="157">
        <v>1.32</v>
      </c>
      <c r="BH13" s="157">
        <v>1.35</v>
      </c>
      <c r="BI13" s="157">
        <v>1.38</v>
      </c>
      <c r="BJ13" s="157">
        <v>1.38</v>
      </c>
      <c r="BK13" s="157">
        <v>1.4</v>
      </c>
      <c r="BL13" s="157">
        <v>1.51</v>
      </c>
      <c r="BM13" s="157">
        <v>1.69</v>
      </c>
      <c r="BN13" s="157">
        <v>1.88</v>
      </c>
      <c r="BO13" s="157">
        <v>2.08</v>
      </c>
      <c r="BP13" s="157">
        <v>2.3199999999999998</v>
      </c>
      <c r="BQ13" s="375">
        <v>2.6</v>
      </c>
    </row>
    <row r="14" spans="1:69" ht="75" x14ac:dyDescent="0.25">
      <c r="A14" s="3" t="s">
        <v>2768</v>
      </c>
      <c r="B14" s="173" t="s">
        <v>19</v>
      </c>
      <c r="C14" s="20">
        <v>203.28899999999999</v>
      </c>
      <c r="D14" s="20">
        <v>208.05799999999999</v>
      </c>
      <c r="E14" s="20">
        <v>213.446</v>
      </c>
      <c r="F14" s="20">
        <v>221.48599999999999</v>
      </c>
      <c r="G14" s="20">
        <v>231.16200000000001</v>
      </c>
      <c r="H14" s="20">
        <v>235.125</v>
      </c>
      <c r="I14" s="20">
        <v>234.50399999999999</v>
      </c>
      <c r="J14" s="20">
        <v>257.959</v>
      </c>
      <c r="K14" s="20">
        <v>277.05399999999997</v>
      </c>
      <c r="L14" s="20">
        <v>293.548</v>
      </c>
      <c r="M14" s="20">
        <v>314.23</v>
      </c>
      <c r="N14" s="20">
        <v>317.72399999999999</v>
      </c>
      <c r="O14" s="20">
        <v>317.97399999999999</v>
      </c>
      <c r="P14" s="20">
        <v>327.84899999999999</v>
      </c>
      <c r="Q14" s="20">
        <v>341.76299999999998</v>
      </c>
      <c r="R14" s="20">
        <v>354.96899999999999</v>
      </c>
      <c r="S14" s="20">
        <v>372.67099999999999</v>
      </c>
      <c r="T14" s="20">
        <v>386.08600000000001</v>
      </c>
      <c r="U14" s="20">
        <v>403.19299999999998</v>
      </c>
      <c r="V14" s="20">
        <v>407.255</v>
      </c>
      <c r="W14" s="20">
        <v>421.45100000000002</v>
      </c>
      <c r="X14" s="3">
        <v>422.61799999999999</v>
      </c>
      <c r="Z14" s="76"/>
      <c r="AC14" s="347" t="s">
        <v>71</v>
      </c>
      <c r="AD14" s="348"/>
      <c r="AE14" s="157" t="s">
        <v>1676</v>
      </c>
      <c r="AF14" s="314" t="s">
        <v>578</v>
      </c>
      <c r="AG14" s="314" t="s">
        <v>576</v>
      </c>
      <c r="AH14" s="350" t="s">
        <v>584</v>
      </c>
      <c r="AI14" s="350" t="s">
        <v>668</v>
      </c>
      <c r="AJ14" s="350" t="s">
        <v>585</v>
      </c>
      <c r="AK14" s="350" t="s">
        <v>585</v>
      </c>
      <c r="AL14" s="350" t="s">
        <v>668</v>
      </c>
      <c r="AM14" s="344"/>
      <c r="AN14" s="344"/>
      <c r="AO14" s="351" t="s">
        <v>746</v>
      </c>
      <c r="AP14" s="352" t="s">
        <v>729</v>
      </c>
      <c r="AQ14" s="352" t="s">
        <v>736</v>
      </c>
      <c r="AR14" s="354" t="s">
        <v>736</v>
      </c>
      <c r="AS14"/>
      <c r="AT14" s="367" t="s">
        <v>1686</v>
      </c>
      <c r="AU14"/>
      <c r="AV14"/>
      <c r="AW14" s="344"/>
      <c r="AX14" s="344"/>
      <c r="AY14" s="344"/>
      <c r="AZ14" s="344"/>
      <c r="BA14" s="344"/>
      <c r="BB14" s="344"/>
      <c r="BC14" s="344"/>
      <c r="BD14" s="344"/>
      <c r="BE14" s="344"/>
      <c r="BF14" s="344"/>
      <c r="BG14" s="344"/>
      <c r="BH14" s="344"/>
      <c r="BI14" s="344"/>
      <c r="BJ14" s="344"/>
      <c r="BK14" s="344"/>
      <c r="BL14" s="344"/>
      <c r="BM14" s="344"/>
      <c r="BN14" s="344"/>
      <c r="BO14" s="344"/>
      <c r="BP14" s="344"/>
      <c r="BQ14" s="358"/>
    </row>
    <row r="15" spans="1:69" ht="90.75" thickBot="1" x14ac:dyDescent="0.3">
      <c r="A15" s="3" t="s">
        <v>2769</v>
      </c>
      <c r="B15" s="173" t="s">
        <v>20</v>
      </c>
      <c r="C15" s="20">
        <v>98.753</v>
      </c>
      <c r="D15" s="20">
        <v>101.898</v>
      </c>
      <c r="E15" s="20">
        <v>104.539</v>
      </c>
      <c r="F15" s="20">
        <v>106.925</v>
      </c>
      <c r="G15" s="20">
        <v>106.98399999999999</v>
      </c>
      <c r="H15" s="20">
        <v>111.54600000000001</v>
      </c>
      <c r="I15" s="20">
        <v>117.622</v>
      </c>
      <c r="J15" s="20">
        <v>118.556</v>
      </c>
      <c r="K15" s="20">
        <v>117.46299999999999</v>
      </c>
      <c r="L15" s="20">
        <v>112.79600000000001</v>
      </c>
      <c r="M15" s="20">
        <v>110.595</v>
      </c>
      <c r="N15" s="20">
        <v>114.242</v>
      </c>
      <c r="O15" s="20">
        <v>116.125</v>
      </c>
      <c r="P15" s="20">
        <v>117.84</v>
      </c>
      <c r="Q15" s="20">
        <v>118.941</v>
      </c>
      <c r="R15" s="20">
        <v>122.462</v>
      </c>
      <c r="S15" s="20">
        <v>125.59399999999999</v>
      </c>
      <c r="T15" s="20">
        <v>125.18</v>
      </c>
      <c r="U15" s="20">
        <v>128.773</v>
      </c>
      <c r="V15" s="20">
        <v>131.83699999999999</v>
      </c>
      <c r="W15" s="20">
        <v>135.458</v>
      </c>
      <c r="X15" s="3">
        <v>148.09800000000001</v>
      </c>
      <c r="Z15" s="76"/>
      <c r="AC15" s="347" t="s">
        <v>56</v>
      </c>
      <c r="AD15" s="348" t="s">
        <v>1675</v>
      </c>
      <c r="AE15" s="157" t="s">
        <v>569</v>
      </c>
      <c r="AF15" s="314" t="s">
        <v>579</v>
      </c>
      <c r="AG15" s="314" t="s">
        <v>576</v>
      </c>
      <c r="AH15" s="350" t="s">
        <v>585</v>
      </c>
      <c r="AI15" s="350" t="s">
        <v>668</v>
      </c>
      <c r="AJ15" s="350" t="s">
        <v>585</v>
      </c>
      <c r="AK15" s="350" t="s">
        <v>585</v>
      </c>
      <c r="AL15" s="350" t="s">
        <v>668</v>
      </c>
      <c r="AM15" s="344"/>
      <c r="AN15" s="344"/>
      <c r="AO15" s="351" t="s">
        <v>740</v>
      </c>
      <c r="AP15" s="352" t="s">
        <v>735</v>
      </c>
      <c r="AQ15" s="357" t="s">
        <v>744</v>
      </c>
      <c r="AR15" s="313" t="s">
        <v>743</v>
      </c>
      <c r="AS15"/>
      <c r="AT15" s="368" t="s">
        <v>1024</v>
      </c>
      <c r="AU15" s="250" t="s">
        <v>998</v>
      </c>
      <c r="AV15" s="250" t="s">
        <v>999</v>
      </c>
      <c r="AW15" s="250" t="s">
        <v>1000</v>
      </c>
      <c r="AX15" s="250" t="s">
        <v>1001</v>
      </c>
      <c r="AY15" s="250" t="s">
        <v>1002</v>
      </c>
      <c r="AZ15" s="250" t="s">
        <v>1003</v>
      </c>
      <c r="BA15" s="250" t="s">
        <v>1004</v>
      </c>
      <c r="BB15" s="250" t="s">
        <v>1005</v>
      </c>
      <c r="BC15" s="250" t="s">
        <v>1006</v>
      </c>
      <c r="BD15" s="250" t="s">
        <v>1007</v>
      </c>
      <c r="BE15" s="250" t="s">
        <v>1008</v>
      </c>
      <c r="BF15" s="250" t="s">
        <v>1009</v>
      </c>
      <c r="BG15" s="250" t="s">
        <v>1010</v>
      </c>
      <c r="BH15" s="250" t="s">
        <v>1011</v>
      </c>
      <c r="BI15" s="250" t="s">
        <v>1012</v>
      </c>
      <c r="BJ15" s="250" t="s">
        <v>1013</v>
      </c>
      <c r="BK15" s="263">
        <v>2021</v>
      </c>
      <c r="BL15" s="250" t="s">
        <v>1014</v>
      </c>
      <c r="BM15" s="250" t="s">
        <v>1015</v>
      </c>
      <c r="BN15" s="250" t="s">
        <v>1016</v>
      </c>
      <c r="BO15" s="250" t="s">
        <v>1017</v>
      </c>
      <c r="BP15" s="250" t="s">
        <v>1018</v>
      </c>
      <c r="BQ15" s="376" t="s">
        <v>1019</v>
      </c>
    </row>
    <row r="16" spans="1:69" ht="30.75" thickTop="1" x14ac:dyDescent="0.25">
      <c r="A16" s="3" t="s">
        <v>2770</v>
      </c>
      <c r="B16" s="173" t="s">
        <v>33</v>
      </c>
      <c r="C16" s="20">
        <v>83.954999999999998</v>
      </c>
      <c r="D16" s="20">
        <v>96.11</v>
      </c>
      <c r="E16" s="20">
        <v>107.53</v>
      </c>
      <c r="F16" s="20">
        <v>112.56699999999999</v>
      </c>
      <c r="G16" s="20">
        <v>119.633</v>
      </c>
      <c r="H16" s="20">
        <v>128.143</v>
      </c>
      <c r="I16" s="20">
        <v>140.875</v>
      </c>
      <c r="J16" s="20">
        <v>153.441</v>
      </c>
      <c r="K16" s="20">
        <v>168.125</v>
      </c>
      <c r="L16" s="20">
        <v>181.30500000000001</v>
      </c>
      <c r="M16" s="20">
        <v>190.69399999999999</v>
      </c>
      <c r="N16" s="20">
        <v>198.24199999999999</v>
      </c>
      <c r="O16" s="20">
        <v>209.41200000000001</v>
      </c>
      <c r="P16" s="20">
        <v>211.29400000000001</v>
      </c>
      <c r="Q16" s="20">
        <v>213.28299999999999</v>
      </c>
      <c r="R16" s="20">
        <v>217.04900000000001</v>
      </c>
      <c r="S16" s="20">
        <v>219.93299999999999</v>
      </c>
      <c r="T16" s="20">
        <v>222.935</v>
      </c>
      <c r="U16" s="20">
        <v>222.13900000000001</v>
      </c>
      <c r="V16" s="20">
        <v>220.57499999999999</v>
      </c>
      <c r="W16" s="20">
        <v>225.82300000000001</v>
      </c>
      <c r="X16" s="3">
        <v>243.99600000000001</v>
      </c>
      <c r="AC16" s="347" t="s">
        <v>57</v>
      </c>
      <c r="AD16" s="348"/>
      <c r="AE16" s="157" t="s">
        <v>1683</v>
      </c>
      <c r="AF16" s="314" t="s">
        <v>579</v>
      </c>
      <c r="AG16" s="314" t="s">
        <v>576</v>
      </c>
      <c r="AH16" s="350" t="s">
        <v>585</v>
      </c>
      <c r="AI16" s="350" t="s">
        <v>668</v>
      </c>
      <c r="AJ16" s="350" t="s">
        <v>585</v>
      </c>
      <c r="AK16" s="350" t="s">
        <v>585</v>
      </c>
      <c r="AL16" s="350" t="s">
        <v>668</v>
      </c>
      <c r="AM16" s="344"/>
      <c r="AN16" s="344"/>
      <c r="AO16" s="344"/>
      <c r="AP16" s="344"/>
      <c r="AQ16" s="344"/>
      <c r="AR16" s="358"/>
      <c r="AS16"/>
      <c r="AT16" s="61" t="s">
        <v>1020</v>
      </c>
      <c r="AU16" s="371">
        <v>1643973</v>
      </c>
      <c r="AV16" s="371">
        <v>1687280</v>
      </c>
      <c r="AW16" s="371">
        <v>1722238</v>
      </c>
      <c r="AX16" s="371">
        <v>1739534</v>
      </c>
      <c r="AY16" s="371">
        <v>1688636</v>
      </c>
      <c r="AZ16" s="371">
        <v>1740814</v>
      </c>
      <c r="BA16" s="371">
        <v>1795582</v>
      </c>
      <c r="BB16" s="371">
        <v>1827201</v>
      </c>
      <c r="BC16" s="371">
        <v>1869759</v>
      </c>
      <c r="BD16" s="371">
        <v>1923422</v>
      </c>
      <c r="BE16" s="371">
        <v>1936100</v>
      </c>
      <c r="BF16" s="371">
        <v>1955488</v>
      </c>
      <c r="BG16" s="371">
        <v>2017492</v>
      </c>
      <c r="BH16" s="371">
        <v>2058116</v>
      </c>
      <c r="BI16" s="371">
        <v>2091793</v>
      </c>
      <c r="BJ16" s="371">
        <v>1967255</v>
      </c>
      <c r="BK16" s="371">
        <v>2053704</v>
      </c>
      <c r="BL16" s="371">
        <v>2241548</v>
      </c>
      <c r="BM16" s="371">
        <v>2455391</v>
      </c>
      <c r="BN16" s="371">
        <v>2638464</v>
      </c>
      <c r="BO16" s="371">
        <v>2824928</v>
      </c>
      <c r="BP16" s="371">
        <v>3028848</v>
      </c>
      <c r="BQ16" s="372">
        <v>3229641</v>
      </c>
    </row>
    <row r="17" spans="1:69" ht="30" x14ac:dyDescent="0.25">
      <c r="A17" s="3" t="s">
        <v>2771</v>
      </c>
      <c r="B17" s="173" t="s">
        <v>38</v>
      </c>
      <c r="C17" s="20">
        <v>16.414999999999999</v>
      </c>
      <c r="D17" s="20">
        <v>14.441000000000001</v>
      </c>
      <c r="E17" s="20">
        <v>16.257999999999999</v>
      </c>
      <c r="F17" s="20">
        <v>16.760999999999999</v>
      </c>
      <c r="G17" s="20">
        <v>15.461</v>
      </c>
      <c r="H17" s="20">
        <v>15.542</v>
      </c>
      <c r="I17" s="20">
        <v>16.405999999999999</v>
      </c>
      <c r="J17" s="20">
        <v>15.95</v>
      </c>
      <c r="K17" s="20">
        <v>16.213999999999999</v>
      </c>
      <c r="L17" s="20">
        <v>16.562000000000001</v>
      </c>
      <c r="M17" s="20">
        <v>16.678999999999998</v>
      </c>
      <c r="N17" s="20">
        <v>16.731999999999999</v>
      </c>
      <c r="O17" s="20">
        <v>16.817</v>
      </c>
      <c r="P17" s="20">
        <v>16.626999999999999</v>
      </c>
      <c r="Q17" s="20">
        <v>17.443999999999999</v>
      </c>
      <c r="R17" s="20">
        <v>16.629000000000001</v>
      </c>
      <c r="S17" s="20">
        <v>16.831</v>
      </c>
      <c r="T17" s="20">
        <v>18.338999999999999</v>
      </c>
      <c r="U17" s="20">
        <v>17.855</v>
      </c>
      <c r="V17" s="20">
        <v>17.818999999999999</v>
      </c>
      <c r="W17" s="20">
        <v>14.278</v>
      </c>
      <c r="X17" s="3">
        <v>12.625999999999999</v>
      </c>
      <c r="AC17" s="347" t="s">
        <v>118</v>
      </c>
      <c r="AD17" s="348" t="s">
        <v>257</v>
      </c>
      <c r="AE17" s="157" t="s">
        <v>1684</v>
      </c>
      <c r="AF17" s="314" t="s">
        <v>580</v>
      </c>
      <c r="AG17" s="314" t="s">
        <v>576</v>
      </c>
      <c r="AH17" s="350" t="s">
        <v>585</v>
      </c>
      <c r="AI17" s="314" t="s">
        <v>669</v>
      </c>
      <c r="AJ17" s="350" t="s">
        <v>670</v>
      </c>
      <c r="AK17" s="350" t="s">
        <v>670</v>
      </c>
      <c r="AL17" s="350" t="s">
        <v>668</v>
      </c>
      <c r="AM17" s="344"/>
      <c r="AN17" s="344"/>
      <c r="AO17" s="344"/>
      <c r="AP17" s="344"/>
      <c r="AQ17" s="344"/>
      <c r="AR17" s="358"/>
      <c r="AS17"/>
      <c r="AT17" s="61" t="s">
        <v>1021</v>
      </c>
      <c r="AU17" s="373">
        <v>32243.8</v>
      </c>
      <c r="AV17" s="373">
        <v>32571.200000000001</v>
      </c>
      <c r="AW17" s="373">
        <v>32889</v>
      </c>
      <c r="AX17" s="373">
        <v>33247.1</v>
      </c>
      <c r="AY17" s="373">
        <v>33628.9</v>
      </c>
      <c r="AZ17" s="373">
        <v>34004.9</v>
      </c>
      <c r="BA17" s="373">
        <v>34339.300000000003</v>
      </c>
      <c r="BB17" s="373">
        <v>34714.199999999997</v>
      </c>
      <c r="BC17" s="373">
        <v>35083</v>
      </c>
      <c r="BD17" s="373">
        <v>35437.4</v>
      </c>
      <c r="BE17" s="373">
        <v>35702.9</v>
      </c>
      <c r="BF17" s="373">
        <v>36109.5</v>
      </c>
      <c r="BG17" s="373">
        <v>36543.300000000003</v>
      </c>
      <c r="BH17" s="373">
        <v>37057.800000000003</v>
      </c>
      <c r="BI17" s="373">
        <v>37589.300000000003</v>
      </c>
      <c r="BJ17" s="373">
        <v>38035.800000000003</v>
      </c>
      <c r="BK17" s="373">
        <v>38477.5</v>
      </c>
      <c r="BL17" s="373">
        <v>40083.699999999997</v>
      </c>
      <c r="BM17" s="373">
        <v>42057</v>
      </c>
      <c r="BN17" s="373">
        <v>43805.4</v>
      </c>
      <c r="BO17" s="373">
        <v>45264.6</v>
      </c>
      <c r="BP17" s="373">
        <v>46643.1</v>
      </c>
      <c r="BQ17" s="374">
        <v>47985.3</v>
      </c>
    </row>
    <row r="18" spans="1:69" ht="30.75" thickBot="1" x14ac:dyDescent="0.3">
      <c r="A18" s="3" t="s">
        <v>2772</v>
      </c>
      <c r="B18" s="173" t="s">
        <v>39</v>
      </c>
      <c r="C18" s="20">
        <v>8.1859999999999999</v>
      </c>
      <c r="D18" s="20">
        <v>7.7930000000000001</v>
      </c>
      <c r="E18" s="20">
        <v>8.7100000000000009</v>
      </c>
      <c r="F18" s="20">
        <v>8.4969999999999999</v>
      </c>
      <c r="G18" s="20">
        <v>7.7510000000000003</v>
      </c>
      <c r="H18" s="20">
        <v>7.9550000000000001</v>
      </c>
      <c r="I18" s="20">
        <v>7.6639999999999997</v>
      </c>
      <c r="J18" s="20">
        <v>8.6039999999999992</v>
      </c>
      <c r="K18" s="20">
        <v>9.0579999999999998</v>
      </c>
      <c r="L18" s="20">
        <v>9.4</v>
      </c>
      <c r="M18" s="20">
        <v>9.4</v>
      </c>
      <c r="N18" s="20">
        <v>9.6679999999999993</v>
      </c>
      <c r="O18" s="20">
        <v>9.9670000000000005</v>
      </c>
      <c r="P18" s="20">
        <v>9.6370000000000005</v>
      </c>
      <c r="Q18" s="20">
        <v>9.2460000000000004</v>
      </c>
      <c r="R18" s="20">
        <v>10.199999999999999</v>
      </c>
      <c r="S18" s="20">
        <v>9.6449999999999996</v>
      </c>
      <c r="T18" s="20">
        <v>9.8439999999999994</v>
      </c>
      <c r="U18" s="20">
        <v>10.635</v>
      </c>
      <c r="V18" s="20">
        <v>10.744</v>
      </c>
      <c r="W18" s="20">
        <v>8.0820000000000007</v>
      </c>
      <c r="X18" s="3">
        <v>6.6029999999999998</v>
      </c>
      <c r="AC18" s="359" t="s">
        <v>254</v>
      </c>
      <c r="AD18" s="360" t="s">
        <v>255</v>
      </c>
      <c r="AE18" s="361" t="s">
        <v>665</v>
      </c>
      <c r="AF18" s="362" t="s">
        <v>576</v>
      </c>
      <c r="AG18" s="362" t="s">
        <v>576</v>
      </c>
      <c r="AH18" s="363"/>
      <c r="AI18" s="363"/>
      <c r="AJ18" s="363"/>
      <c r="AK18" s="363"/>
      <c r="AL18" s="65"/>
      <c r="AM18" s="364"/>
      <c r="AN18" s="364"/>
      <c r="AO18" s="364"/>
      <c r="AP18" s="365"/>
      <c r="AQ18" s="365"/>
      <c r="AR18" s="366"/>
      <c r="AS18"/>
      <c r="AT18" s="386" t="s">
        <v>1022</v>
      </c>
      <c r="AU18" s="157">
        <v>0.87</v>
      </c>
      <c r="AV18" s="157">
        <v>0.89</v>
      </c>
      <c r="AW18" s="157">
        <v>0.92</v>
      </c>
      <c r="AX18" s="157">
        <v>0.95</v>
      </c>
      <c r="AY18" s="157">
        <v>0.93</v>
      </c>
      <c r="AZ18" s="157">
        <v>0.96</v>
      </c>
      <c r="BA18" s="157">
        <v>0.99</v>
      </c>
      <c r="BB18" s="157">
        <v>1</v>
      </c>
      <c r="BC18" s="157">
        <v>1.02</v>
      </c>
      <c r="BD18" s="157">
        <v>1.04</v>
      </c>
      <c r="BE18" s="157">
        <v>1.03</v>
      </c>
      <c r="BF18" s="157">
        <v>1.04</v>
      </c>
      <c r="BG18" s="157">
        <v>1.06</v>
      </c>
      <c r="BH18" s="157">
        <v>1.08</v>
      </c>
      <c r="BI18" s="157">
        <v>1.1000000000000001</v>
      </c>
      <c r="BJ18" s="157">
        <v>1.08</v>
      </c>
      <c r="BK18" s="157">
        <v>1.1100000000000001</v>
      </c>
      <c r="BL18" s="157">
        <v>1.2</v>
      </c>
      <c r="BM18" s="157">
        <v>1.35</v>
      </c>
      <c r="BN18" s="157">
        <v>1.49</v>
      </c>
      <c r="BO18" s="157">
        <v>1.63</v>
      </c>
      <c r="BP18" s="157">
        <v>1.8</v>
      </c>
      <c r="BQ18" s="375">
        <v>1.99</v>
      </c>
    </row>
    <row r="19" spans="1:69" x14ac:dyDescent="0.25">
      <c r="A19" s="3" t="s">
        <v>2773</v>
      </c>
      <c r="B19" s="173" t="s">
        <v>40</v>
      </c>
      <c r="C19" s="20">
        <v>2.427</v>
      </c>
      <c r="D19" s="20">
        <v>2.6320000000000001</v>
      </c>
      <c r="E19" s="20">
        <v>2.9119999999999999</v>
      </c>
      <c r="F19" s="20">
        <v>2.9209999999999998</v>
      </c>
      <c r="G19" s="20">
        <v>2.4550000000000001</v>
      </c>
      <c r="H19" s="20">
        <v>2.6549999999999998</v>
      </c>
      <c r="I19" s="20">
        <v>2.746</v>
      </c>
      <c r="J19" s="20">
        <v>2.903</v>
      </c>
      <c r="K19" s="20">
        <v>2.8919999999999999</v>
      </c>
      <c r="L19" s="20">
        <v>2.6869999999999998</v>
      </c>
      <c r="M19" s="20">
        <v>2.6960000000000002</v>
      </c>
      <c r="N19" s="20">
        <v>2.6789999999999998</v>
      </c>
      <c r="O19" s="20">
        <v>2.7869999999999999</v>
      </c>
      <c r="P19" s="20">
        <v>3.2509999999999999</v>
      </c>
      <c r="Q19" s="20">
        <v>3.0169999999999999</v>
      </c>
      <c r="R19" s="20">
        <v>3.0089999999999999</v>
      </c>
      <c r="S19" s="20">
        <v>3.5670000000000002</v>
      </c>
      <c r="T19" s="20">
        <v>2.1349999999999998</v>
      </c>
      <c r="U19" s="20">
        <v>2.1560000000000001</v>
      </c>
      <c r="V19" s="20">
        <v>2.1890000000000001</v>
      </c>
      <c r="W19" s="20">
        <v>1.391</v>
      </c>
      <c r="X19" s="3">
        <v>1.028</v>
      </c>
      <c r="AC19" s="58"/>
      <c r="AD19"/>
      <c r="AE19"/>
      <c r="AF19"/>
      <c r="AG19"/>
      <c r="AH19"/>
      <c r="AI19"/>
      <c r="AJ19"/>
      <c r="AK19"/>
      <c r="AL19"/>
      <c r="AM19" s="3"/>
      <c r="AN19" s="3"/>
      <c r="AT19" s="386" t="s">
        <v>1023</v>
      </c>
      <c r="AU19" s="157">
        <v>1.07</v>
      </c>
      <c r="AV19" s="157">
        <v>1.0900000000000001</v>
      </c>
      <c r="AW19" s="157">
        <v>1.1200000000000001</v>
      </c>
      <c r="AX19" s="157">
        <v>1.1399999999999999</v>
      </c>
      <c r="AY19" s="157">
        <v>1.1399999999999999</v>
      </c>
      <c r="AZ19" s="157">
        <v>1.17</v>
      </c>
      <c r="BA19" s="157">
        <v>1.2</v>
      </c>
      <c r="BB19" s="157">
        <v>1.22</v>
      </c>
      <c r="BC19" s="157">
        <v>1.23</v>
      </c>
      <c r="BD19" s="157">
        <v>1.25</v>
      </c>
      <c r="BE19" s="157">
        <v>1.27</v>
      </c>
      <c r="BF19" s="157">
        <v>1.28</v>
      </c>
      <c r="BG19" s="157">
        <v>1.3</v>
      </c>
      <c r="BH19" s="157">
        <v>1.33</v>
      </c>
      <c r="BI19" s="157">
        <v>1.36</v>
      </c>
      <c r="BJ19" s="157">
        <v>1.37</v>
      </c>
      <c r="BK19" s="157">
        <v>1.39</v>
      </c>
      <c r="BL19" s="157">
        <v>1.49</v>
      </c>
      <c r="BM19" s="157">
        <v>1.66</v>
      </c>
      <c r="BN19" s="157">
        <v>1.84</v>
      </c>
      <c r="BO19" s="157">
        <v>2.02</v>
      </c>
      <c r="BP19" s="157">
        <v>2.23</v>
      </c>
      <c r="BQ19" s="375">
        <v>2.4700000000000002</v>
      </c>
    </row>
    <row r="20" spans="1:69" ht="15.75" thickBot="1" x14ac:dyDescent="0.3">
      <c r="B20" s="173" t="s">
        <v>86</v>
      </c>
      <c r="C20" s="703">
        <v>292.947</v>
      </c>
      <c r="D20" s="703">
        <v>399.82900000000001</v>
      </c>
      <c r="E20" s="703">
        <v>465.27600000000001</v>
      </c>
      <c r="F20" s="703">
        <v>486.95</v>
      </c>
      <c r="G20" s="703">
        <v>502.76</v>
      </c>
      <c r="H20" s="703">
        <v>523.37300000000005</v>
      </c>
      <c r="I20" s="703">
        <v>544.63</v>
      </c>
      <c r="J20" s="703">
        <v>562.13800000000003</v>
      </c>
      <c r="K20" s="703">
        <v>588.99300000000005</v>
      </c>
      <c r="L20" s="703">
        <v>610.51</v>
      </c>
      <c r="M20" s="703">
        <v>627.61099999999999</v>
      </c>
      <c r="N20" s="703">
        <v>644.87800000000004</v>
      </c>
      <c r="O20" s="703">
        <v>651.90099999999995</v>
      </c>
      <c r="P20" s="703">
        <v>673.28700000000003</v>
      </c>
      <c r="Q20" s="703">
        <v>695.33900000000006</v>
      </c>
      <c r="R20" s="703">
        <v>714.57899999999995</v>
      </c>
      <c r="S20" s="703">
        <v>729.43</v>
      </c>
      <c r="T20" s="703">
        <v>754.58500000000004</v>
      </c>
      <c r="U20" s="703">
        <v>774.92499999999995</v>
      </c>
      <c r="V20" s="703">
        <v>795.89</v>
      </c>
      <c r="W20" s="703"/>
      <c r="AC20"/>
      <c r="AD20"/>
      <c r="AE20"/>
      <c r="AF20"/>
      <c r="AG20"/>
      <c r="AH20"/>
      <c r="AI20"/>
      <c r="AJ20"/>
      <c r="AK20"/>
      <c r="AL20"/>
      <c r="AM20" s="3"/>
      <c r="AN20" s="3"/>
      <c r="AT20" s="638" t="s">
        <v>1685</v>
      </c>
      <c r="AU20" s="361">
        <v>1.21</v>
      </c>
      <c r="AV20" s="361">
        <v>1.1299999999999999</v>
      </c>
      <c r="AW20" s="361">
        <v>1.07</v>
      </c>
      <c r="AX20" s="361">
        <v>1.07</v>
      </c>
      <c r="AY20" s="361">
        <v>1.1399999999999999</v>
      </c>
      <c r="AZ20" s="361">
        <v>1.03</v>
      </c>
      <c r="BA20" s="361">
        <v>0.99</v>
      </c>
      <c r="BB20" s="361">
        <v>1</v>
      </c>
      <c r="BC20" s="361">
        <v>1.03</v>
      </c>
      <c r="BD20" s="361">
        <v>1.1100000000000001</v>
      </c>
      <c r="BE20" s="361">
        <v>1.28</v>
      </c>
      <c r="BF20" s="361">
        <v>1.33</v>
      </c>
      <c r="BG20" s="361">
        <v>1.3</v>
      </c>
      <c r="BH20" s="361">
        <v>1.3</v>
      </c>
      <c r="BI20" s="361">
        <v>1.33</v>
      </c>
      <c r="BJ20" s="361">
        <v>1.38</v>
      </c>
      <c r="BK20" s="361">
        <v>1.35</v>
      </c>
      <c r="BL20" s="361">
        <v>1.32</v>
      </c>
      <c r="BM20" s="361">
        <v>1.3</v>
      </c>
      <c r="BN20" s="361">
        <v>1.28</v>
      </c>
      <c r="BO20" s="361">
        <v>1.28</v>
      </c>
      <c r="BP20" s="361">
        <v>1.28</v>
      </c>
      <c r="BQ20" s="377">
        <v>1.28</v>
      </c>
    </row>
    <row r="21" spans="1:69" ht="15.75" thickBot="1" x14ac:dyDescent="0.3">
      <c r="B21" s="161" t="s">
        <v>25</v>
      </c>
      <c r="C21" s="20"/>
      <c r="D21" s="20"/>
      <c r="E21" s="20"/>
      <c r="F21" s="20"/>
      <c r="G21" s="20"/>
      <c r="H21" s="20"/>
      <c r="I21" s="20"/>
      <c r="J21" s="20"/>
      <c r="K21" s="20"/>
      <c r="L21" s="20"/>
      <c r="M21" s="20"/>
      <c r="N21" s="20"/>
      <c r="O21" s="20"/>
      <c r="P21" s="20"/>
      <c r="Q21" s="20"/>
      <c r="R21" s="20"/>
      <c r="S21" s="20"/>
      <c r="T21" s="20"/>
      <c r="U21" s="20"/>
      <c r="V21" s="20"/>
      <c r="W21" s="20"/>
      <c r="AD21" s="3"/>
      <c r="AE21" s="3"/>
      <c r="AF21" s="3"/>
      <c r="AG21" s="3"/>
      <c r="AH21" s="3"/>
      <c r="AI21" s="3"/>
      <c r="AJ21" s="3"/>
      <c r="AK21" s="3"/>
      <c r="AL21" s="3"/>
      <c r="AM21" s="3"/>
      <c r="AN21" s="3"/>
    </row>
    <row r="22" spans="1:69" ht="15.75" customHeight="1" thickBot="1" x14ac:dyDescent="0.3">
      <c r="A22" s="3" t="s">
        <v>2776</v>
      </c>
      <c r="B22" s="173" t="s">
        <v>26</v>
      </c>
      <c r="C22" s="20">
        <v>131612.15738399999</v>
      </c>
      <c r="D22" s="20">
        <v>130621.13456200001</v>
      </c>
      <c r="E22" s="20">
        <v>135626.21168499999</v>
      </c>
      <c r="F22" s="20">
        <v>135683.637043</v>
      </c>
      <c r="G22" s="20">
        <v>137713.17871199999</v>
      </c>
      <c r="H22" s="20">
        <v>139397.034315</v>
      </c>
      <c r="I22" s="20">
        <v>135561.55491000001</v>
      </c>
      <c r="J22" s="20">
        <v>136985.00099</v>
      </c>
      <c r="K22" s="20">
        <v>135371.74356800001</v>
      </c>
      <c r="L22" s="20">
        <v>139079.27037400001</v>
      </c>
      <c r="M22" s="20">
        <v>139227.03591899999</v>
      </c>
      <c r="N22" s="20">
        <v>135248.109719</v>
      </c>
      <c r="O22" s="20">
        <v>126493.612866</v>
      </c>
      <c r="P22" s="20">
        <v>132819.485354</v>
      </c>
      <c r="Q22" s="20">
        <v>127169.949154</v>
      </c>
      <c r="R22" s="20">
        <v>127161.77648499999</v>
      </c>
      <c r="S22" s="20">
        <v>125528.49937000001</v>
      </c>
      <c r="T22" s="20">
        <v>121009.21014700001</v>
      </c>
      <c r="U22" s="20">
        <v>120437.707371</v>
      </c>
      <c r="V22" s="20">
        <v>120869.745991</v>
      </c>
      <c r="W22" s="20">
        <v>91294.698485999994</v>
      </c>
      <c r="X22" s="3">
        <v>89413.447362000006</v>
      </c>
      <c r="AC22" s="897" t="s">
        <v>1240</v>
      </c>
      <c r="AD22" s="898"/>
      <c r="AE22" s="898"/>
      <c r="AF22" s="898"/>
      <c r="AG22" s="898"/>
      <c r="AH22" s="898"/>
      <c r="AI22" s="898"/>
      <c r="AJ22" s="898"/>
      <c r="AK22" s="898"/>
      <c r="AL22" s="898"/>
      <c r="AM22" s="898"/>
      <c r="AN22" s="898"/>
      <c r="AO22" s="898"/>
      <c r="AP22" s="898"/>
      <c r="AQ22" s="898"/>
      <c r="AR22" s="898"/>
      <c r="AS22" s="898"/>
      <c r="AT22" s="898"/>
      <c r="AU22" s="898"/>
      <c r="AV22" s="898"/>
      <c r="AW22" s="898"/>
      <c r="AX22" s="899"/>
      <c r="BA22" s="897" t="s">
        <v>1241</v>
      </c>
      <c r="BB22" s="898"/>
      <c r="BC22" s="898"/>
      <c r="BD22" s="898"/>
      <c r="BE22" s="898"/>
      <c r="BF22" s="898"/>
      <c r="BG22" s="898"/>
      <c r="BH22" s="898"/>
      <c r="BI22" s="898"/>
      <c r="BJ22" s="898"/>
      <c r="BK22" s="898"/>
      <c r="BL22" s="899"/>
    </row>
    <row r="23" spans="1:69" ht="16.5" thickBot="1" x14ac:dyDescent="0.3">
      <c r="A23" s="3" t="s">
        <v>2777</v>
      </c>
      <c r="B23" s="173" t="s">
        <v>27</v>
      </c>
      <c r="C23" s="20">
        <v>56790.016723000001</v>
      </c>
      <c r="D23" s="20">
        <v>58077.240126999997</v>
      </c>
      <c r="E23" s="20">
        <v>62187.732306999998</v>
      </c>
      <c r="F23" s="20">
        <v>64810.999015000001</v>
      </c>
      <c r="G23" s="20">
        <v>68786.827323999998</v>
      </c>
      <c r="H23" s="20">
        <v>73115.482913999993</v>
      </c>
      <c r="I23" s="20">
        <v>72848.495014999993</v>
      </c>
      <c r="J23" s="20">
        <v>75894.909419000003</v>
      </c>
      <c r="K23" s="20">
        <v>77196.616464999999</v>
      </c>
      <c r="L23" s="20">
        <v>82089.957588000005</v>
      </c>
      <c r="M23" s="20">
        <v>86545.975993</v>
      </c>
      <c r="N23" s="20">
        <v>88673.173087000003</v>
      </c>
      <c r="O23" s="20">
        <v>84806.728302000003</v>
      </c>
      <c r="P23" s="20">
        <v>92973.007651000007</v>
      </c>
      <c r="Q23" s="20">
        <v>92963.631955999997</v>
      </c>
      <c r="R23" s="20">
        <v>97750.728390999997</v>
      </c>
      <c r="S23" s="20">
        <v>104436.20808700001</v>
      </c>
      <c r="T23" s="20">
        <v>108039.270145</v>
      </c>
      <c r="U23" s="20">
        <v>115776.994916</v>
      </c>
      <c r="V23" s="20">
        <v>122430.20546899999</v>
      </c>
      <c r="W23" s="20">
        <v>99944.976169000001</v>
      </c>
      <c r="X23" s="3">
        <v>102845.402925</v>
      </c>
      <c r="AC23" s="381" t="s">
        <v>609</v>
      </c>
      <c r="AD23" s="312"/>
      <c r="AE23" s="312"/>
      <c r="AF23" s="312"/>
      <c r="AG23" s="344"/>
      <c r="AH23" s="344"/>
      <c r="AI23" s="62"/>
      <c r="AJ23" s="154" t="s">
        <v>1184</v>
      </c>
      <c r="AK23" s="26"/>
      <c r="AL23" s="26"/>
      <c r="AM23" s="26"/>
      <c r="AN23" s="26"/>
      <c r="AO23" s="344"/>
      <c r="AP23" s="344"/>
      <c r="AQ23" s="178" t="s">
        <v>638</v>
      </c>
      <c r="AR23" s="178"/>
      <c r="AS23" s="178"/>
      <c r="AT23" s="178"/>
      <c r="AU23" s="178"/>
      <c r="AV23" s="178"/>
      <c r="AW23" s="344"/>
      <c r="AX23" s="358"/>
      <c r="BA23" s="444" t="s">
        <v>692</v>
      </c>
      <c r="BB23" s="177"/>
      <c r="BC23" s="177"/>
      <c r="BD23" s="344"/>
      <c r="BE23" s="344"/>
      <c r="BF23" s="344"/>
      <c r="BG23" s="344"/>
      <c r="BH23" s="344"/>
      <c r="BI23" s="344"/>
      <c r="BJ23" s="344"/>
      <c r="BK23" s="344"/>
      <c r="BL23" s="358"/>
    </row>
    <row r="24" spans="1:69" ht="15.75" thickBot="1" x14ac:dyDescent="0.3">
      <c r="A24" s="3" t="s">
        <v>2778</v>
      </c>
      <c r="B24" s="173" t="s">
        <v>28</v>
      </c>
      <c r="C24" s="20">
        <v>5933.2334840000003</v>
      </c>
      <c r="D24" s="20">
        <v>6122.1601289999999</v>
      </c>
      <c r="E24" s="20">
        <v>6464.5685480000002</v>
      </c>
      <c r="F24" s="20">
        <v>6785.0935200000004</v>
      </c>
      <c r="G24" s="20">
        <v>7262.4075229999999</v>
      </c>
      <c r="H24" s="20">
        <v>7729.4043819999997</v>
      </c>
      <c r="I24" s="20">
        <v>7906.7039779999996</v>
      </c>
      <c r="J24" s="20">
        <v>8319.0665480000007</v>
      </c>
      <c r="K24" s="20">
        <v>8484.8440229999997</v>
      </c>
      <c r="L24" s="20">
        <v>8947.430155</v>
      </c>
      <c r="M24" s="20">
        <v>9448.8201919999992</v>
      </c>
      <c r="N24" s="20">
        <v>9738.1443390000004</v>
      </c>
      <c r="O24" s="20">
        <v>9410.1504920000007</v>
      </c>
      <c r="P24" s="20">
        <v>10136.364170000001</v>
      </c>
      <c r="Q24" s="20">
        <v>10108.026809000001</v>
      </c>
      <c r="R24" s="20">
        <v>10607.864170999999</v>
      </c>
      <c r="S24" s="20">
        <v>11413.47813</v>
      </c>
      <c r="T24" s="20">
        <v>11778.947072999999</v>
      </c>
      <c r="U24" s="20">
        <v>12456.855742</v>
      </c>
      <c r="V24" s="20">
        <v>13147.171442999999</v>
      </c>
      <c r="W24" s="20">
        <v>10802.359422</v>
      </c>
      <c r="X24" s="3">
        <v>11208.711519</v>
      </c>
      <c r="AC24" s="382" t="s">
        <v>108</v>
      </c>
      <c r="AD24" s="10">
        <v>2016</v>
      </c>
      <c r="AE24" s="10">
        <v>2018</v>
      </c>
      <c r="AF24" s="10">
        <v>2020</v>
      </c>
      <c r="AG24" s="77" t="s">
        <v>390</v>
      </c>
      <c r="AH24" s="92" t="s">
        <v>383</v>
      </c>
      <c r="AI24" s="62"/>
      <c r="AJ24" s="83" t="s">
        <v>1027</v>
      </c>
      <c r="AK24" s="83" t="s">
        <v>1191</v>
      </c>
      <c r="AL24" s="83" t="s">
        <v>1192</v>
      </c>
      <c r="AM24" s="83" t="s">
        <v>1187</v>
      </c>
      <c r="AN24" s="83" t="s">
        <v>1188</v>
      </c>
      <c r="AO24" s="344"/>
      <c r="AP24" s="344"/>
      <c r="AQ24" s="19" t="s">
        <v>229</v>
      </c>
      <c r="AR24" s="10">
        <v>2017</v>
      </c>
      <c r="AS24" s="10">
        <v>2018</v>
      </c>
      <c r="AT24" s="10">
        <v>2019</v>
      </c>
      <c r="AU24" s="10">
        <v>2020</v>
      </c>
      <c r="AV24" s="10">
        <v>2021</v>
      </c>
      <c r="AW24" s="10">
        <v>2022</v>
      </c>
      <c r="AX24" s="383">
        <v>2023</v>
      </c>
      <c r="BA24" s="382" t="s">
        <v>112</v>
      </c>
      <c r="BB24" s="19" t="s">
        <v>93</v>
      </c>
      <c r="BC24" s="19" t="s">
        <v>111</v>
      </c>
      <c r="BD24" s="92" t="s">
        <v>383</v>
      </c>
      <c r="BE24" s="344"/>
      <c r="BF24" s="344"/>
      <c r="BG24" s="344"/>
      <c r="BH24" s="344"/>
      <c r="BI24" s="344"/>
      <c r="BJ24" s="344"/>
      <c r="BK24" s="344"/>
      <c r="BL24" s="358"/>
    </row>
    <row r="25" spans="1:69" ht="15.75" thickTop="1" x14ac:dyDescent="0.25">
      <c r="A25" s="3" t="s">
        <v>2779</v>
      </c>
      <c r="B25" s="173" t="s">
        <v>30</v>
      </c>
      <c r="C25" s="20">
        <v>7401.9426080000003</v>
      </c>
      <c r="D25" s="20">
        <v>8150.1440780000003</v>
      </c>
      <c r="E25" s="20">
        <v>7844.0863010000003</v>
      </c>
      <c r="F25" s="20">
        <v>9305.1288380000005</v>
      </c>
      <c r="G25" s="20">
        <v>8756.0424029999995</v>
      </c>
      <c r="H25" s="20">
        <v>7569.2825629999998</v>
      </c>
      <c r="I25" s="20">
        <v>8641.3631760000007</v>
      </c>
      <c r="J25" s="20">
        <v>9662.2654569999995</v>
      </c>
      <c r="K25" s="20">
        <v>9274.4782560000003</v>
      </c>
      <c r="L25" s="20">
        <v>9545.7891689999997</v>
      </c>
      <c r="M25" s="20">
        <v>10921.922121</v>
      </c>
      <c r="N25" s="20">
        <v>10811.625769</v>
      </c>
      <c r="O25" s="20">
        <v>9917.6631699999998</v>
      </c>
      <c r="P25" s="20">
        <v>9958.3042389999991</v>
      </c>
      <c r="Q25" s="20">
        <v>9931.6788990000005</v>
      </c>
      <c r="R25" s="20">
        <v>9778.5026149999994</v>
      </c>
      <c r="S25" s="20">
        <v>9671.8660500000005</v>
      </c>
      <c r="T25" s="20">
        <v>9996.3586620000005</v>
      </c>
      <c r="U25" s="20">
        <v>10805.505336</v>
      </c>
      <c r="V25" s="20">
        <v>10865.533858999999</v>
      </c>
      <c r="W25" s="20">
        <v>9293.4223079999992</v>
      </c>
      <c r="X25" s="3">
        <v>10220.497416</v>
      </c>
      <c r="AC25" s="384" t="s">
        <v>87</v>
      </c>
      <c r="AD25" s="193">
        <v>13</v>
      </c>
      <c r="AE25" s="193">
        <v>13</v>
      </c>
      <c r="AF25" s="193">
        <v>12</v>
      </c>
      <c r="AG25" s="385">
        <f t="shared" ref="AG25:AG30" si="0">ROUND(AVERAGE(AD25:AF25),0)</f>
        <v>13</v>
      </c>
      <c r="AH25" s="93">
        <f>1/AG25</f>
        <v>7.6923076923076927E-2</v>
      </c>
      <c r="AI25" s="62"/>
      <c r="AJ25" s="344" t="s">
        <v>422</v>
      </c>
      <c r="AK25" s="62">
        <v>307590</v>
      </c>
      <c r="AL25" s="37">
        <f t="shared" ref="AL25:AL31" si="1">AK25/$AK$32</f>
        <v>0.52852604140713466</v>
      </c>
      <c r="AM25" s="62">
        <v>149352</v>
      </c>
      <c r="AN25" s="37">
        <f t="shared" ref="AN25:AN31" si="2">AM25/$AM$32</f>
        <v>0.46584426318990657</v>
      </c>
      <c r="AO25" s="344"/>
      <c r="AP25" s="344"/>
      <c r="AQ25" s="226" t="s">
        <v>613</v>
      </c>
      <c r="AR25" s="378">
        <v>8713326</v>
      </c>
      <c r="AS25" s="378">
        <v>8876820</v>
      </c>
      <c r="AT25" s="378">
        <v>9035976</v>
      </c>
      <c r="AU25" s="378">
        <v>9347181</v>
      </c>
      <c r="AV25" s="378">
        <v>9488335</v>
      </c>
      <c r="AW25" s="401">
        <v>8891119</v>
      </c>
      <c r="AX25" s="392">
        <v>8593281</v>
      </c>
      <c r="BA25" s="384" t="s">
        <v>113</v>
      </c>
      <c r="BB25" s="193">
        <v>14</v>
      </c>
      <c r="BC25" s="445" t="s">
        <v>2746</v>
      </c>
      <c r="BD25" s="93">
        <f t="shared" ref="BD25:BD33" si="3">1/BB25</f>
        <v>7.1428571428571425E-2</v>
      </c>
      <c r="BE25" s="344"/>
      <c r="BF25" s="344"/>
      <c r="BG25" s="344"/>
      <c r="BH25" s="344"/>
      <c r="BI25" s="344"/>
      <c r="BJ25" s="344"/>
      <c r="BK25" s="344"/>
      <c r="BL25" s="358"/>
    </row>
    <row r="26" spans="1:69" x14ac:dyDescent="0.25">
      <c r="A26" s="3" t="s">
        <v>2780</v>
      </c>
      <c r="B26" s="173" t="s">
        <v>31</v>
      </c>
      <c r="C26" s="20">
        <v>71039.600267999995</v>
      </c>
      <c r="D26" s="20">
        <v>66738.674276999998</v>
      </c>
      <c r="E26" s="20">
        <v>67210.848800000007</v>
      </c>
      <c r="F26" s="20">
        <v>71646.947069000002</v>
      </c>
      <c r="G26" s="20">
        <v>75847.431714999999</v>
      </c>
      <c r="H26" s="20">
        <v>83065.659929000001</v>
      </c>
      <c r="I26" s="20">
        <v>76786.743927000003</v>
      </c>
      <c r="J26" s="20">
        <v>74504.584784999999</v>
      </c>
      <c r="K26" s="20">
        <v>73229.639171000003</v>
      </c>
      <c r="L26" s="20">
        <v>67802.292652000004</v>
      </c>
      <c r="M26" s="20">
        <v>73632.270696000007</v>
      </c>
      <c r="N26" s="20">
        <v>78289.511331000002</v>
      </c>
      <c r="O26" s="20">
        <v>81846.844922999997</v>
      </c>
      <c r="P26" s="20">
        <v>84745.802635999993</v>
      </c>
      <c r="Q26" s="20">
        <v>86679.827827000001</v>
      </c>
      <c r="R26" s="20">
        <v>90666.548158000005</v>
      </c>
      <c r="S26" s="20">
        <v>94459.427645000003</v>
      </c>
      <c r="T26" s="20">
        <v>95303.646189000006</v>
      </c>
      <c r="U26" s="20">
        <v>88045.736762999994</v>
      </c>
      <c r="V26" s="20">
        <v>90977.726708999995</v>
      </c>
      <c r="W26" s="20">
        <v>81995.758436999997</v>
      </c>
      <c r="X26" s="3">
        <v>91973.421832000007</v>
      </c>
      <c r="AC26" s="386" t="s">
        <v>88</v>
      </c>
      <c r="AD26" s="62">
        <v>16</v>
      </c>
      <c r="AE26" s="62">
        <v>16</v>
      </c>
      <c r="AF26" s="62" t="s">
        <v>15</v>
      </c>
      <c r="AG26" s="387">
        <f t="shared" si="0"/>
        <v>16</v>
      </c>
      <c r="AH26" s="94">
        <f>1/AG26</f>
        <v>6.25E-2</v>
      </c>
      <c r="AI26" s="62"/>
      <c r="AJ26" s="344" t="s">
        <v>424</v>
      </c>
      <c r="AK26" s="62">
        <v>46915</v>
      </c>
      <c r="AL26" s="37">
        <f t="shared" si="1"/>
        <v>8.0613151378834555E-2</v>
      </c>
      <c r="AM26" s="62">
        <v>21077</v>
      </c>
      <c r="AN26" s="37">
        <f t="shared" si="2"/>
        <v>6.5741332792688817E-2</v>
      </c>
      <c r="AO26" s="344"/>
      <c r="AP26" s="344"/>
      <c r="AQ26" s="324" t="s">
        <v>97</v>
      </c>
      <c r="AR26" s="62">
        <v>8179898</v>
      </c>
      <c r="AS26" s="62">
        <v>8331707</v>
      </c>
      <c r="AT26" s="62">
        <v>8465227</v>
      </c>
      <c r="AU26" s="62">
        <v>8734678</v>
      </c>
      <c r="AV26" s="62">
        <v>8824645</v>
      </c>
      <c r="AW26" s="62">
        <v>8213359</v>
      </c>
      <c r="AX26" s="393">
        <v>7870518</v>
      </c>
      <c r="BA26" s="384" t="s">
        <v>645</v>
      </c>
      <c r="BB26" s="193">
        <v>16</v>
      </c>
      <c r="BC26" s="445" t="s">
        <v>2746</v>
      </c>
      <c r="BD26" s="93">
        <f t="shared" si="3"/>
        <v>6.25E-2</v>
      </c>
      <c r="BE26" s="344"/>
      <c r="BF26" s="344"/>
      <c r="BG26" s="344"/>
      <c r="BH26" s="344"/>
      <c r="BI26" s="344"/>
      <c r="BJ26" s="344"/>
      <c r="BK26" s="344"/>
      <c r="BL26" s="358"/>
    </row>
    <row r="27" spans="1:69" x14ac:dyDescent="0.25">
      <c r="A27" s="3" t="s">
        <v>2774</v>
      </c>
      <c r="B27" s="173" t="s">
        <v>36</v>
      </c>
      <c r="C27" s="20">
        <v>471.55544099999997</v>
      </c>
      <c r="D27" s="20">
        <v>586.22117900000001</v>
      </c>
      <c r="E27" s="20">
        <v>727.11250800000005</v>
      </c>
      <c r="F27" s="20">
        <v>764.562904</v>
      </c>
      <c r="G27" s="20">
        <v>825.46653700000002</v>
      </c>
      <c r="H27" s="20">
        <v>901.53672400000005</v>
      </c>
      <c r="I27" s="20">
        <v>965.50262599999996</v>
      </c>
      <c r="J27" s="20">
        <v>1053.7000860000001</v>
      </c>
      <c r="K27" s="20">
        <v>1128.6417510000001</v>
      </c>
      <c r="L27" s="20">
        <v>1068.9906329999999</v>
      </c>
      <c r="M27" s="20">
        <v>1143.0676539999999</v>
      </c>
      <c r="N27" s="20">
        <v>1171.9088360000001</v>
      </c>
      <c r="O27" s="20">
        <v>1154.8170869999999</v>
      </c>
      <c r="P27" s="20">
        <v>1218.0926420000001</v>
      </c>
      <c r="Q27" s="20">
        <v>1165.984371</v>
      </c>
      <c r="R27" s="20">
        <v>1168.1156639999999</v>
      </c>
      <c r="S27" s="20">
        <v>1231.8880830000001</v>
      </c>
      <c r="T27" s="20">
        <v>1206.2034900000001</v>
      </c>
      <c r="U27" s="20">
        <v>1179.674624</v>
      </c>
      <c r="V27" s="20">
        <v>1208.3011329999999</v>
      </c>
      <c r="W27" s="20">
        <v>1022.801686</v>
      </c>
      <c r="X27" s="3">
        <v>1542.1599269999999</v>
      </c>
      <c r="AC27" s="384" t="s">
        <v>89</v>
      </c>
      <c r="AD27" s="193" t="s">
        <v>15</v>
      </c>
      <c r="AE27" s="193" t="s">
        <v>15</v>
      </c>
      <c r="AF27" s="193">
        <v>13</v>
      </c>
      <c r="AG27" s="385">
        <f t="shared" si="0"/>
        <v>13</v>
      </c>
      <c r="AH27" s="93">
        <f t="shared" ref="AH27:AH35" si="4">1/AG27</f>
        <v>7.6923076923076927E-2</v>
      </c>
      <c r="AI27" s="62"/>
      <c r="AJ27" s="344" t="s">
        <v>423</v>
      </c>
      <c r="AK27" s="62">
        <v>161295</v>
      </c>
      <c r="AL27" s="37">
        <f t="shared" si="1"/>
        <v>0.27715012792601768</v>
      </c>
      <c r="AM27" s="62">
        <v>111812</v>
      </c>
      <c r="AN27" s="37">
        <f t="shared" si="2"/>
        <v>0.34875313859733942</v>
      </c>
      <c r="AO27" s="344"/>
      <c r="AP27" s="344"/>
      <c r="AQ27" s="324" t="s">
        <v>96</v>
      </c>
      <c r="AR27" s="62">
        <v>453812</v>
      </c>
      <c r="AS27" s="62">
        <v>446005</v>
      </c>
      <c r="AT27" s="62">
        <v>451103</v>
      </c>
      <c r="AU27" s="62">
        <v>471266</v>
      </c>
      <c r="AV27" s="62">
        <v>486466</v>
      </c>
      <c r="AW27" s="62">
        <v>455828</v>
      </c>
      <c r="AX27" s="393">
        <v>436300</v>
      </c>
      <c r="BA27" s="384" t="s">
        <v>646</v>
      </c>
      <c r="BB27" s="193">
        <v>18</v>
      </c>
      <c r="BC27" s="445" t="s">
        <v>2746</v>
      </c>
      <c r="BD27" s="93">
        <f t="shared" si="3"/>
        <v>5.5555555555555552E-2</v>
      </c>
      <c r="BE27" s="344"/>
      <c r="BF27" s="344"/>
      <c r="BG27" s="344"/>
      <c r="BH27" s="344"/>
      <c r="BI27" s="344"/>
      <c r="BJ27" s="344"/>
      <c r="BK27" s="344"/>
      <c r="BL27" s="358"/>
    </row>
    <row r="28" spans="1:69" x14ac:dyDescent="0.25">
      <c r="A28" s="3" t="s">
        <v>2781</v>
      </c>
      <c r="B28" s="173" t="s">
        <v>49</v>
      </c>
      <c r="C28" s="20">
        <v>7629.172802</v>
      </c>
      <c r="D28" s="20">
        <v>6153.2941549999996</v>
      </c>
      <c r="E28" s="20">
        <v>7214.741814</v>
      </c>
      <c r="F28" s="20">
        <v>8470.7118300000002</v>
      </c>
      <c r="G28" s="20">
        <v>7559.0333840000003</v>
      </c>
      <c r="H28" s="20">
        <v>8890.1396949999998</v>
      </c>
      <c r="I28" s="20">
        <v>9922.0516669999997</v>
      </c>
      <c r="J28" s="20">
        <v>7933.6758790000004</v>
      </c>
      <c r="K28" s="20">
        <v>8221.9358979999997</v>
      </c>
      <c r="L28" s="20">
        <v>11003.17742</v>
      </c>
      <c r="M28" s="20">
        <v>12317.75642</v>
      </c>
      <c r="N28" s="20">
        <v>12753.194794999999</v>
      </c>
      <c r="O28" s="20">
        <v>12510.020237000001</v>
      </c>
      <c r="P28" s="20">
        <v>11216.462652</v>
      </c>
      <c r="Q28" s="20">
        <v>9990.4083719999999</v>
      </c>
      <c r="R28" s="20">
        <v>9295.4764570000007</v>
      </c>
      <c r="S28" s="20">
        <v>9304.426888</v>
      </c>
      <c r="T28" s="20">
        <v>9773.2743640000008</v>
      </c>
      <c r="U28" s="20">
        <v>9825.3784180000002</v>
      </c>
      <c r="V28" s="20">
        <v>9738.8950270000005</v>
      </c>
      <c r="W28" s="20">
        <v>5710.9535059999998</v>
      </c>
      <c r="X28" s="3">
        <v>5210.4019010000002</v>
      </c>
      <c r="AC28" s="384" t="s">
        <v>90</v>
      </c>
      <c r="AD28" s="193">
        <v>12</v>
      </c>
      <c r="AE28" s="193">
        <v>9</v>
      </c>
      <c r="AF28" s="193" t="s">
        <v>15</v>
      </c>
      <c r="AG28" s="385">
        <f>AD28</f>
        <v>12</v>
      </c>
      <c r="AH28" s="93">
        <f t="shared" si="4"/>
        <v>8.3333333333333329E-2</v>
      </c>
      <c r="AI28" s="62"/>
      <c r="AJ28" s="344" t="s">
        <v>420</v>
      </c>
      <c r="AK28" s="62">
        <v>2552</v>
      </c>
      <c r="AL28" s="37">
        <f t="shared" si="1"/>
        <v>4.3850530175591129E-3</v>
      </c>
      <c r="AM28" s="62">
        <v>1878</v>
      </c>
      <c r="AN28" s="37">
        <f t="shared" si="2"/>
        <v>5.8576753325743514E-3</v>
      </c>
      <c r="AO28" s="344"/>
      <c r="AP28" s="344"/>
      <c r="AQ28" s="324" t="s">
        <v>120</v>
      </c>
      <c r="AR28" s="62">
        <v>5816</v>
      </c>
      <c r="AS28" s="62">
        <v>11579</v>
      </c>
      <c r="AT28" s="62">
        <v>18079</v>
      </c>
      <c r="AU28" s="62">
        <v>24615</v>
      </c>
      <c r="AV28" s="62">
        <v>35989</v>
      </c>
      <c r="AW28" s="62">
        <v>54866</v>
      </c>
      <c r="AX28" s="393">
        <v>83805</v>
      </c>
      <c r="BA28" s="384" t="s">
        <v>693</v>
      </c>
      <c r="BB28" s="193">
        <v>19</v>
      </c>
      <c r="BC28" s="446" t="s">
        <v>691</v>
      </c>
      <c r="BD28" s="93">
        <f t="shared" si="3"/>
        <v>5.2631578947368418E-2</v>
      </c>
      <c r="BE28" s="344"/>
      <c r="BF28" s="344"/>
      <c r="BG28" s="344"/>
      <c r="BH28" s="344"/>
      <c r="BI28" s="344"/>
      <c r="BJ28" s="344"/>
      <c r="BK28" s="344"/>
      <c r="BL28" s="358"/>
    </row>
    <row r="29" spans="1:69" x14ac:dyDescent="0.25">
      <c r="A29" s="3" t="s">
        <v>2775</v>
      </c>
      <c r="B29" s="173" t="s">
        <v>45</v>
      </c>
      <c r="C29" s="20">
        <v>4864.4418919999998</v>
      </c>
      <c r="D29" s="20">
        <v>4827.5277210000004</v>
      </c>
      <c r="E29" s="20">
        <v>5741.6561940000001</v>
      </c>
      <c r="F29" s="20">
        <v>6004.5143559999997</v>
      </c>
      <c r="G29" s="20">
        <v>6210.1150580000003</v>
      </c>
      <c r="H29" s="20">
        <v>7267.9369280000001</v>
      </c>
      <c r="I29" s="20">
        <v>7043.3735420000003</v>
      </c>
      <c r="J29" s="20">
        <v>5765.5049339999996</v>
      </c>
      <c r="K29" s="20">
        <v>6208.9777379999996</v>
      </c>
      <c r="L29" s="20">
        <v>7156.2372919999998</v>
      </c>
      <c r="M29" s="20">
        <v>7991.516302</v>
      </c>
      <c r="N29" s="20">
        <v>9154.1128140000001</v>
      </c>
      <c r="O29" s="20">
        <v>8916.4281680000004</v>
      </c>
      <c r="P29" s="20">
        <v>8436.096904</v>
      </c>
      <c r="Q29" s="20">
        <v>7791.9534190000004</v>
      </c>
      <c r="R29" s="20">
        <v>7782.1366090000001</v>
      </c>
      <c r="S29" s="20">
        <v>5965.9239429999998</v>
      </c>
      <c r="T29" s="20">
        <v>7320.692704</v>
      </c>
      <c r="U29" s="20">
        <v>7314.0088880000003</v>
      </c>
      <c r="V29" s="20">
        <v>7441.1385950000004</v>
      </c>
      <c r="W29" s="20">
        <v>4113.2701399999996</v>
      </c>
      <c r="X29" s="3">
        <v>3506.4217450000001</v>
      </c>
      <c r="AC29" s="388" t="s">
        <v>91</v>
      </c>
      <c r="AD29" s="389">
        <v>18</v>
      </c>
      <c r="AE29" s="389">
        <v>12</v>
      </c>
      <c r="AF29" s="389">
        <v>12</v>
      </c>
      <c r="AG29" s="390">
        <f t="shared" si="0"/>
        <v>14</v>
      </c>
      <c r="AH29" s="94">
        <f t="shared" si="4"/>
        <v>7.1428571428571425E-2</v>
      </c>
      <c r="AI29" s="62"/>
      <c r="AJ29" s="344" t="s">
        <v>425</v>
      </c>
      <c r="AK29" s="62">
        <v>14831</v>
      </c>
      <c r="AL29" s="37">
        <f t="shared" si="1"/>
        <v>2.5483824962154861E-2</v>
      </c>
      <c r="AM29" s="62">
        <v>7711</v>
      </c>
      <c r="AN29" s="37">
        <f t="shared" si="2"/>
        <v>2.4051402816549959E-2</v>
      </c>
      <c r="AO29" s="344"/>
      <c r="AP29" s="344"/>
      <c r="AQ29" s="324" t="s">
        <v>121</v>
      </c>
      <c r="AR29" s="62">
        <v>65223</v>
      </c>
      <c r="AS29" s="62">
        <v>71923</v>
      </c>
      <c r="AT29" s="62">
        <v>81283</v>
      </c>
      <c r="AU29" s="62">
        <v>93803</v>
      </c>
      <c r="AV29" s="62">
        <v>115534</v>
      </c>
      <c r="AW29" s="62">
        <v>137897</v>
      </c>
      <c r="AX29" s="393">
        <v>168606</v>
      </c>
      <c r="BA29" s="388" t="s">
        <v>109</v>
      </c>
      <c r="BB29" s="389">
        <v>23</v>
      </c>
      <c r="BC29" s="447" t="s">
        <v>114</v>
      </c>
      <c r="BD29" s="97">
        <f t="shared" si="3"/>
        <v>4.3478260869565216E-2</v>
      </c>
      <c r="BE29" s="344"/>
      <c r="BF29" s="344"/>
      <c r="BG29" s="344"/>
      <c r="BH29" s="344"/>
      <c r="BI29" s="344"/>
      <c r="BJ29" s="344"/>
      <c r="BK29" s="344"/>
      <c r="BL29" s="358"/>
    </row>
    <row r="30" spans="1:69" ht="17.25" x14ac:dyDescent="0.25">
      <c r="A30" s="3" t="s">
        <v>2782</v>
      </c>
      <c r="B30" s="173" t="s">
        <v>48</v>
      </c>
      <c r="C30" s="20">
        <v>2813.195271</v>
      </c>
      <c r="D30" s="20">
        <v>2441.6563059999999</v>
      </c>
      <c r="E30" s="20">
        <v>3086.9594999999999</v>
      </c>
      <c r="F30" s="20">
        <v>2895.7991619999998</v>
      </c>
      <c r="G30" s="20">
        <v>2629.0092020000002</v>
      </c>
      <c r="H30" s="20">
        <v>3165.5304030000002</v>
      </c>
      <c r="I30" s="20">
        <v>2402.9717810000002</v>
      </c>
      <c r="J30" s="20">
        <v>2717.8000099999999</v>
      </c>
      <c r="K30" s="20">
        <v>2540.005044</v>
      </c>
      <c r="L30" s="20">
        <v>2542.161454</v>
      </c>
      <c r="M30" s="20">
        <v>2427.386645</v>
      </c>
      <c r="N30" s="20">
        <v>2671.7635580000001</v>
      </c>
      <c r="O30" s="20">
        <v>2407.9832040000001</v>
      </c>
      <c r="P30" s="20">
        <v>2829.1807490000001</v>
      </c>
      <c r="Q30" s="20">
        <v>2285.6820029999999</v>
      </c>
      <c r="R30" s="20">
        <v>2161.073504</v>
      </c>
      <c r="S30" s="20">
        <v>1912.3475510000001</v>
      </c>
      <c r="T30" s="20">
        <v>1862.1005520000001</v>
      </c>
      <c r="U30" s="20">
        <v>1863.465516</v>
      </c>
      <c r="V30" s="20">
        <v>1818.914767</v>
      </c>
      <c r="W30" s="20">
        <v>798.48884399999997</v>
      </c>
      <c r="X30" s="3">
        <v>595.13403900000003</v>
      </c>
      <c r="AC30" s="386" t="s">
        <v>106</v>
      </c>
      <c r="AD30" s="62">
        <v>8</v>
      </c>
      <c r="AE30" s="62">
        <v>9</v>
      </c>
      <c r="AF30" s="62">
        <v>8</v>
      </c>
      <c r="AG30" s="387">
        <f t="shared" si="0"/>
        <v>8</v>
      </c>
      <c r="AH30" s="94">
        <f t="shared" si="4"/>
        <v>0.125</v>
      </c>
      <c r="AI30" s="62"/>
      <c r="AJ30" s="344" t="s">
        <v>421</v>
      </c>
      <c r="AK30" s="62">
        <v>43171</v>
      </c>
      <c r="AL30" s="37">
        <f t="shared" si="1"/>
        <v>7.4179907453387331E-2</v>
      </c>
      <c r="AM30" s="62">
        <v>23501</v>
      </c>
      <c r="AN30" s="37">
        <f t="shared" si="2"/>
        <v>7.3302038333775202E-2</v>
      </c>
      <c r="AO30" s="344"/>
      <c r="AP30" s="344"/>
      <c r="AQ30" s="324" t="s">
        <v>122</v>
      </c>
      <c r="AR30" s="62">
        <v>7717</v>
      </c>
      <c r="AS30" s="62">
        <v>14666</v>
      </c>
      <c r="AT30" s="62">
        <v>19215</v>
      </c>
      <c r="AU30" s="62">
        <v>21632</v>
      </c>
      <c r="AV30" s="62">
        <v>24391</v>
      </c>
      <c r="AW30" s="62">
        <v>27861</v>
      </c>
      <c r="AX30" s="393">
        <v>32741</v>
      </c>
      <c r="BA30" s="384" t="s">
        <v>110</v>
      </c>
      <c r="BB30" s="193">
        <v>17</v>
      </c>
      <c r="BC30" s="445" t="s">
        <v>114</v>
      </c>
      <c r="BD30" s="93">
        <f t="shared" si="3"/>
        <v>5.8823529411764705E-2</v>
      </c>
      <c r="BE30" s="344"/>
      <c r="BF30" s="344"/>
      <c r="BG30" s="344"/>
      <c r="BH30" s="344"/>
      <c r="BI30" s="344"/>
      <c r="BJ30" s="344"/>
      <c r="BK30" s="344"/>
      <c r="BL30" s="358"/>
    </row>
    <row r="31" spans="1:69" x14ac:dyDescent="0.25">
      <c r="B31" s="161" t="s">
        <v>2752</v>
      </c>
      <c r="C31" s="704"/>
      <c r="D31" s="704"/>
      <c r="E31" s="704"/>
      <c r="F31" s="704"/>
      <c r="G31" s="704"/>
      <c r="H31" s="704"/>
      <c r="I31" s="704"/>
      <c r="J31" s="704"/>
      <c r="K31" s="704"/>
      <c r="L31" s="704"/>
      <c r="M31" s="704"/>
      <c r="N31" s="704"/>
      <c r="O31" s="704"/>
      <c r="P31" s="704"/>
      <c r="Q31" s="704"/>
      <c r="R31" s="704"/>
      <c r="S31" s="704"/>
      <c r="T31" s="704"/>
      <c r="U31" s="704"/>
      <c r="V31" s="704"/>
      <c r="W31" s="704"/>
      <c r="AC31" s="386" t="s">
        <v>92</v>
      </c>
      <c r="AD31" s="62">
        <v>30</v>
      </c>
      <c r="AE31" s="62">
        <v>30</v>
      </c>
      <c r="AF31" s="62">
        <v>30</v>
      </c>
      <c r="AG31" s="387">
        <v>30</v>
      </c>
      <c r="AH31" s="94">
        <f t="shared" si="4"/>
        <v>3.3333333333333333E-2</v>
      </c>
      <c r="AI31" s="62"/>
      <c r="AJ31" s="344" t="s">
        <v>1037</v>
      </c>
      <c r="AK31" s="62">
        <v>5623</v>
      </c>
      <c r="AL31" s="37">
        <f t="shared" si="1"/>
        <v>9.6618938549117919E-3</v>
      </c>
      <c r="AM31" s="62">
        <v>5274</v>
      </c>
      <c r="AN31" s="37">
        <f t="shared" si="2"/>
        <v>1.6450148937165673E-2</v>
      </c>
      <c r="AO31" s="344"/>
      <c r="AP31" s="344"/>
      <c r="AQ31" s="324" t="s">
        <v>616</v>
      </c>
      <c r="AR31" s="62">
        <v>860</v>
      </c>
      <c r="AS31" s="62">
        <v>940</v>
      </c>
      <c r="AT31" s="62">
        <v>1069</v>
      </c>
      <c r="AU31" s="62">
        <v>1187</v>
      </c>
      <c r="AV31" s="62">
        <v>1310</v>
      </c>
      <c r="AW31" s="62">
        <v>1308</v>
      </c>
      <c r="AX31" s="393">
        <v>1311</v>
      </c>
      <c r="BA31" s="384" t="s">
        <v>116</v>
      </c>
      <c r="BB31" s="193">
        <v>24</v>
      </c>
      <c r="BC31" s="445" t="s">
        <v>115</v>
      </c>
      <c r="BD31" s="93">
        <f t="shared" si="3"/>
        <v>4.1666666666666664E-2</v>
      </c>
      <c r="BE31" s="344"/>
      <c r="BF31" s="344"/>
      <c r="BG31" s="344"/>
      <c r="BH31" s="344"/>
      <c r="BI31" s="344"/>
      <c r="BJ31" s="344"/>
      <c r="BK31" s="344"/>
      <c r="BL31" s="358"/>
    </row>
    <row r="32" spans="1:69" ht="17.25" x14ac:dyDescent="0.25">
      <c r="A32" s="3" t="s">
        <v>2783</v>
      </c>
      <c r="B32" s="173" t="s">
        <v>8</v>
      </c>
      <c r="C32" s="20">
        <v>20445.412</v>
      </c>
      <c r="D32" s="20">
        <v>19627.018</v>
      </c>
      <c r="E32" s="20">
        <v>20588.03</v>
      </c>
      <c r="F32" s="20">
        <v>20560.324000000001</v>
      </c>
      <c r="G32" s="20">
        <v>20624.614000000001</v>
      </c>
      <c r="H32" s="20">
        <v>20904.581999999999</v>
      </c>
      <c r="I32" s="20">
        <v>20391.594000000001</v>
      </c>
      <c r="J32" s="20">
        <v>20424.178</v>
      </c>
      <c r="K32" s="20">
        <v>20005.374</v>
      </c>
      <c r="L32" s="20">
        <v>20540.745999999999</v>
      </c>
      <c r="M32" s="20">
        <v>20735.205999999998</v>
      </c>
      <c r="N32" s="20">
        <v>20338.905999999999</v>
      </c>
      <c r="O32" s="20">
        <v>19050.101999999999</v>
      </c>
      <c r="P32" s="20">
        <v>19632.705999999998</v>
      </c>
      <c r="Q32" s="20">
        <v>18434.186000000002</v>
      </c>
      <c r="R32" s="20">
        <v>18010.759999999998</v>
      </c>
      <c r="S32" s="20">
        <v>17499.849999999999</v>
      </c>
      <c r="T32" s="20">
        <v>16614.894</v>
      </c>
      <c r="U32" s="20">
        <v>16198.587</v>
      </c>
      <c r="V32" s="20">
        <v>16707.686000000002</v>
      </c>
      <c r="W32" s="20">
        <v>13256.438</v>
      </c>
      <c r="X32" s="3">
        <v>13682.717000000001</v>
      </c>
      <c r="AB32" s="12"/>
      <c r="AC32" s="386" t="s">
        <v>107</v>
      </c>
      <c r="AD32" s="62" t="s">
        <v>15</v>
      </c>
      <c r="AE32" s="62" t="s">
        <v>15</v>
      </c>
      <c r="AF32" s="62" t="s">
        <v>15</v>
      </c>
      <c r="AG32" s="391" t="s">
        <v>15</v>
      </c>
      <c r="AH32" s="95"/>
      <c r="AI32" s="62"/>
      <c r="AJ32" s="236" t="s">
        <v>231</v>
      </c>
      <c r="AK32" s="237">
        <f>SUM(AK25:AK31)</f>
        <v>581977</v>
      </c>
      <c r="AL32" s="256">
        <f>SUM(AL25:AL31)</f>
        <v>0.99999999999999989</v>
      </c>
      <c r="AM32" s="237">
        <f>SUM(AM25:AM31)</f>
        <v>320605</v>
      </c>
      <c r="AN32" s="256">
        <f>SUM(AN25:AN31)</f>
        <v>0.99999999999999989</v>
      </c>
      <c r="AO32" s="344"/>
      <c r="AP32" s="344"/>
      <c r="AQ32" s="226" t="s">
        <v>837</v>
      </c>
      <c r="AR32" s="378">
        <v>8198757</v>
      </c>
      <c r="AS32" s="378">
        <v>8356239</v>
      </c>
      <c r="AT32" s="378">
        <v>8511305</v>
      </c>
      <c r="AU32" s="378">
        <v>8797979</v>
      </c>
      <c r="AV32" s="378">
        <v>8898759</v>
      </c>
      <c r="AW32" s="401">
        <v>8333015</v>
      </c>
      <c r="AX32" s="392">
        <v>8050235</v>
      </c>
      <c r="BA32" s="384" t="s">
        <v>117</v>
      </c>
      <c r="BB32" s="193">
        <v>30</v>
      </c>
      <c r="BC32" s="445" t="s">
        <v>168</v>
      </c>
      <c r="BD32" s="93">
        <f t="shared" si="3"/>
        <v>3.3333333333333333E-2</v>
      </c>
      <c r="BE32" s="344"/>
      <c r="BF32" s="344"/>
      <c r="BG32" s="344"/>
      <c r="BH32" s="344"/>
      <c r="BI32" s="344"/>
      <c r="BJ32" s="344"/>
      <c r="BK32" s="344"/>
      <c r="BL32" s="358"/>
    </row>
    <row r="33" spans="1:64" ht="15.75" thickBot="1" x14ac:dyDescent="0.3">
      <c r="A33" s="3" t="s">
        <v>2784</v>
      </c>
      <c r="B33" s="173" t="s">
        <v>17</v>
      </c>
      <c r="C33" s="20">
        <v>20280.312278000001</v>
      </c>
      <c r="D33" s="20">
        <v>19548.100362000001</v>
      </c>
      <c r="E33" s="20">
        <v>20409.800646</v>
      </c>
      <c r="F33" s="20">
        <v>20327.410541000001</v>
      </c>
      <c r="G33" s="20">
        <v>20447.010329000001</v>
      </c>
      <c r="H33" s="20">
        <v>20772.351750999998</v>
      </c>
      <c r="I33" s="20">
        <v>20278.321714999998</v>
      </c>
      <c r="J33" s="20">
        <v>20274.663128</v>
      </c>
      <c r="K33" s="20">
        <v>19826.871379</v>
      </c>
      <c r="L33" s="20">
        <v>20374.309915000002</v>
      </c>
      <c r="M33" s="20">
        <v>20698.262454</v>
      </c>
      <c r="N33" s="20">
        <v>20434.173476</v>
      </c>
      <c r="O33" s="20">
        <v>19073.914884000002</v>
      </c>
      <c r="P33" s="20">
        <v>19802.15583</v>
      </c>
      <c r="Q33" s="20">
        <v>18669.736368999998</v>
      </c>
      <c r="R33" s="20">
        <v>18350.733146999999</v>
      </c>
      <c r="S33" s="20">
        <v>18023.213051999999</v>
      </c>
      <c r="T33" s="20">
        <v>17263.864572999999</v>
      </c>
      <c r="U33" s="20">
        <v>17016.367472000002</v>
      </c>
      <c r="V33" s="20">
        <v>17545.569776</v>
      </c>
      <c r="W33" s="20">
        <v>13969.518467</v>
      </c>
      <c r="X33" s="3">
        <v>14598.227973999999</v>
      </c>
      <c r="AB33" s="12"/>
      <c r="AC33" s="386" t="s">
        <v>98</v>
      </c>
      <c r="AD33" s="62">
        <v>30</v>
      </c>
      <c r="AE33" s="62">
        <v>30</v>
      </c>
      <c r="AF33" s="62" t="s">
        <v>15</v>
      </c>
      <c r="AG33" s="387">
        <v>30</v>
      </c>
      <c r="AH33" s="94">
        <f t="shared" si="4"/>
        <v>3.3333333333333333E-2</v>
      </c>
      <c r="AI33" s="62"/>
      <c r="AJ33" s="344"/>
      <c r="AK33" s="344"/>
      <c r="AL33" s="344"/>
      <c r="AM33" s="344"/>
      <c r="AN33" s="344"/>
      <c r="AO33" s="344"/>
      <c r="AP33" s="344"/>
      <c r="AQ33" s="324" t="s">
        <v>97</v>
      </c>
      <c r="AR33" s="62">
        <v>7906955</v>
      </c>
      <c r="AS33" s="62">
        <v>8056355</v>
      </c>
      <c r="AT33" s="62">
        <v>8188611</v>
      </c>
      <c r="AU33" s="62">
        <v>8446490</v>
      </c>
      <c r="AV33" s="62">
        <v>8511018</v>
      </c>
      <c r="AW33" s="62">
        <v>7923796</v>
      </c>
      <c r="AX33" s="393">
        <v>7590948</v>
      </c>
      <c r="BA33" s="448" t="s">
        <v>118</v>
      </c>
      <c r="BB33" s="90">
        <v>30</v>
      </c>
      <c r="BC33" s="91" t="s">
        <v>168</v>
      </c>
      <c r="BD33" s="82">
        <f t="shared" si="3"/>
        <v>3.3333333333333333E-2</v>
      </c>
      <c r="BE33" s="344"/>
      <c r="BF33" s="344"/>
      <c r="BG33" s="344"/>
      <c r="BH33" s="344"/>
      <c r="BI33" s="344"/>
      <c r="BJ33" s="344"/>
      <c r="BK33" s="344"/>
      <c r="BL33" s="358"/>
    </row>
    <row r="34" spans="1:64" ht="15.75" x14ac:dyDescent="0.25">
      <c r="A34" s="3" t="s">
        <v>2785</v>
      </c>
      <c r="B34" s="173" t="s">
        <v>18</v>
      </c>
      <c r="C34" s="20">
        <v>23886.135855</v>
      </c>
      <c r="D34" s="20">
        <v>23225.092854999999</v>
      </c>
      <c r="E34" s="20">
        <v>23862.198339999999</v>
      </c>
      <c r="F34" s="20">
        <v>23903.69024</v>
      </c>
      <c r="G34" s="20">
        <v>24155.742315</v>
      </c>
      <c r="H34" s="20">
        <v>24470.065850999999</v>
      </c>
      <c r="I34" s="20">
        <v>24400.263817999999</v>
      </c>
      <c r="J34" s="20">
        <v>24494.948630999999</v>
      </c>
      <c r="K34" s="20">
        <v>24041.632870000001</v>
      </c>
      <c r="L34" s="20">
        <v>24465.604705999998</v>
      </c>
      <c r="M34" s="20">
        <v>24892.049094999998</v>
      </c>
      <c r="N34" s="20">
        <v>24732.863441000001</v>
      </c>
      <c r="O34" s="20">
        <v>23325.677682000001</v>
      </c>
      <c r="P34" s="20">
        <v>23760.897179</v>
      </c>
      <c r="Q34" s="20">
        <v>22315.891755000001</v>
      </c>
      <c r="R34" s="20">
        <v>21897.770297999999</v>
      </c>
      <c r="S34" s="20">
        <v>21695.848755999999</v>
      </c>
      <c r="T34" s="20">
        <v>20752.915892000001</v>
      </c>
      <c r="U34" s="20">
        <v>20215.805681000002</v>
      </c>
      <c r="V34" s="20">
        <v>20832.69442</v>
      </c>
      <c r="W34" s="20">
        <v>16710.193925</v>
      </c>
      <c r="X34" s="3">
        <v>17521.320446999998</v>
      </c>
      <c r="AB34" s="12"/>
      <c r="AC34" s="386" t="s">
        <v>99</v>
      </c>
      <c r="AD34" s="62">
        <v>30</v>
      </c>
      <c r="AE34" s="62">
        <v>30</v>
      </c>
      <c r="AF34" s="62" t="s">
        <v>15</v>
      </c>
      <c r="AG34" s="387">
        <v>30</v>
      </c>
      <c r="AH34" s="94">
        <f t="shared" si="4"/>
        <v>3.3333333333333333E-2</v>
      </c>
      <c r="AI34" s="62"/>
      <c r="AJ34" s="154" t="s">
        <v>1185</v>
      </c>
      <c r="AK34" s="26"/>
      <c r="AL34" s="26"/>
      <c r="AM34" s="26"/>
      <c r="AN34" s="26"/>
      <c r="AO34" s="344"/>
      <c r="AP34" s="344"/>
      <c r="AQ34" s="324" t="s">
        <v>96</v>
      </c>
      <c r="AR34" s="62">
        <v>212951</v>
      </c>
      <c r="AS34" s="62">
        <v>201624</v>
      </c>
      <c r="AT34" s="62">
        <v>203968</v>
      </c>
      <c r="AU34" s="62">
        <v>211279</v>
      </c>
      <c r="AV34" s="62">
        <v>211675</v>
      </c>
      <c r="AW34" s="62">
        <v>188482</v>
      </c>
      <c r="AX34" s="393">
        <v>174117</v>
      </c>
      <c r="BA34" s="396" t="s">
        <v>384</v>
      </c>
      <c r="BB34" s="344"/>
      <c r="BC34" s="344"/>
      <c r="BD34" s="344"/>
      <c r="BE34" s="344"/>
      <c r="BF34" s="344"/>
      <c r="BG34" s="344"/>
      <c r="BH34" s="344"/>
      <c r="BI34" s="344"/>
      <c r="BJ34" s="344"/>
      <c r="BK34" s="344"/>
      <c r="BL34" s="358"/>
    </row>
    <row r="35" spans="1:64" ht="15.75" customHeight="1" thickBot="1" x14ac:dyDescent="0.3">
      <c r="A35" s="3" t="s">
        <v>2786</v>
      </c>
      <c r="B35" s="173" t="s">
        <v>19</v>
      </c>
      <c r="C35" s="20">
        <v>30342.448344</v>
      </c>
      <c r="D35" s="20">
        <v>32373.937679999999</v>
      </c>
      <c r="E35" s="20">
        <v>30122.744600000002</v>
      </c>
      <c r="F35" s="20">
        <v>34156.314135000001</v>
      </c>
      <c r="G35" s="20">
        <v>30547.081710999999</v>
      </c>
      <c r="H35" s="20">
        <v>25754.071549</v>
      </c>
      <c r="I35" s="20">
        <v>29362.128798999998</v>
      </c>
      <c r="J35" s="20">
        <v>29727.431891</v>
      </c>
      <c r="K35" s="20">
        <v>26567.695983000001</v>
      </c>
      <c r="L35" s="20">
        <v>25808.455602999999</v>
      </c>
      <c r="M35" s="20">
        <v>27585.501656</v>
      </c>
      <c r="N35" s="20">
        <v>27006.632751000001</v>
      </c>
      <c r="O35" s="20">
        <v>24754.103327000001</v>
      </c>
      <c r="P35" s="20">
        <v>24106.878638999999</v>
      </c>
      <c r="Q35" s="20">
        <v>23063.599188</v>
      </c>
      <c r="R35" s="20">
        <v>21863.081978999999</v>
      </c>
      <c r="S35" s="20">
        <v>20597.481878999999</v>
      </c>
      <c r="T35" s="20">
        <v>20548.836238</v>
      </c>
      <c r="U35" s="20">
        <v>21269.709222000001</v>
      </c>
      <c r="V35" s="20">
        <v>21174.545632000001</v>
      </c>
      <c r="W35" s="20">
        <v>17500.805463000001</v>
      </c>
      <c r="X35" s="3">
        <v>19193.469936000001</v>
      </c>
      <c r="AB35" s="12"/>
      <c r="AC35" s="394" t="s">
        <v>100</v>
      </c>
      <c r="AD35" s="18" t="s">
        <v>15</v>
      </c>
      <c r="AE35" s="18">
        <v>30</v>
      </c>
      <c r="AF35" s="18">
        <v>30</v>
      </c>
      <c r="AG35" s="78">
        <v>30</v>
      </c>
      <c r="AH35" s="96">
        <f t="shared" si="4"/>
        <v>3.3333333333333333E-2</v>
      </c>
      <c r="AI35" s="344"/>
      <c r="AJ35" s="83" t="s">
        <v>1027</v>
      </c>
      <c r="AK35" s="83" t="s">
        <v>1191</v>
      </c>
      <c r="AL35" s="83" t="s">
        <v>1192</v>
      </c>
      <c r="AM35" s="83" t="s">
        <v>1187</v>
      </c>
      <c r="AN35" s="83" t="s">
        <v>1188</v>
      </c>
      <c r="AO35" s="344"/>
      <c r="AP35" s="344"/>
      <c r="AQ35" s="324" t="s">
        <v>120</v>
      </c>
      <c r="AR35" s="62">
        <v>5810</v>
      </c>
      <c r="AS35" s="62">
        <v>11563</v>
      </c>
      <c r="AT35" s="62">
        <v>18055</v>
      </c>
      <c r="AU35" s="62">
        <v>24574</v>
      </c>
      <c r="AV35" s="62">
        <v>35945</v>
      </c>
      <c r="AW35" s="62">
        <v>54811</v>
      </c>
      <c r="AX35" s="393">
        <v>83722</v>
      </c>
      <c r="BA35" s="735" t="s">
        <v>1124</v>
      </c>
      <c r="BB35" s="449"/>
      <c r="BC35" s="449"/>
      <c r="BD35" s="449"/>
      <c r="BE35" s="344"/>
      <c r="BF35" s="344"/>
      <c r="BG35" s="344"/>
      <c r="BH35" s="344"/>
      <c r="BI35" s="344"/>
      <c r="BJ35" s="344"/>
      <c r="BK35" s="344"/>
      <c r="BL35" s="358"/>
    </row>
    <row r="36" spans="1:64" x14ac:dyDescent="0.25">
      <c r="A36" s="3" t="s">
        <v>2787</v>
      </c>
      <c r="B36" s="173" t="s">
        <v>20</v>
      </c>
      <c r="C36" s="20">
        <v>99931.110235</v>
      </c>
      <c r="D36" s="20">
        <v>90983.453110999995</v>
      </c>
      <c r="E36" s="20">
        <v>89312.354439000002</v>
      </c>
      <c r="F36" s="20">
        <v>93082.691112999993</v>
      </c>
      <c r="G36" s="20">
        <v>98485.558575000003</v>
      </c>
      <c r="H36" s="20">
        <v>107928.42415200001</v>
      </c>
      <c r="I36" s="20">
        <v>94784.656191000002</v>
      </c>
      <c r="J36" s="20">
        <v>94339.056370000006</v>
      </c>
      <c r="K36" s="20">
        <v>93843.118623999995</v>
      </c>
      <c r="L36" s="20">
        <v>101415.109087</v>
      </c>
      <c r="M36" s="20">
        <v>107797.881327</v>
      </c>
      <c r="N36" s="20">
        <v>112697.896135</v>
      </c>
      <c r="O36" s="20">
        <v>112477.16046699999</v>
      </c>
      <c r="P36" s="20">
        <v>111456.408367</v>
      </c>
      <c r="Q36" s="20">
        <v>107053.487995</v>
      </c>
      <c r="R36" s="20">
        <v>100204.54622600001</v>
      </c>
      <c r="S36" s="20">
        <v>90809.323504999993</v>
      </c>
      <c r="T36" s="20">
        <v>97716.165385999993</v>
      </c>
      <c r="U36" s="20">
        <v>102817.794177</v>
      </c>
      <c r="V36" s="20">
        <v>100750.92647000001</v>
      </c>
      <c r="W36" s="20">
        <v>88193.936000000002</v>
      </c>
      <c r="X36" s="3">
        <v>93230.157122999997</v>
      </c>
      <c r="AB36" s="12"/>
      <c r="AC36" s="396" t="s">
        <v>101</v>
      </c>
      <c r="AD36" s="344"/>
      <c r="AE36" s="344"/>
      <c r="AF36" s="344"/>
      <c r="AG36" s="344"/>
      <c r="AH36" s="344"/>
      <c r="AI36" s="344"/>
      <c r="AJ36" s="397" t="s">
        <v>431</v>
      </c>
      <c r="AK36" s="62">
        <v>71069</v>
      </c>
      <c r="AL36" s="37">
        <f t="shared" ref="AL36:AL41" si="5">AK36/$AK$42</f>
        <v>5.0561290152753166E-2</v>
      </c>
      <c r="AM36" s="62">
        <v>33648</v>
      </c>
      <c r="AN36" s="37">
        <f t="shared" ref="AN36:AN41" si="6">AM36/$AM$42</f>
        <v>2.506757099051473E-2</v>
      </c>
      <c r="AO36" s="344"/>
      <c r="AP36" s="344"/>
      <c r="AQ36" s="324" t="s">
        <v>121</v>
      </c>
      <c r="AR36" s="62">
        <v>65222</v>
      </c>
      <c r="AS36" s="62">
        <v>71922</v>
      </c>
      <c r="AT36" s="62">
        <v>81282</v>
      </c>
      <c r="AU36" s="62">
        <v>93802</v>
      </c>
      <c r="AV36" s="62">
        <v>115533</v>
      </c>
      <c r="AW36" s="62">
        <v>137897</v>
      </c>
      <c r="AX36" s="393">
        <v>168552</v>
      </c>
      <c r="BA36" s="735"/>
      <c r="BB36" s="449"/>
      <c r="BC36" s="449"/>
      <c r="BD36" s="449"/>
      <c r="BE36" s="344"/>
      <c r="BF36" s="344"/>
      <c r="BG36" s="344"/>
      <c r="BH36" s="344"/>
      <c r="BI36" s="344"/>
      <c r="BJ36" s="344"/>
      <c r="BK36" s="344"/>
      <c r="BL36" s="358"/>
    </row>
    <row r="37" spans="1:64" x14ac:dyDescent="0.25">
      <c r="A37" s="3" t="s">
        <v>2788</v>
      </c>
      <c r="B37" s="173" t="s">
        <v>33</v>
      </c>
      <c r="C37" s="20">
        <v>5106.1028859999997</v>
      </c>
      <c r="D37" s="20">
        <v>4999.3948</v>
      </c>
      <c r="E37" s="20">
        <v>5324.3870310000002</v>
      </c>
      <c r="F37" s="20">
        <v>5347.9936909999997</v>
      </c>
      <c r="G37" s="20">
        <v>5433.0375450000001</v>
      </c>
      <c r="H37" s="20">
        <v>5539.5072570000002</v>
      </c>
      <c r="I37" s="20">
        <v>5396.2731409999997</v>
      </c>
      <c r="J37" s="20">
        <v>5407.4016680000004</v>
      </c>
      <c r="K37" s="20">
        <v>5285.8224419999997</v>
      </c>
      <c r="L37" s="20">
        <v>5473.8891290000001</v>
      </c>
      <c r="M37" s="20">
        <v>5564.9948759999997</v>
      </c>
      <c r="N37" s="20">
        <v>5488.2421139999997</v>
      </c>
      <c r="O37" s="20">
        <v>5119.7832900000003</v>
      </c>
      <c r="P37" s="20">
        <v>5352.0702789999996</v>
      </c>
      <c r="Q37" s="20">
        <v>5075.4436589999996</v>
      </c>
      <c r="R37" s="20">
        <v>4996.4825119999996</v>
      </c>
      <c r="S37" s="20">
        <v>4888.643145</v>
      </c>
      <c r="T37" s="20">
        <v>4662.4482029999999</v>
      </c>
      <c r="U37" s="20">
        <v>4576.3026090000003</v>
      </c>
      <c r="V37" s="20">
        <v>4712.491618</v>
      </c>
      <c r="W37" s="20">
        <v>3735.1698459999998</v>
      </c>
      <c r="X37" s="3">
        <v>3975.9491499999999</v>
      </c>
      <c r="AB37" s="12"/>
      <c r="AC37" s="396" t="s">
        <v>102</v>
      </c>
      <c r="AD37" s="344"/>
      <c r="AE37" s="344"/>
      <c r="AF37" s="344"/>
      <c r="AG37" s="344"/>
      <c r="AH37" s="344"/>
      <c r="AI37" s="344"/>
      <c r="AJ37" s="397" t="s">
        <v>427</v>
      </c>
      <c r="AK37" s="62">
        <v>29975</v>
      </c>
      <c r="AL37" s="37">
        <f t="shared" si="5"/>
        <v>2.1325397463433791E-2</v>
      </c>
      <c r="AM37" s="62">
        <v>27749</v>
      </c>
      <c r="AN37" s="37">
        <f t="shared" si="6"/>
        <v>2.0672849126717584E-2</v>
      </c>
      <c r="AO37" s="344"/>
      <c r="AP37" s="344"/>
      <c r="AQ37" s="324" t="s">
        <v>122</v>
      </c>
      <c r="AR37" s="62">
        <v>7717</v>
      </c>
      <c r="AS37" s="62">
        <v>14666</v>
      </c>
      <c r="AT37" s="62">
        <v>19215</v>
      </c>
      <c r="AU37" s="62">
        <v>21632</v>
      </c>
      <c r="AV37" s="62">
        <v>24391</v>
      </c>
      <c r="AW37" s="62">
        <v>27861</v>
      </c>
      <c r="AX37" s="393">
        <v>32741</v>
      </c>
      <c r="BA37" s="386"/>
      <c r="BB37" s="344"/>
      <c r="BC37" s="344"/>
      <c r="BD37" s="344"/>
      <c r="BE37" s="344"/>
      <c r="BF37" s="344"/>
      <c r="BG37" s="344"/>
      <c r="BH37" s="344"/>
      <c r="BI37" s="344"/>
      <c r="BJ37" s="344"/>
      <c r="BK37" s="344"/>
      <c r="BL37" s="358"/>
    </row>
    <row r="38" spans="1:64" ht="15.75" x14ac:dyDescent="0.25">
      <c r="A38" s="3" t="s">
        <v>2789</v>
      </c>
      <c r="B38" s="173" t="s">
        <v>38</v>
      </c>
      <c r="C38" s="20">
        <v>23809.855047000001</v>
      </c>
      <c r="D38" s="20">
        <v>21574.627637000001</v>
      </c>
      <c r="E38" s="20">
        <v>22210.492612999999</v>
      </c>
      <c r="F38" s="20">
        <v>25006.543604999999</v>
      </c>
      <c r="G38" s="20">
        <v>23919.262873</v>
      </c>
      <c r="H38" s="20">
        <v>27673.316111</v>
      </c>
      <c r="I38" s="20">
        <v>28936.932475000001</v>
      </c>
      <c r="J38" s="20">
        <v>23540.423381000001</v>
      </c>
      <c r="K38" s="20">
        <v>23740.106857999999</v>
      </c>
      <c r="L38" s="20">
        <v>30771.785263000002</v>
      </c>
      <c r="M38" s="20">
        <v>33845.961560000003</v>
      </c>
      <c r="N38" s="20">
        <v>34567.067963000001</v>
      </c>
      <c r="O38" s="20">
        <v>33388.299574999997</v>
      </c>
      <c r="P38" s="20">
        <v>30277.975364999998</v>
      </c>
      <c r="Q38" s="20">
        <v>25705.258551999999</v>
      </c>
      <c r="R38" s="20">
        <v>25089.403461999998</v>
      </c>
      <c r="S38" s="20">
        <v>24812.157036000001</v>
      </c>
      <c r="T38" s="20">
        <v>23919.343400000002</v>
      </c>
      <c r="U38" s="20">
        <v>24698.708521</v>
      </c>
      <c r="V38" s="20">
        <v>24530.769425999999</v>
      </c>
      <c r="W38" s="20">
        <v>17952.546503000001</v>
      </c>
      <c r="X38" s="3">
        <v>18522.101175</v>
      </c>
      <c r="AB38" s="12"/>
      <c r="AC38" s="396" t="s">
        <v>103</v>
      </c>
      <c r="AD38" s="344"/>
      <c r="AE38" s="344"/>
      <c r="AF38" s="344"/>
      <c r="AG38" s="344"/>
      <c r="AH38" s="344"/>
      <c r="AI38" s="344"/>
      <c r="AJ38" s="397" t="s">
        <v>428</v>
      </c>
      <c r="AK38" s="62">
        <v>361195</v>
      </c>
      <c r="AL38" s="37">
        <f t="shared" si="5"/>
        <v>0.25696837153644597</v>
      </c>
      <c r="AM38" s="62">
        <v>317412</v>
      </c>
      <c r="AN38" s="37">
        <f t="shared" si="6"/>
        <v>0.23647015701501611</v>
      </c>
      <c r="AO38" s="344"/>
      <c r="AP38" s="344"/>
      <c r="AQ38" s="324" t="s">
        <v>616</v>
      </c>
      <c r="AR38" s="62">
        <v>102</v>
      </c>
      <c r="AS38" s="62">
        <v>109</v>
      </c>
      <c r="AT38" s="62">
        <v>174</v>
      </c>
      <c r="AU38" s="62">
        <v>202</v>
      </c>
      <c r="AV38" s="62">
        <v>197</v>
      </c>
      <c r="AW38" s="62">
        <v>168</v>
      </c>
      <c r="AX38" s="393">
        <v>155</v>
      </c>
      <c r="BA38" s="367" t="s">
        <v>651</v>
      </c>
      <c r="BB38" s="344"/>
      <c r="BC38" s="344"/>
      <c r="BD38" s="231" t="s">
        <v>517</v>
      </c>
      <c r="BE38" s="450"/>
      <c r="BF38" s="344"/>
      <c r="BG38" s="344"/>
      <c r="BH38" s="344"/>
      <c r="BI38" s="344"/>
      <c r="BJ38" s="344"/>
      <c r="BK38" s="344"/>
      <c r="BL38" s="358"/>
    </row>
    <row r="39" spans="1:64" ht="15.75" thickBot="1" x14ac:dyDescent="0.3">
      <c r="A39" s="3" t="s">
        <v>2790</v>
      </c>
      <c r="B39" s="173" t="s">
        <v>39</v>
      </c>
      <c r="C39" s="20">
        <v>53104.483972000002</v>
      </c>
      <c r="D39" s="20">
        <v>54868.887937</v>
      </c>
      <c r="E39" s="20">
        <v>57875.573110999998</v>
      </c>
      <c r="F39" s="20">
        <v>61555.998611000003</v>
      </c>
      <c r="G39" s="20">
        <v>69188.410004999998</v>
      </c>
      <c r="H39" s="20">
        <v>78221.857197000005</v>
      </c>
      <c r="I39" s="20">
        <v>78015.327342999997</v>
      </c>
      <c r="J39" s="20">
        <v>56405.376935</v>
      </c>
      <c r="K39" s="20">
        <v>57217.775356999999</v>
      </c>
      <c r="L39" s="20">
        <v>63021.675464</v>
      </c>
      <c r="M39" s="20">
        <v>69799.779043000002</v>
      </c>
      <c r="N39" s="20">
        <v>77042.033209999994</v>
      </c>
      <c r="O39" s="20">
        <v>72202.984683000002</v>
      </c>
      <c r="P39" s="20">
        <v>70652.640020000006</v>
      </c>
      <c r="Q39" s="20">
        <v>68017.576251999999</v>
      </c>
      <c r="R39" s="20">
        <v>61578.254201000003</v>
      </c>
      <c r="S39" s="20">
        <v>49923.402187</v>
      </c>
      <c r="T39" s="20">
        <v>60021.834599000002</v>
      </c>
      <c r="U39" s="20">
        <v>55506.862937999998</v>
      </c>
      <c r="V39" s="20">
        <v>55898.748866000002</v>
      </c>
      <c r="W39" s="20">
        <v>41076.845101999999</v>
      </c>
      <c r="X39" s="3">
        <v>42859.938864000003</v>
      </c>
      <c r="AB39" s="12"/>
      <c r="AC39" s="396" t="s">
        <v>104</v>
      </c>
      <c r="AD39" s="344"/>
      <c r="AE39" s="344"/>
      <c r="AF39" s="344"/>
      <c r="AG39" s="344"/>
      <c r="AH39" s="344"/>
      <c r="AI39" s="344"/>
      <c r="AJ39" s="397" t="s">
        <v>429</v>
      </c>
      <c r="AK39" s="62">
        <v>742105</v>
      </c>
      <c r="AL39" s="37">
        <f t="shared" si="5"/>
        <v>0.52796277179654827</v>
      </c>
      <c r="AM39" s="62">
        <v>763343</v>
      </c>
      <c r="AN39" s="37">
        <f t="shared" si="6"/>
        <v>0.56868624710569682</v>
      </c>
      <c r="AO39" s="344"/>
      <c r="AP39" s="344"/>
      <c r="AQ39" s="226" t="s">
        <v>614</v>
      </c>
      <c r="AR39" s="378">
        <v>3780952</v>
      </c>
      <c r="AS39" s="378">
        <v>3725583</v>
      </c>
      <c r="AT39" s="378">
        <v>3672050</v>
      </c>
      <c r="AU39" s="378">
        <v>3680447</v>
      </c>
      <c r="AV39" s="378">
        <v>3590167</v>
      </c>
      <c r="AW39" s="401">
        <v>3226047</v>
      </c>
      <c r="AX39" s="392">
        <v>3009490</v>
      </c>
      <c r="BA39" s="382" t="s">
        <v>112</v>
      </c>
      <c r="BB39" s="19" t="s">
        <v>650</v>
      </c>
      <c r="BC39" s="19" t="s">
        <v>111</v>
      </c>
      <c r="BD39" s="19" t="s">
        <v>112</v>
      </c>
      <c r="BE39" s="19" t="s">
        <v>523</v>
      </c>
      <c r="BF39" s="344"/>
      <c r="BG39" s="344"/>
      <c r="BH39" s="344"/>
      <c r="BI39" s="344"/>
      <c r="BJ39" s="344"/>
      <c r="BK39" s="344"/>
      <c r="BL39" s="358"/>
    </row>
    <row r="40" spans="1:64" ht="15.75" thickTop="1" x14ac:dyDescent="0.25">
      <c r="A40" s="3" t="s">
        <v>2791</v>
      </c>
      <c r="B40" s="173" t="s">
        <v>40</v>
      </c>
      <c r="C40" s="20">
        <v>68668.515711</v>
      </c>
      <c r="D40" s="20">
        <v>54957.403271000003</v>
      </c>
      <c r="E40" s="20">
        <v>62801.080916999999</v>
      </c>
      <c r="F40" s="20">
        <v>58730.600151999999</v>
      </c>
      <c r="G40" s="20">
        <v>63440.729382999998</v>
      </c>
      <c r="H40" s="20">
        <v>70633.303946999993</v>
      </c>
      <c r="I40" s="20">
        <v>51841.277555000001</v>
      </c>
      <c r="J40" s="20">
        <v>55462.318159000002</v>
      </c>
      <c r="K40" s="20">
        <v>52031.200712999998</v>
      </c>
      <c r="L40" s="20">
        <v>56048.374340000002</v>
      </c>
      <c r="M40" s="20">
        <v>53339.216003000001</v>
      </c>
      <c r="N40" s="20">
        <v>59081.684073999997</v>
      </c>
      <c r="O40" s="20">
        <v>51185.157300999999</v>
      </c>
      <c r="P40" s="20">
        <v>51555.058321999997</v>
      </c>
      <c r="Q40" s="20">
        <v>44881.571630999999</v>
      </c>
      <c r="R40" s="20">
        <v>42547.584428000002</v>
      </c>
      <c r="S40" s="20">
        <v>31760.788247</v>
      </c>
      <c r="T40" s="20">
        <v>51669.327287</v>
      </c>
      <c r="U40" s="20">
        <v>51203.560543</v>
      </c>
      <c r="V40" s="20">
        <v>49225.954379000003</v>
      </c>
      <c r="W40" s="20">
        <v>34007.075121000002</v>
      </c>
      <c r="X40" s="3">
        <v>34296.455116999998</v>
      </c>
      <c r="AB40" s="12"/>
      <c r="AC40" s="396" t="s">
        <v>105</v>
      </c>
      <c r="AD40" s="344"/>
      <c r="AE40" s="344"/>
      <c r="AF40" s="344"/>
      <c r="AG40" s="344"/>
      <c r="AH40" s="344"/>
      <c r="AI40" s="344"/>
      <c r="AJ40" s="397" t="s">
        <v>430</v>
      </c>
      <c r="AK40" s="62">
        <v>153791</v>
      </c>
      <c r="AL40" s="37">
        <f t="shared" si="5"/>
        <v>0.10941298419679553</v>
      </c>
      <c r="AM40" s="62">
        <v>164298</v>
      </c>
      <c r="AN40" s="37">
        <f t="shared" si="6"/>
        <v>0.1224010870958033</v>
      </c>
      <c r="AO40" s="344"/>
      <c r="AP40" s="344"/>
      <c r="AQ40" s="324" t="s">
        <v>97</v>
      </c>
      <c r="AR40" s="62">
        <v>3653371</v>
      </c>
      <c r="AS40" s="62">
        <v>3601635</v>
      </c>
      <c r="AT40" s="62">
        <v>3536644</v>
      </c>
      <c r="AU40" s="62">
        <v>3532080</v>
      </c>
      <c r="AV40" s="62">
        <v>3435320</v>
      </c>
      <c r="AW40" s="62">
        <v>3070659</v>
      </c>
      <c r="AX40" s="395">
        <v>2850298</v>
      </c>
      <c r="BA40" s="386" t="s">
        <v>643</v>
      </c>
      <c r="BB40" s="62">
        <v>189173.81522714632</v>
      </c>
      <c r="BC40" s="447" t="s">
        <v>644</v>
      </c>
      <c r="BD40" s="344" t="s">
        <v>225</v>
      </c>
      <c r="BE40" s="344">
        <v>1.54</v>
      </c>
      <c r="BF40" s="344"/>
      <c r="BG40" s="344"/>
      <c r="BH40" s="344"/>
      <c r="BI40" s="344"/>
      <c r="BJ40" s="344"/>
      <c r="BK40" s="344"/>
      <c r="BL40" s="358"/>
    </row>
    <row r="41" spans="1:64" x14ac:dyDescent="0.25">
      <c r="B41" s="705" t="s">
        <v>165</v>
      </c>
      <c r="C41"/>
      <c r="D41"/>
      <c r="E41"/>
      <c r="F41"/>
      <c r="G41"/>
      <c r="H41"/>
      <c r="I41"/>
      <c r="J41"/>
      <c r="K41"/>
      <c r="L41"/>
      <c r="M41"/>
      <c r="N41"/>
      <c r="O41"/>
      <c r="P41"/>
      <c r="Q41"/>
      <c r="R41"/>
      <c r="S41"/>
      <c r="T41"/>
      <c r="U41"/>
      <c r="V41"/>
      <c r="W41"/>
      <c r="AC41" s="386"/>
      <c r="AD41" s="62"/>
      <c r="AE41" s="62"/>
      <c r="AF41" s="62"/>
      <c r="AG41" s="62"/>
      <c r="AH41" s="62"/>
      <c r="AI41" s="344"/>
      <c r="AJ41" s="397" t="s">
        <v>432</v>
      </c>
      <c r="AK41" s="62">
        <v>47466</v>
      </c>
      <c r="AL41" s="37">
        <f t="shared" si="5"/>
        <v>3.3769184854023297E-2</v>
      </c>
      <c r="AM41" s="62">
        <v>35842</v>
      </c>
      <c r="AN41" s="37">
        <f t="shared" si="6"/>
        <v>2.6702088666251456E-2</v>
      </c>
      <c r="AO41" s="344"/>
      <c r="AP41" s="344"/>
      <c r="AQ41" s="324" t="s">
        <v>96</v>
      </c>
      <c r="AR41" s="62">
        <v>66149</v>
      </c>
      <c r="AS41" s="62">
        <v>49653</v>
      </c>
      <c r="AT41" s="62">
        <v>48338</v>
      </c>
      <c r="AU41" s="62">
        <v>50144</v>
      </c>
      <c r="AV41" s="62">
        <v>47834</v>
      </c>
      <c r="AW41" s="62">
        <v>39918</v>
      </c>
      <c r="AX41" s="395">
        <v>35489</v>
      </c>
      <c r="BA41" s="386" t="s">
        <v>647</v>
      </c>
      <c r="BB41" s="62">
        <v>224233.79246891974</v>
      </c>
      <c r="BC41" s="447" t="s">
        <v>644</v>
      </c>
      <c r="BD41" s="344" t="s">
        <v>227</v>
      </c>
      <c r="BE41" s="344">
        <v>1.83</v>
      </c>
      <c r="BF41" s="344"/>
      <c r="BG41" s="344"/>
      <c r="BH41" s="344"/>
      <c r="BI41" s="344"/>
      <c r="BJ41" s="344"/>
      <c r="BK41" s="344"/>
      <c r="BL41" s="358"/>
    </row>
    <row r="42" spans="1:64" ht="15.75" x14ac:dyDescent="0.25">
      <c r="B42"/>
      <c r="C42"/>
      <c r="D42"/>
      <c r="E42"/>
      <c r="F42"/>
      <c r="G42"/>
      <c r="H42"/>
      <c r="I42"/>
      <c r="J42"/>
      <c r="K42"/>
      <c r="L42"/>
      <c r="M42"/>
      <c r="N42"/>
      <c r="O42"/>
      <c r="P42"/>
      <c r="Q42"/>
      <c r="R42"/>
      <c r="S42"/>
      <c r="T42"/>
      <c r="U42"/>
      <c r="V42"/>
      <c r="W42"/>
      <c r="X42" s="81"/>
      <c r="AC42" s="411" t="s">
        <v>2657</v>
      </c>
      <c r="AD42" s="62"/>
      <c r="AE42" s="62"/>
      <c r="AF42" s="62"/>
      <c r="AG42" s="62"/>
      <c r="AH42" s="62"/>
      <c r="AI42" s="344"/>
      <c r="AJ42" s="236" t="s">
        <v>231</v>
      </c>
      <c r="AK42" s="237">
        <f>SUM(AK36:AK41)</f>
        <v>1405601</v>
      </c>
      <c r="AL42" s="256">
        <f>SUM(AL36:AL41)</f>
        <v>1</v>
      </c>
      <c r="AM42" s="237">
        <f>SUM(AM36:AM41)</f>
        <v>1342292</v>
      </c>
      <c r="AN42" s="256">
        <f>SUM(AN36:AN41)</f>
        <v>1</v>
      </c>
      <c r="AO42" s="344"/>
      <c r="AP42" s="344"/>
      <c r="AQ42" s="324" t="s">
        <v>120</v>
      </c>
      <c r="AR42" s="62">
        <v>4745</v>
      </c>
      <c r="AS42" s="62">
        <v>9519</v>
      </c>
      <c r="AT42" s="62">
        <v>15027</v>
      </c>
      <c r="AU42" s="62">
        <v>19855</v>
      </c>
      <c r="AV42" s="389">
        <v>25366</v>
      </c>
      <c r="AW42" s="389">
        <v>33124</v>
      </c>
      <c r="AX42" s="395">
        <v>40841</v>
      </c>
      <c r="BA42" s="386" t="s">
        <v>648</v>
      </c>
      <c r="BB42" s="62">
        <v>223554.51907881928</v>
      </c>
      <c r="BC42" s="447" t="s">
        <v>644</v>
      </c>
      <c r="BD42" s="344" t="s">
        <v>518</v>
      </c>
      <c r="BE42" s="344">
        <v>2.44</v>
      </c>
      <c r="BF42" s="344"/>
      <c r="BG42" s="344"/>
      <c r="BH42" s="344"/>
      <c r="BI42" s="344"/>
      <c r="BJ42" s="344"/>
      <c r="BK42" s="344"/>
      <c r="BL42" s="358"/>
    </row>
    <row r="43" spans="1:64" ht="16.5" thickBot="1" x14ac:dyDescent="0.3">
      <c r="B43" s="732" t="s">
        <v>170</v>
      </c>
      <c r="C43" s="732"/>
      <c r="D43" s="732"/>
      <c r="E43" s="732"/>
      <c r="F43" s="732"/>
      <c r="G43" s="732"/>
      <c r="H43" s="732"/>
      <c r="I43" s="732"/>
      <c r="J43" s="732"/>
      <c r="K43" s="732"/>
      <c r="L43" s="732"/>
      <c r="M43" s="732"/>
      <c r="N43" s="732"/>
      <c r="O43" s="732"/>
      <c r="P43" s="732"/>
      <c r="Q43" s="732"/>
      <c r="R43" s="732"/>
      <c r="S43" s="732"/>
      <c r="T43" s="732"/>
      <c r="U43" s="732"/>
      <c r="V43" s="732"/>
      <c r="W43" s="732"/>
      <c r="AC43" s="382" t="s">
        <v>2658</v>
      </c>
      <c r="AD43" s="305" t="s">
        <v>2667</v>
      </c>
      <c r="AE43" s="305" t="s">
        <v>2668</v>
      </c>
      <c r="AF43" s="305" t="s">
        <v>2669</v>
      </c>
      <c r="AG43" s="305" t="s">
        <v>2959</v>
      </c>
      <c r="AH43" s="62"/>
      <c r="AI43" s="344"/>
      <c r="AJ43" s="344"/>
      <c r="AK43" s="344"/>
      <c r="AL43" s="344"/>
      <c r="AM43" s="344"/>
      <c r="AN43" s="344"/>
      <c r="AO43" s="344"/>
      <c r="AP43" s="344"/>
      <c r="AQ43" s="324" t="s">
        <v>121</v>
      </c>
      <c r="AR43" s="62">
        <v>49844</v>
      </c>
      <c r="AS43" s="62">
        <v>53072</v>
      </c>
      <c r="AT43" s="62">
        <v>57518</v>
      </c>
      <c r="AU43" s="62">
        <v>62479</v>
      </c>
      <c r="AV43" s="62">
        <v>65277</v>
      </c>
      <c r="AW43" s="62">
        <v>66128</v>
      </c>
      <c r="AX43" s="395">
        <v>67249</v>
      </c>
      <c r="BA43" s="386" t="s">
        <v>663</v>
      </c>
      <c r="BB43" s="62">
        <v>300000</v>
      </c>
      <c r="BC43" s="447" t="s">
        <v>649</v>
      </c>
      <c r="BD43" s="344" t="s">
        <v>240</v>
      </c>
      <c r="BE43" s="344">
        <v>1.49</v>
      </c>
      <c r="BF43" s="344"/>
      <c r="BG43" s="344"/>
      <c r="BH43" s="344"/>
      <c r="BI43" s="344"/>
      <c r="BJ43" s="344"/>
      <c r="BK43" s="344"/>
      <c r="BL43" s="358"/>
    </row>
    <row r="44" spans="1:64" ht="17.25" thickTop="1" thickBot="1" x14ac:dyDescent="0.3">
      <c r="B44" s="706"/>
      <c r="C44" s="707">
        <v>2000</v>
      </c>
      <c r="D44" s="708">
        <v>2001</v>
      </c>
      <c r="E44" s="708">
        <v>2002</v>
      </c>
      <c r="F44" s="708">
        <v>2003</v>
      </c>
      <c r="G44" s="708">
        <v>2004</v>
      </c>
      <c r="H44" s="708">
        <v>2005</v>
      </c>
      <c r="I44" s="708">
        <v>2006</v>
      </c>
      <c r="J44" s="708">
        <v>2007</v>
      </c>
      <c r="K44" s="708">
        <v>2008</v>
      </c>
      <c r="L44" s="708">
        <v>2009</v>
      </c>
      <c r="M44" s="708">
        <v>2010</v>
      </c>
      <c r="N44" s="708">
        <v>2011</v>
      </c>
      <c r="O44" s="708">
        <v>2012</v>
      </c>
      <c r="P44" s="708">
        <v>2013</v>
      </c>
      <c r="Q44" s="708">
        <v>2014</v>
      </c>
      <c r="R44" s="708">
        <v>2015</v>
      </c>
      <c r="S44" s="708">
        <v>2016</v>
      </c>
      <c r="T44" s="708">
        <v>2017</v>
      </c>
      <c r="U44" s="708">
        <v>2018</v>
      </c>
      <c r="V44" s="708">
        <v>2019</v>
      </c>
      <c r="W44" s="708">
        <v>2020</v>
      </c>
      <c r="X44" s="10">
        <v>2021</v>
      </c>
      <c r="AC44" s="386" t="s">
        <v>2659</v>
      </c>
      <c r="AD44" s="62">
        <v>1196239</v>
      </c>
      <c r="AE44" s="109">
        <f>AD44/$AD$52</f>
        <v>0.73619419335145142</v>
      </c>
      <c r="AF44" s="62"/>
      <c r="AG44" s="62"/>
      <c r="AH44" s="62"/>
      <c r="AI44" s="344"/>
      <c r="AJ44" s="154" t="s">
        <v>1186</v>
      </c>
      <c r="AK44" s="26"/>
      <c r="AL44" s="26"/>
      <c r="AM44" s="26"/>
      <c r="AN44" s="26"/>
      <c r="AO44" s="344"/>
      <c r="AP44" s="344"/>
      <c r="AQ44" s="324" t="s">
        <v>122</v>
      </c>
      <c r="AR44" s="62">
        <v>6825</v>
      </c>
      <c r="AS44" s="62">
        <v>11690</v>
      </c>
      <c r="AT44" s="62">
        <v>14510</v>
      </c>
      <c r="AU44" s="62">
        <v>15875</v>
      </c>
      <c r="AV44" s="389">
        <v>16356</v>
      </c>
      <c r="AW44" s="389">
        <v>16209</v>
      </c>
      <c r="AX44" s="395">
        <v>15606</v>
      </c>
      <c r="BA44" s="386" t="s">
        <v>660</v>
      </c>
      <c r="BB44" s="62">
        <v>500000</v>
      </c>
      <c r="BC44" s="451" t="s">
        <v>652</v>
      </c>
      <c r="BD44" s="344" t="s">
        <v>33</v>
      </c>
      <c r="BE44" s="344">
        <v>1.2</v>
      </c>
      <c r="BF44" s="344"/>
      <c r="BG44" s="344"/>
      <c r="BH44" s="344"/>
      <c r="BI44" s="344"/>
      <c r="BJ44" s="344"/>
      <c r="BK44" s="344"/>
      <c r="BL44" s="358"/>
    </row>
    <row r="45" spans="1:64" ht="16.5" thickTop="1" thickBot="1" x14ac:dyDescent="0.3">
      <c r="A45" s="3" t="s">
        <v>10</v>
      </c>
      <c r="B45" s="161" t="s">
        <v>10</v>
      </c>
      <c r="C45" s="704">
        <v>257.62714799999998</v>
      </c>
      <c r="D45" s="704">
        <v>254.02398199999999</v>
      </c>
      <c r="E45" s="704">
        <v>261.16594900000001</v>
      </c>
      <c r="F45" s="704">
        <v>258.23328299999997</v>
      </c>
      <c r="G45" s="704">
        <v>261.53869600000002</v>
      </c>
      <c r="H45" s="704">
        <v>263.710172</v>
      </c>
      <c r="I45" s="704">
        <v>255.001555</v>
      </c>
      <c r="J45" s="704">
        <v>256.04532</v>
      </c>
      <c r="K45" s="704">
        <v>250.38401999999999</v>
      </c>
      <c r="L45" s="704">
        <v>255.37239099999999</v>
      </c>
      <c r="M45" s="704">
        <v>254.084461</v>
      </c>
      <c r="N45" s="704">
        <v>245.61456000000001</v>
      </c>
      <c r="O45" s="704">
        <v>227.094289</v>
      </c>
      <c r="P45" s="704">
        <v>236.21428800000001</v>
      </c>
      <c r="Q45" s="704">
        <v>224.88364200000001</v>
      </c>
      <c r="R45" s="704">
        <v>222.895231</v>
      </c>
      <c r="S45" s="704">
        <v>218.58794399999999</v>
      </c>
      <c r="T45" s="704">
        <v>209.22973300000001</v>
      </c>
      <c r="U45" s="704">
        <v>205.93405200000001</v>
      </c>
      <c r="V45" s="704">
        <v>204.62799999999999</v>
      </c>
      <c r="W45" s="704">
        <v>155.41482400000001</v>
      </c>
      <c r="X45" s="4">
        <f>SUM(X46:X50)</f>
        <v>143.287462</v>
      </c>
      <c r="AC45" s="386" t="s">
        <v>2660</v>
      </c>
      <c r="AD45" s="62">
        <v>174897</v>
      </c>
      <c r="AE45" s="109">
        <f t="shared" ref="AE45:AE51" si="7">AD45/$AD$52</f>
        <v>0.10763581176887628</v>
      </c>
      <c r="AF45" s="109">
        <f>AD45/SUM($AD$45:$AD$50)</f>
        <v>0.64368048757149066</v>
      </c>
      <c r="AG45" s="62">
        <f>AVERAGEIF('Autonomie 2023 MHDV'!F:F, "=2", 'Autonomie 2023 MHDV'!I:I)</f>
        <v>840</v>
      </c>
      <c r="AH45" s="62"/>
      <c r="AI45" s="344"/>
      <c r="AJ45" s="83" t="s">
        <v>1027</v>
      </c>
      <c r="AK45" s="83" t="s">
        <v>1189</v>
      </c>
      <c r="AL45" s="83" t="s">
        <v>1190</v>
      </c>
      <c r="AM45" s="344"/>
      <c r="AN45" s="344"/>
      <c r="AO45" s="344"/>
      <c r="AP45" s="344"/>
      <c r="AQ45" s="324" t="s">
        <v>616</v>
      </c>
      <c r="AR45" s="62">
        <v>18</v>
      </c>
      <c r="AS45" s="62">
        <v>14</v>
      </c>
      <c r="AT45" s="62">
        <v>13</v>
      </c>
      <c r="AU45" s="62">
        <v>14</v>
      </c>
      <c r="AV45" s="62">
        <v>14</v>
      </c>
      <c r="AW45" s="62">
        <v>9</v>
      </c>
      <c r="AX45" s="393">
        <v>7</v>
      </c>
      <c r="BA45" s="386" t="s">
        <v>664</v>
      </c>
      <c r="BB45" s="62">
        <v>1000000</v>
      </c>
      <c r="BC45" s="447" t="s">
        <v>649</v>
      </c>
      <c r="BD45" s="344" t="s">
        <v>226</v>
      </c>
      <c r="BE45" s="344">
        <v>7.5</v>
      </c>
      <c r="BF45" s="344"/>
      <c r="BG45" s="344"/>
      <c r="BH45" s="344"/>
      <c r="BI45" s="344"/>
      <c r="BJ45" s="344"/>
      <c r="BK45" s="344"/>
      <c r="BL45" s="358"/>
    </row>
    <row r="46" spans="1:64" ht="15.75" thickTop="1" x14ac:dyDescent="0.25">
      <c r="A46" s="3" t="s">
        <v>2792</v>
      </c>
      <c r="B46" s="173" t="s">
        <v>11</v>
      </c>
      <c r="C46" s="20">
        <v>0.71005300000000005</v>
      </c>
      <c r="D46" s="20">
        <v>0.80409200000000003</v>
      </c>
      <c r="E46" s="20">
        <v>0.70510799999999996</v>
      </c>
      <c r="F46" s="20">
        <v>0.72248699999999999</v>
      </c>
      <c r="G46" s="20">
        <v>0.77735200000000004</v>
      </c>
      <c r="H46" s="20">
        <v>0.91519600000000001</v>
      </c>
      <c r="I46" s="20">
        <v>0.99383999999999995</v>
      </c>
      <c r="J46" s="20">
        <v>0.90828200000000003</v>
      </c>
      <c r="K46" s="20">
        <v>0.90307000000000004</v>
      </c>
      <c r="L46" s="20">
        <v>0.71857199999999999</v>
      </c>
      <c r="M46" s="20">
        <v>0.71731999999999996</v>
      </c>
      <c r="N46" s="20">
        <v>0.45146700000000001</v>
      </c>
      <c r="O46" s="20">
        <v>0.29967199999999999</v>
      </c>
      <c r="P46" s="20">
        <v>0.182976</v>
      </c>
      <c r="Q46" s="20">
        <v>0.20999699999999999</v>
      </c>
      <c r="R46" s="20">
        <v>0.119144</v>
      </c>
      <c r="S46" s="20">
        <v>7.4174000000000004E-2</v>
      </c>
      <c r="T46" s="20">
        <v>5.2304999999999997E-2</v>
      </c>
      <c r="U46" s="20">
        <v>4.5003000000000001E-2</v>
      </c>
      <c r="V46" s="20">
        <v>2.6175E-2</v>
      </c>
      <c r="W46" s="20">
        <v>1.7205999999999999E-2</v>
      </c>
      <c r="X46" s="20">
        <v>1.1521E-2</v>
      </c>
      <c r="AC46" s="386" t="s">
        <v>2661</v>
      </c>
      <c r="AD46" s="62">
        <v>16033</v>
      </c>
      <c r="AE46" s="109">
        <f t="shared" si="7"/>
        <v>9.8670930324156123E-3</v>
      </c>
      <c r="AF46" s="109">
        <f t="shared" ref="AF46:AF50" si="8">AD46/SUM($AD$45:$AD$50)</f>
        <v>5.9006896957830658E-2</v>
      </c>
      <c r="AG46" s="62">
        <f>AVERAGEIF('Autonomie 2023 MHDV'!F:F, "=3", 'Autonomie 2023 MHDV'!I:I)</f>
        <v>1080</v>
      </c>
      <c r="AH46" s="62"/>
      <c r="AI46" s="344"/>
      <c r="AJ46" s="26" t="s">
        <v>1036</v>
      </c>
      <c r="AK46" s="44">
        <f>SUM(AK47:AK51)</f>
        <v>20954</v>
      </c>
      <c r="AL46" s="109"/>
      <c r="AM46" s="344"/>
      <c r="AN46" s="344"/>
      <c r="AO46" s="344"/>
      <c r="AP46" s="344"/>
      <c r="AQ46" s="226" t="s">
        <v>617</v>
      </c>
      <c r="AR46" s="378">
        <v>2540480</v>
      </c>
      <c r="AS46" s="378">
        <v>2751874</v>
      </c>
      <c r="AT46" s="378">
        <v>2962955</v>
      </c>
      <c r="AU46" s="378">
        <v>3188628</v>
      </c>
      <c r="AV46" s="378">
        <v>3357593</v>
      </c>
      <c r="AW46" s="401">
        <v>3323486</v>
      </c>
      <c r="AX46" s="392">
        <v>3335576</v>
      </c>
      <c r="BA46" s="386"/>
      <c r="BB46" s="344"/>
      <c r="BC46" s="344"/>
      <c r="BD46" s="344" t="s">
        <v>519</v>
      </c>
      <c r="BE46" s="344">
        <v>120.4</v>
      </c>
      <c r="BF46" s="344"/>
      <c r="BG46" s="344"/>
      <c r="BH46" s="344"/>
      <c r="BI46" s="344"/>
      <c r="BJ46" s="344"/>
      <c r="BK46" s="344"/>
      <c r="BL46" s="358"/>
    </row>
    <row r="47" spans="1:64" ht="15.75" x14ac:dyDescent="0.25">
      <c r="A47" s="3" t="s">
        <v>2793</v>
      </c>
      <c r="B47" s="173" t="s">
        <v>12</v>
      </c>
      <c r="C47" s="20">
        <v>253.85424599999999</v>
      </c>
      <c r="D47" s="20">
        <v>249.88754800000001</v>
      </c>
      <c r="E47" s="20">
        <v>257.98242199999999</v>
      </c>
      <c r="F47" s="20">
        <v>254.72403</v>
      </c>
      <c r="G47" s="20">
        <v>257.64500500000003</v>
      </c>
      <c r="H47" s="20">
        <v>259.52982300000002</v>
      </c>
      <c r="I47" s="20">
        <v>249.76953599999999</v>
      </c>
      <c r="J47" s="20">
        <v>241.600762</v>
      </c>
      <c r="K47" s="20">
        <v>234.09385900000001</v>
      </c>
      <c r="L47" s="20">
        <v>239.48666800000001</v>
      </c>
      <c r="M47" s="20">
        <v>237.044983</v>
      </c>
      <c r="N47" s="20">
        <v>226.812805</v>
      </c>
      <c r="O47" s="20">
        <v>207.790212</v>
      </c>
      <c r="P47" s="20">
        <v>217.84530699999999</v>
      </c>
      <c r="Q47" s="20">
        <v>206.45838699999999</v>
      </c>
      <c r="R47" s="20">
        <v>217.04787400000001</v>
      </c>
      <c r="S47" s="20">
        <v>212.33554599999999</v>
      </c>
      <c r="T47" s="20">
        <v>203.15959100000001</v>
      </c>
      <c r="U47" s="20">
        <v>200.510682</v>
      </c>
      <c r="V47" s="20">
        <v>199.96123</v>
      </c>
      <c r="W47" s="20">
        <v>142.525363</v>
      </c>
      <c r="X47" s="3">
        <v>138.81706700000001</v>
      </c>
      <c r="AC47" s="386" t="s">
        <v>2662</v>
      </c>
      <c r="AD47" s="62">
        <v>12646</v>
      </c>
      <c r="AE47" s="109">
        <f t="shared" si="7"/>
        <v>7.7826519358777423E-3</v>
      </c>
      <c r="AF47" s="109">
        <f t="shared" si="8"/>
        <v>4.6541584165703642E-2</v>
      </c>
      <c r="AG47" s="62">
        <f>AVERAGEIF('Autonomie 2023 MHDV'!F:F, "=4", 'Autonomie 2023 MHDV'!I:I)</f>
        <v>1650</v>
      </c>
      <c r="AH47" s="62"/>
      <c r="AI47" s="344"/>
      <c r="AJ47" s="15" t="s">
        <v>1030</v>
      </c>
      <c r="AK47" s="62">
        <v>7134</v>
      </c>
      <c r="AL47" s="109">
        <f>AK47/$AK$46</f>
        <v>0.34046005535935858</v>
      </c>
      <c r="AM47" s="344"/>
      <c r="AN47" s="344"/>
      <c r="AO47" s="344"/>
      <c r="AP47" s="344"/>
      <c r="AQ47" s="324" t="s">
        <v>97</v>
      </c>
      <c r="AR47" s="62">
        <v>2477402</v>
      </c>
      <c r="AS47" s="62">
        <v>2682444</v>
      </c>
      <c r="AT47" s="62">
        <v>2886404</v>
      </c>
      <c r="AU47" s="62">
        <v>3101544</v>
      </c>
      <c r="AV47" s="62">
        <v>3248629</v>
      </c>
      <c r="AW47" s="62">
        <v>3189890</v>
      </c>
      <c r="AX47" s="395">
        <v>3156680</v>
      </c>
      <c r="BA47" s="367" t="s">
        <v>653</v>
      </c>
      <c r="BB47" s="344"/>
      <c r="BC47" s="344"/>
      <c r="BD47" s="344" t="s">
        <v>520</v>
      </c>
      <c r="BE47" s="344">
        <v>23.2</v>
      </c>
      <c r="BF47" s="344"/>
      <c r="BG47" s="344"/>
      <c r="BH47" s="344"/>
      <c r="BI47" s="344"/>
      <c r="BJ47" s="344"/>
      <c r="BK47" s="344"/>
      <c r="BL47" s="358"/>
    </row>
    <row r="48" spans="1:64" ht="15.75" thickBot="1" x14ac:dyDescent="0.3">
      <c r="A48" s="3" t="s">
        <v>2794</v>
      </c>
      <c r="B48" s="173" t="s">
        <v>13</v>
      </c>
      <c r="C48" s="20">
        <v>1.136908</v>
      </c>
      <c r="D48" s="20">
        <v>1.247574</v>
      </c>
      <c r="E48" s="20">
        <v>1.3942030000000001</v>
      </c>
      <c r="F48" s="20">
        <v>1.592697</v>
      </c>
      <c r="G48" s="20">
        <v>1.78278</v>
      </c>
      <c r="H48" s="20">
        <v>2.1514869999999999</v>
      </c>
      <c r="I48" s="20">
        <v>2.194137</v>
      </c>
      <c r="J48" s="20">
        <v>2.1455630000000001</v>
      </c>
      <c r="K48" s="20">
        <v>1.9343680000000001</v>
      </c>
      <c r="L48" s="20">
        <v>2.2190910000000001</v>
      </c>
      <c r="M48" s="20">
        <v>2.5427770000000001</v>
      </c>
      <c r="N48" s="20">
        <v>2.878374</v>
      </c>
      <c r="O48" s="20">
        <v>3.090973</v>
      </c>
      <c r="P48" s="20">
        <v>3.3011949999999999</v>
      </c>
      <c r="Q48" s="20">
        <v>3.4220969999999999</v>
      </c>
      <c r="R48" s="20">
        <v>3.453865</v>
      </c>
      <c r="S48" s="20">
        <v>3.0283570000000002</v>
      </c>
      <c r="T48" s="20">
        <v>3.074144</v>
      </c>
      <c r="U48" s="20">
        <v>3.2507959999999998</v>
      </c>
      <c r="V48" s="20">
        <v>2.4924759999999999</v>
      </c>
      <c r="W48" s="20">
        <v>1.9682459999999999</v>
      </c>
      <c r="X48" s="3">
        <v>1.7844230000000001</v>
      </c>
      <c r="AC48" s="386" t="s">
        <v>2663</v>
      </c>
      <c r="AD48" s="62">
        <v>7758</v>
      </c>
      <c r="AE48" s="109">
        <f t="shared" si="7"/>
        <v>4.7744594115561858E-3</v>
      </c>
      <c r="AF48" s="109">
        <f t="shared" si="8"/>
        <v>2.8552080496404307E-2</v>
      </c>
      <c r="AG48" s="62">
        <f>AVERAGEIF('Autonomie 2023 MHDV'!F:F, "=5", 'Autonomie 2023 MHDV'!I:I)</f>
        <v>1980</v>
      </c>
      <c r="AH48" s="62"/>
      <c r="AI48" s="344"/>
      <c r="AJ48" s="15" t="s">
        <v>1031</v>
      </c>
      <c r="AK48" s="62">
        <v>1785</v>
      </c>
      <c r="AL48" s="109">
        <f>AK48/$AK$46</f>
        <v>8.5186599217333209E-2</v>
      </c>
      <c r="AM48" s="344"/>
      <c r="AN48" s="344"/>
      <c r="AO48" s="344"/>
      <c r="AP48" s="344"/>
      <c r="AQ48" s="324" t="s">
        <v>96</v>
      </c>
      <c r="AR48" s="62">
        <v>46257</v>
      </c>
      <c r="AS48" s="62">
        <v>46886</v>
      </c>
      <c r="AT48" s="62">
        <v>46699</v>
      </c>
      <c r="AU48" s="62">
        <v>47037</v>
      </c>
      <c r="AV48" s="62">
        <v>45576</v>
      </c>
      <c r="AW48" s="62">
        <v>40367</v>
      </c>
      <c r="AX48" s="395">
        <v>35812</v>
      </c>
      <c r="BA48" s="382" t="s">
        <v>112</v>
      </c>
      <c r="BB48" s="19" t="s">
        <v>657</v>
      </c>
      <c r="BC48" s="19" t="s">
        <v>111</v>
      </c>
      <c r="BD48" s="344" t="s">
        <v>521</v>
      </c>
      <c r="BE48" s="344">
        <v>23.6</v>
      </c>
      <c r="BF48" s="344"/>
      <c r="BG48" s="344"/>
      <c r="BH48" s="344"/>
      <c r="BI48" s="344"/>
      <c r="BJ48" s="344"/>
      <c r="BK48" s="344"/>
      <c r="BL48" s="358"/>
    </row>
    <row r="49" spans="1:64" ht="15.75" thickTop="1" x14ac:dyDescent="0.25">
      <c r="A49" s="3" t="s">
        <v>2795</v>
      </c>
      <c r="B49" s="173" t="s">
        <v>14</v>
      </c>
      <c r="C49" s="20"/>
      <c r="D49" s="20"/>
      <c r="E49" s="20"/>
      <c r="F49" s="20"/>
      <c r="G49" s="20"/>
      <c r="H49" s="20"/>
      <c r="I49" s="20"/>
      <c r="J49" s="20">
        <v>9.0448640000000005</v>
      </c>
      <c r="K49" s="20">
        <v>10.851527000000001</v>
      </c>
      <c r="L49" s="20">
        <v>10.730774</v>
      </c>
      <c r="M49" s="20">
        <v>11.337617</v>
      </c>
      <c r="N49" s="20">
        <v>12.513906</v>
      </c>
      <c r="O49" s="20">
        <v>12.444720999999999</v>
      </c>
      <c r="P49" s="20">
        <v>12.404036</v>
      </c>
      <c r="Q49" s="20">
        <v>12.555823999999999</v>
      </c>
      <c r="R49" s="20"/>
      <c r="S49" s="20"/>
      <c r="T49" s="20"/>
      <c r="U49" s="20"/>
      <c r="V49" s="20"/>
      <c r="W49" s="20"/>
      <c r="AC49" s="386" t="s">
        <v>2664</v>
      </c>
      <c r="AD49" s="62">
        <v>54578</v>
      </c>
      <c r="AE49" s="109">
        <f t="shared" si="7"/>
        <v>3.3588611209578949E-2</v>
      </c>
      <c r="AF49" s="109">
        <f t="shared" si="8"/>
        <v>0.20086561605217251</v>
      </c>
      <c r="AG49" s="62">
        <f>AVERAGEIF('Autonomie 2023 MHDV'!F:F, "=6", 'Autonomie 2023 MHDV'!I:I)</f>
        <v>2600</v>
      </c>
      <c r="AH49" s="62"/>
      <c r="AI49" s="344"/>
      <c r="AJ49" s="15" t="s">
        <v>1032</v>
      </c>
      <c r="AK49" s="62">
        <v>6276</v>
      </c>
      <c r="AL49" s="109">
        <f>AK49/$AK$46</f>
        <v>0.29951321943304382</v>
      </c>
      <c r="AM49" s="344"/>
      <c r="AN49" s="344"/>
      <c r="AO49" s="344"/>
      <c r="AP49" s="344"/>
      <c r="AQ49" s="324" t="s">
        <v>120</v>
      </c>
      <c r="AR49" s="62">
        <v>1039</v>
      </c>
      <c r="AS49" s="62">
        <v>2026</v>
      </c>
      <c r="AT49" s="62">
        <v>3010</v>
      </c>
      <c r="AU49" s="62">
        <v>4704</v>
      </c>
      <c r="AV49" s="389">
        <v>10564</v>
      </c>
      <c r="AW49" s="389">
        <v>21373</v>
      </c>
      <c r="AX49" s="395">
        <v>41019</v>
      </c>
      <c r="BA49" s="386" t="s">
        <v>654</v>
      </c>
      <c r="BB49" s="62">
        <f>17071*km_mile</f>
        <v>27473.043140000002</v>
      </c>
      <c r="BC49" s="447" t="s">
        <v>656</v>
      </c>
      <c r="BD49" s="344" t="s">
        <v>522</v>
      </c>
      <c r="BE49" s="344">
        <v>33.9</v>
      </c>
      <c r="BF49" s="344"/>
      <c r="BG49" s="344"/>
      <c r="BH49" s="344"/>
      <c r="BI49" s="344"/>
      <c r="BJ49" s="344"/>
      <c r="BK49" s="344"/>
      <c r="BL49" s="358"/>
    </row>
    <row r="50" spans="1:64" x14ac:dyDescent="0.25">
      <c r="A50" s="3" t="s">
        <v>2796</v>
      </c>
      <c r="B50" s="173" t="s">
        <v>16</v>
      </c>
      <c r="C50" s="20">
        <v>1.9259409999999999</v>
      </c>
      <c r="D50" s="20">
        <v>2.0847669999999998</v>
      </c>
      <c r="E50" s="20">
        <v>1.0842160000000001</v>
      </c>
      <c r="F50" s="20">
        <v>1.194069</v>
      </c>
      <c r="G50" s="20">
        <v>1.3335589999999999</v>
      </c>
      <c r="H50" s="20">
        <v>1.113666</v>
      </c>
      <c r="I50" s="20">
        <v>2.0440420000000001</v>
      </c>
      <c r="J50" s="20">
        <v>2.3383600000000002</v>
      </c>
      <c r="K50" s="20">
        <v>2.5935990000000002</v>
      </c>
      <c r="L50" s="20">
        <v>2.2133929999999999</v>
      </c>
      <c r="M50" s="20">
        <v>2.4383110000000001</v>
      </c>
      <c r="N50" s="20">
        <v>2.9527580000000002</v>
      </c>
      <c r="O50" s="20">
        <v>3.4663089999999999</v>
      </c>
      <c r="P50" s="20">
        <v>2.477357</v>
      </c>
      <c r="Q50" s="20">
        <v>2.2373379999999998</v>
      </c>
      <c r="R50" s="20">
        <v>2.2638509999999998</v>
      </c>
      <c r="S50" s="20">
        <v>3.131211</v>
      </c>
      <c r="T50" s="20">
        <v>3.110541</v>
      </c>
      <c r="U50" s="20">
        <v>2.2939579999999999</v>
      </c>
      <c r="V50" s="20">
        <v>2.320338</v>
      </c>
      <c r="W50" s="20">
        <v>2.3370570000000002</v>
      </c>
      <c r="X50" s="3">
        <v>2.6744509999999999</v>
      </c>
      <c r="AC50" s="386" t="s">
        <v>2665</v>
      </c>
      <c r="AD50" s="62">
        <v>5802</v>
      </c>
      <c r="AE50" s="109">
        <f t="shared" si="7"/>
        <v>3.5706900626255463E-3</v>
      </c>
      <c r="AF50" s="109">
        <f t="shared" si="8"/>
        <v>2.1353334756398272E-2</v>
      </c>
      <c r="AG50" s="62">
        <f>AVERAGEIF('Autonomie 2023 MHDV'!F:F, "=7", 'Autonomie 2023 MHDV'!I:I)</f>
        <v>3976</v>
      </c>
      <c r="AH50" s="62"/>
      <c r="AI50" s="344"/>
      <c r="AJ50" s="15" t="s">
        <v>1033</v>
      </c>
      <c r="AK50" s="62">
        <v>858</v>
      </c>
      <c r="AL50" s="109">
        <f>AK50/$AK$46</f>
        <v>4.0946835926314783E-2</v>
      </c>
      <c r="AM50" s="344"/>
      <c r="AN50" s="344"/>
      <c r="AO50" s="344"/>
      <c r="AP50" s="344"/>
      <c r="AQ50" s="324" t="s">
        <v>121</v>
      </c>
      <c r="AR50" s="62">
        <v>15062</v>
      </c>
      <c r="AS50" s="62">
        <v>18550</v>
      </c>
      <c r="AT50" s="62">
        <v>23481</v>
      </c>
      <c r="AU50" s="62">
        <v>30997</v>
      </c>
      <c r="AV50" s="62">
        <v>46344</v>
      </c>
      <c r="AW50" s="62">
        <v>62042</v>
      </c>
      <c r="AX50" s="395">
        <v>87100</v>
      </c>
      <c r="BA50" s="386" t="s">
        <v>655</v>
      </c>
      <c r="BB50" s="62">
        <f>18074*km_mile</f>
        <v>29087.211159999999</v>
      </c>
      <c r="BC50" s="447" t="s">
        <v>656</v>
      </c>
      <c r="BD50" s="344"/>
      <c r="BE50" s="344"/>
      <c r="BF50" s="344"/>
      <c r="BG50" s="344"/>
      <c r="BH50" s="344"/>
      <c r="BI50" s="344"/>
      <c r="BJ50" s="344"/>
      <c r="BK50" s="344"/>
      <c r="BL50" s="358"/>
    </row>
    <row r="51" spans="1:64" ht="14.45" customHeight="1" x14ac:dyDescent="0.25">
      <c r="A51" s="3" t="s">
        <v>23</v>
      </c>
      <c r="B51" s="714" t="s">
        <v>23</v>
      </c>
      <c r="C51" s="715">
        <v>131.740621</v>
      </c>
      <c r="D51" s="715">
        <v>132.63926699999999</v>
      </c>
      <c r="E51" s="715">
        <v>141.34574599999999</v>
      </c>
      <c r="F51" s="715">
        <v>146.20509300000001</v>
      </c>
      <c r="G51" s="715">
        <v>154.545828</v>
      </c>
      <c r="H51" s="715">
        <v>163.04723000000001</v>
      </c>
      <c r="I51" s="715">
        <v>161.75552400000001</v>
      </c>
      <c r="J51" s="715">
        <v>167.04442599999999</v>
      </c>
      <c r="K51" s="715">
        <v>168.04008400000001</v>
      </c>
      <c r="L51" s="715">
        <v>177.52313100000001</v>
      </c>
      <c r="M51" s="715">
        <v>185.44838799999999</v>
      </c>
      <c r="N51" s="715">
        <v>188.46460999999999</v>
      </c>
      <c r="O51" s="715">
        <v>178.908143</v>
      </c>
      <c r="P51" s="715">
        <v>194.624728</v>
      </c>
      <c r="Q51" s="715">
        <v>193.26077799999999</v>
      </c>
      <c r="R51" s="715">
        <v>201.10341199999999</v>
      </c>
      <c r="S51" s="715">
        <v>212.82844600000001</v>
      </c>
      <c r="T51" s="715">
        <v>217.63271800000001</v>
      </c>
      <c r="U51" s="715">
        <v>230.301592</v>
      </c>
      <c r="V51" s="715">
        <v>240.92600999999999</v>
      </c>
      <c r="W51" s="715">
        <v>196.402682</v>
      </c>
      <c r="X51" s="5">
        <f>SUM(X52:X55)</f>
        <v>190.20427100000001</v>
      </c>
      <c r="AC51" s="386" t="s">
        <v>2670</v>
      </c>
      <c r="AD51" s="62">
        <v>156943</v>
      </c>
      <c r="AE51" s="109">
        <f t="shared" si="7"/>
        <v>9.6586489227618255E-2</v>
      </c>
      <c r="AF51" s="109"/>
      <c r="AG51" s="62"/>
      <c r="AH51" s="62"/>
      <c r="AI51" s="344"/>
      <c r="AJ51" s="15" t="s">
        <v>1034</v>
      </c>
      <c r="AK51" s="62">
        <v>4901</v>
      </c>
      <c r="AL51" s="109">
        <f>AK51/$AK$46</f>
        <v>0.2338932900639496</v>
      </c>
      <c r="AM51" s="344"/>
      <c r="AN51" s="344"/>
      <c r="AO51" s="344"/>
      <c r="AP51" s="344"/>
      <c r="AQ51" s="324" t="s">
        <v>122</v>
      </c>
      <c r="AR51" s="62">
        <v>716</v>
      </c>
      <c r="AS51" s="62">
        <v>1964</v>
      </c>
      <c r="AT51" s="62">
        <v>3358</v>
      </c>
      <c r="AU51" s="62">
        <v>4342</v>
      </c>
      <c r="AV51" s="389">
        <v>6475</v>
      </c>
      <c r="AW51" s="389">
        <v>9810</v>
      </c>
      <c r="AX51" s="395">
        <v>14962</v>
      </c>
      <c r="BA51" s="386" t="s">
        <v>658</v>
      </c>
      <c r="BB51" s="62">
        <f>19419*km_mile</f>
        <v>31251.77346</v>
      </c>
      <c r="BC51" s="447" t="s">
        <v>656</v>
      </c>
      <c r="BD51" s="344"/>
      <c r="BE51" s="344"/>
      <c r="BF51" s="344"/>
      <c r="BG51" s="344"/>
      <c r="BH51" s="344"/>
      <c r="BI51" s="344"/>
      <c r="BJ51" s="344"/>
      <c r="BK51" s="344"/>
      <c r="BL51" s="358"/>
    </row>
    <row r="52" spans="1:64" ht="15.75" thickBot="1" x14ac:dyDescent="0.3">
      <c r="A52" s="3" t="s">
        <v>2797</v>
      </c>
      <c r="B52" s="176" t="s">
        <v>12</v>
      </c>
      <c r="C52" s="20">
        <v>129.87940699999999</v>
      </c>
      <c r="D52" s="20">
        <v>130.78796299999999</v>
      </c>
      <c r="E52" s="20">
        <v>139.704463</v>
      </c>
      <c r="F52" s="20">
        <v>144.48665800000001</v>
      </c>
      <c r="G52" s="20">
        <v>152.72698600000001</v>
      </c>
      <c r="H52" s="20">
        <v>160.960612</v>
      </c>
      <c r="I52" s="20">
        <v>160.773833</v>
      </c>
      <c r="J52" s="20">
        <v>160.021942</v>
      </c>
      <c r="K52" s="20">
        <v>159.49554900000001</v>
      </c>
      <c r="L52" s="20">
        <v>168.76497900000001</v>
      </c>
      <c r="M52" s="20">
        <v>175.662688</v>
      </c>
      <c r="N52" s="20">
        <v>177.037588</v>
      </c>
      <c r="O52" s="20">
        <v>167.02663699999999</v>
      </c>
      <c r="P52" s="20">
        <v>182.370034</v>
      </c>
      <c r="Q52" s="20">
        <v>180.17322200000001</v>
      </c>
      <c r="R52" s="20">
        <v>198.482833</v>
      </c>
      <c r="S52" s="20">
        <v>209.75181599999999</v>
      </c>
      <c r="T52" s="20">
        <v>214.501115</v>
      </c>
      <c r="U52" s="20">
        <v>226.806219</v>
      </c>
      <c r="V52" s="20">
        <v>237.46653599999999</v>
      </c>
      <c r="W52" s="20">
        <v>182.30421200000001</v>
      </c>
      <c r="X52" s="3">
        <v>186.466092</v>
      </c>
      <c r="AC52" s="424" t="s">
        <v>231</v>
      </c>
      <c r="AD52" s="237">
        <f>SUM(AD44:AD51)</f>
        <v>1624896</v>
      </c>
      <c r="AE52" s="256">
        <f>SUM(AE44:AE51)</f>
        <v>1</v>
      </c>
      <c r="AF52" s="256">
        <f>SUM(AF44:AF51)</f>
        <v>1.0000000000000002</v>
      </c>
      <c r="AG52" s="765"/>
      <c r="AH52" s="62"/>
      <c r="AI52" s="344"/>
      <c r="AJ52" s="26" t="s">
        <v>1035</v>
      </c>
      <c r="AK52" s="378">
        <v>24599</v>
      </c>
      <c r="AL52"/>
      <c r="AM52" s="344"/>
      <c r="AN52" s="344"/>
      <c r="AO52" s="344"/>
      <c r="AP52" s="344"/>
      <c r="AQ52" s="324" t="s">
        <v>616</v>
      </c>
      <c r="AR52" s="62">
        <v>4</v>
      </c>
      <c r="AS52" s="62">
        <v>4</v>
      </c>
      <c r="AT52" s="62">
        <v>3</v>
      </c>
      <c r="AU52" s="62">
        <v>4</v>
      </c>
      <c r="AV52" s="62">
        <v>5</v>
      </c>
      <c r="AW52" s="62">
        <v>4</v>
      </c>
      <c r="AX52" s="393">
        <v>3</v>
      </c>
      <c r="BA52" s="386" t="s">
        <v>661</v>
      </c>
      <c r="BB52" s="62">
        <f>27375*km_mile</f>
        <v>44055.682500000003</v>
      </c>
      <c r="BC52" s="447" t="s">
        <v>656</v>
      </c>
      <c r="BD52" s="344"/>
      <c r="BE52" s="344"/>
      <c r="BF52" s="344"/>
      <c r="BG52" s="344"/>
      <c r="BH52" s="344"/>
      <c r="BI52" s="344"/>
      <c r="BJ52" s="344"/>
      <c r="BK52" s="344"/>
      <c r="BL52" s="358"/>
    </row>
    <row r="53" spans="1:64" x14ac:dyDescent="0.25">
      <c r="A53" s="3" t="s">
        <v>2798</v>
      </c>
      <c r="B53" s="176" t="s">
        <v>13</v>
      </c>
      <c r="C53" s="20">
        <v>1.4125749999999999</v>
      </c>
      <c r="D53" s="20">
        <v>1.360914</v>
      </c>
      <c r="E53" s="20">
        <v>1.3814599999999999</v>
      </c>
      <c r="F53" s="20">
        <v>1.427988</v>
      </c>
      <c r="G53" s="20">
        <v>1.4925999999999999</v>
      </c>
      <c r="H53" s="20">
        <v>1.8129679999999999</v>
      </c>
      <c r="I53" s="20">
        <v>0.44098700000000002</v>
      </c>
      <c r="J53" s="20">
        <v>0.42330099999999998</v>
      </c>
      <c r="K53" s="20">
        <v>0.50356500000000004</v>
      </c>
      <c r="L53" s="20">
        <v>0.67069199999999995</v>
      </c>
      <c r="M53" s="20">
        <v>0.81631399999999998</v>
      </c>
      <c r="N53" s="20">
        <v>0.97638499999999995</v>
      </c>
      <c r="O53" s="20">
        <v>1.082058</v>
      </c>
      <c r="P53" s="20">
        <v>1.305531</v>
      </c>
      <c r="Q53" s="20">
        <v>1.625346</v>
      </c>
      <c r="R53" s="20">
        <v>2.106309</v>
      </c>
      <c r="S53" s="20">
        <v>2.3608030000000002</v>
      </c>
      <c r="T53" s="20">
        <v>2.6244290000000001</v>
      </c>
      <c r="U53" s="20">
        <v>3.1753999999999998</v>
      </c>
      <c r="V53" s="20">
        <v>3.1227520000000002</v>
      </c>
      <c r="W53" s="20">
        <v>3.2170019999999999</v>
      </c>
      <c r="X53" s="3">
        <v>3.1418339999999998</v>
      </c>
      <c r="AC53" s="386"/>
      <c r="AD53" s="62"/>
      <c r="AE53" s="62"/>
      <c r="AF53" s="766" t="s">
        <v>2960</v>
      </c>
      <c r="AG53" s="767">
        <f>SUMPRODUCT(AF45:AF49,AG45:AG49)/SUM(AF45:AF49)</f>
        <v>1287.4885676464389</v>
      </c>
      <c r="AH53" s="62"/>
      <c r="AI53" s="62"/>
      <c r="AJ53" s="62"/>
      <c r="AK53" s="62"/>
      <c r="AL53" s="62"/>
      <c r="AM53" s="62"/>
      <c r="AN53" s="62"/>
      <c r="AO53" s="344"/>
      <c r="AP53" s="109">
        <f>AP56/AL56 - 1</f>
        <v>4.083882336016579</v>
      </c>
      <c r="AQ53" s="226" t="s">
        <v>618</v>
      </c>
      <c r="AR53" s="378">
        <v>1080299</v>
      </c>
      <c r="AS53" s="378">
        <v>1108894</v>
      </c>
      <c r="AT53" s="378">
        <v>1134218</v>
      </c>
      <c r="AU53" s="378">
        <v>1193649</v>
      </c>
      <c r="AV53" s="378">
        <v>1233125</v>
      </c>
      <c r="AW53" s="401">
        <v>1146178</v>
      </c>
      <c r="AX53" s="392">
        <v>1118047</v>
      </c>
      <c r="BA53" s="386" t="s">
        <v>659</v>
      </c>
      <c r="BB53" s="62">
        <f>45000*km_mile</f>
        <v>72420.3</v>
      </c>
      <c r="BC53" s="447" t="s">
        <v>656</v>
      </c>
      <c r="BD53" s="344"/>
      <c r="BE53" s="344"/>
      <c r="BF53" s="344"/>
      <c r="BG53" s="344"/>
      <c r="BH53" s="344"/>
      <c r="BI53" s="344"/>
      <c r="BJ53" s="344"/>
      <c r="BK53" s="344"/>
      <c r="BL53" s="358"/>
    </row>
    <row r="54" spans="1:64" x14ac:dyDescent="0.25">
      <c r="A54" s="3" t="s">
        <v>2799</v>
      </c>
      <c r="B54" s="176" t="s">
        <v>14</v>
      </c>
      <c r="C54" s="716"/>
      <c r="D54" s="716"/>
      <c r="E54" s="716"/>
      <c r="F54" s="716"/>
      <c r="G54" s="716"/>
      <c r="H54" s="716"/>
      <c r="I54" s="716"/>
      <c r="J54" s="717">
        <v>5.9907789999999999</v>
      </c>
      <c r="K54" s="717">
        <v>7.3934879999999996</v>
      </c>
      <c r="L54" s="717">
        <v>7.5619189999999996</v>
      </c>
      <c r="M54" s="717">
        <v>8.4017649999999993</v>
      </c>
      <c r="N54" s="717">
        <v>9.7676660000000002</v>
      </c>
      <c r="O54" s="717">
        <v>10.003358</v>
      </c>
      <c r="P54" s="717">
        <v>10.384086999999999</v>
      </c>
      <c r="Q54" s="717">
        <v>10.957284</v>
      </c>
      <c r="R54" s="716"/>
      <c r="S54" s="716"/>
      <c r="T54" s="716"/>
      <c r="U54" s="716"/>
      <c r="V54" s="716"/>
      <c r="W54" s="716"/>
      <c r="AC54" s="386"/>
      <c r="AD54" s="62"/>
      <c r="AE54" s="62"/>
      <c r="AF54" s="420" t="s">
        <v>2961</v>
      </c>
      <c r="AG54" s="393">
        <f>SUMPRODUCT(AF45:AF50,AG45:AG50)</f>
        <v>1344.8972522578886</v>
      </c>
      <c r="AH54" s="62"/>
      <c r="AI54" s="62"/>
      <c r="AJ54" s="62"/>
      <c r="AK54" s="62"/>
      <c r="AL54" s="62"/>
      <c r="AM54" s="62"/>
      <c r="AN54" s="62"/>
      <c r="AO54" s="344"/>
      <c r="AP54" s="344"/>
      <c r="AQ54" s="324" t="s">
        <v>97</v>
      </c>
      <c r="AR54" s="62">
        <v>996561</v>
      </c>
      <c r="AS54" s="62">
        <v>1021331</v>
      </c>
      <c r="AT54" s="62">
        <v>1043568</v>
      </c>
      <c r="AU54" s="62">
        <v>1098876</v>
      </c>
      <c r="AV54" s="62">
        <v>1134373</v>
      </c>
      <c r="AW54" s="62">
        <v>1052807</v>
      </c>
      <c r="AX54" s="395">
        <v>1024301</v>
      </c>
      <c r="BA54" s="386" t="s">
        <v>662</v>
      </c>
      <c r="BB54" s="62">
        <f>105907*km_mile</f>
        <v>170440.37138</v>
      </c>
      <c r="BC54" s="447" t="s">
        <v>656</v>
      </c>
      <c r="BD54" s="344"/>
      <c r="BE54" s="344"/>
      <c r="BF54" s="344"/>
      <c r="BG54" s="344"/>
      <c r="BH54" s="344"/>
      <c r="BI54" s="344"/>
      <c r="BJ54" s="344"/>
      <c r="BK54" s="344"/>
      <c r="BL54" s="358"/>
    </row>
    <row r="55" spans="1:64" ht="15.75" thickBot="1" x14ac:dyDescent="0.3">
      <c r="A55" s="3" t="s">
        <v>2800</v>
      </c>
      <c r="B55" s="176" t="s">
        <v>16</v>
      </c>
      <c r="C55" s="20">
        <v>0.44699100000000003</v>
      </c>
      <c r="D55" s="20">
        <v>0.48851299999999998</v>
      </c>
      <c r="E55" s="20">
        <v>0.25771300000000003</v>
      </c>
      <c r="F55" s="20">
        <v>0.28815000000000002</v>
      </c>
      <c r="G55" s="20">
        <v>0.32373800000000003</v>
      </c>
      <c r="H55" s="20">
        <v>0.27066099999999998</v>
      </c>
      <c r="I55" s="20">
        <v>0.53616600000000003</v>
      </c>
      <c r="J55" s="20">
        <v>0.59893300000000005</v>
      </c>
      <c r="K55" s="20">
        <v>0.63738899999999998</v>
      </c>
      <c r="L55" s="20">
        <v>0.519177</v>
      </c>
      <c r="M55" s="20">
        <v>0.56124099999999999</v>
      </c>
      <c r="N55" s="20">
        <v>0.67642000000000002</v>
      </c>
      <c r="O55" s="20">
        <v>0.79226300000000005</v>
      </c>
      <c r="P55" s="20">
        <v>0.56093199999999999</v>
      </c>
      <c r="Q55" s="20">
        <v>0.50307599999999997</v>
      </c>
      <c r="R55" s="20">
        <v>0.50334199999999996</v>
      </c>
      <c r="S55" s="20">
        <v>0.69654000000000005</v>
      </c>
      <c r="T55" s="20">
        <v>0.69611199999999995</v>
      </c>
      <c r="U55" s="20">
        <v>0.515065</v>
      </c>
      <c r="V55" s="20">
        <v>0.52124099999999995</v>
      </c>
      <c r="W55" s="20">
        <v>0.52498999999999996</v>
      </c>
      <c r="X55" s="3">
        <v>0.59634500000000001</v>
      </c>
      <c r="AC55" s="386"/>
      <c r="AD55" s="62"/>
      <c r="AE55" s="62"/>
      <c r="AF55" s="768" t="s">
        <v>2962</v>
      </c>
      <c r="AG55" s="329">
        <f>AG54/AG53</f>
        <v>1.044589665534968</v>
      </c>
      <c r="AH55" s="62"/>
      <c r="AI55" s="62"/>
      <c r="AJ55" s="62"/>
      <c r="AK55" s="62" t="s">
        <v>1150</v>
      </c>
      <c r="AL55" s="109">
        <f>AL60/AL59</f>
        <v>0.94780040674355182</v>
      </c>
      <c r="AM55" s="62"/>
      <c r="AN55" s="62"/>
      <c r="AO55" s="37"/>
      <c r="AP55" s="109">
        <f>AP60/AP59</f>
        <v>0.80109535140308663</v>
      </c>
      <c r="AQ55" s="324" t="s">
        <v>96</v>
      </c>
      <c r="AR55" s="62">
        <v>83392</v>
      </c>
      <c r="AS55" s="62">
        <v>87237</v>
      </c>
      <c r="AT55" s="62">
        <v>90345</v>
      </c>
      <c r="AU55" s="62">
        <v>94478</v>
      </c>
      <c r="AV55" s="62">
        <v>97403</v>
      </c>
      <c r="AW55" s="62">
        <v>88882</v>
      </c>
      <c r="AX55" s="395">
        <v>84327</v>
      </c>
      <c r="BA55" s="386"/>
      <c r="BB55" s="344"/>
      <c r="BC55" s="344"/>
      <c r="BD55" s="344"/>
      <c r="BE55" s="344"/>
      <c r="BF55" s="344"/>
      <c r="BG55" s="344"/>
      <c r="BH55" s="344"/>
      <c r="BI55" s="344"/>
      <c r="BJ55" s="344"/>
      <c r="BK55" s="344"/>
      <c r="BL55" s="358"/>
    </row>
    <row r="56" spans="1:64" ht="15.75" x14ac:dyDescent="0.25">
      <c r="A56" s="3" t="s">
        <v>24</v>
      </c>
      <c r="B56" s="161" t="s">
        <v>24</v>
      </c>
      <c r="C56" s="704">
        <v>44.619221000000003</v>
      </c>
      <c r="D56" s="704">
        <v>45.121087000000003</v>
      </c>
      <c r="E56" s="704">
        <v>46.980967999999997</v>
      </c>
      <c r="F56" s="704">
        <v>48.675887000000003</v>
      </c>
      <c r="G56" s="704">
        <v>51.590581</v>
      </c>
      <c r="H56" s="704">
        <v>54.148837999999998</v>
      </c>
      <c r="I56" s="704">
        <v>54.959693999999999</v>
      </c>
      <c r="J56" s="704">
        <v>57.010691000000001</v>
      </c>
      <c r="K56" s="704">
        <v>57.534592000000004</v>
      </c>
      <c r="L56" s="704">
        <v>60.215943000000003</v>
      </c>
      <c r="M56" s="704">
        <v>63.037810999999998</v>
      </c>
      <c r="N56" s="704">
        <v>64.501828000000003</v>
      </c>
      <c r="O56" s="704">
        <v>61.90869</v>
      </c>
      <c r="P56" s="704">
        <v>66.094403</v>
      </c>
      <c r="Q56" s="704">
        <v>65.468821000000005</v>
      </c>
      <c r="R56" s="704">
        <v>68.004728999999998</v>
      </c>
      <c r="S56" s="704">
        <v>72.555899999999994</v>
      </c>
      <c r="T56" s="704">
        <v>74.044694000000007</v>
      </c>
      <c r="U56" s="704">
        <v>77.282589999999999</v>
      </c>
      <c r="V56" s="704">
        <v>80.682991999999999</v>
      </c>
      <c r="W56" s="704">
        <v>66.181672000000006</v>
      </c>
      <c r="X56" s="4">
        <f>SUM(X57:X61)</f>
        <v>64.812072999999998</v>
      </c>
      <c r="AC56" s="386"/>
      <c r="AD56" s="344"/>
      <c r="AE56" s="344"/>
      <c r="AF56" s="344"/>
      <c r="AG56" s="344"/>
      <c r="AH56" s="344"/>
      <c r="AI56" s="344"/>
      <c r="AJ56" s="344"/>
      <c r="AK56" s="344" t="s">
        <v>2712</v>
      </c>
      <c r="AL56" s="109">
        <f>AL63/AL59</f>
        <v>1.8169051061515253E-2</v>
      </c>
      <c r="AM56" s="344"/>
      <c r="AN56" s="344"/>
      <c r="AO56" s="344"/>
      <c r="AP56" s="109">
        <f>AP63/AP59</f>
        <v>9.2369317753820665E-2</v>
      </c>
      <c r="AQ56" s="324" t="s">
        <v>120</v>
      </c>
      <c r="AR56" s="62">
        <v>2</v>
      </c>
      <c r="AS56" s="62">
        <v>2</v>
      </c>
      <c r="AT56" s="62">
        <v>4</v>
      </c>
      <c r="AU56" s="62">
        <v>4</v>
      </c>
      <c r="AV56" s="389">
        <v>3</v>
      </c>
      <c r="AW56" s="389">
        <v>247</v>
      </c>
      <c r="AX56" s="395">
        <v>1473</v>
      </c>
      <c r="BA56" s="411" t="s">
        <v>1221</v>
      </c>
      <c r="BB56" s="344"/>
      <c r="BC56" s="344"/>
      <c r="BD56" s="344"/>
      <c r="BE56" s="344"/>
      <c r="BF56" s="344"/>
      <c r="BG56" s="344"/>
      <c r="BH56" s="344"/>
      <c r="BI56" s="344"/>
      <c r="BJ56" s="344"/>
      <c r="BK56" s="344"/>
      <c r="BL56" s="358"/>
    </row>
    <row r="57" spans="1:64" ht="16.5" thickBot="1" x14ac:dyDescent="0.3">
      <c r="A57" s="3" t="s">
        <v>2801</v>
      </c>
      <c r="B57" s="173" t="s">
        <v>11</v>
      </c>
      <c r="C57" s="20">
        <v>3.6902999999999998E-2</v>
      </c>
      <c r="D57" s="20">
        <v>4.2028000000000003E-2</v>
      </c>
      <c r="E57" s="20">
        <v>4.7246000000000003E-2</v>
      </c>
      <c r="F57" s="20">
        <v>5.1445999999999999E-2</v>
      </c>
      <c r="G57" s="20">
        <v>5.6078999999999997E-2</v>
      </c>
      <c r="H57" s="20">
        <v>6.6934999999999995E-2</v>
      </c>
      <c r="I57" s="20">
        <v>0.101629</v>
      </c>
      <c r="J57" s="20">
        <v>0.101031</v>
      </c>
      <c r="K57" s="20">
        <v>0.11008800000000001</v>
      </c>
      <c r="L57" s="20">
        <v>8.1083000000000002E-2</v>
      </c>
      <c r="M57" s="20">
        <v>8.5552000000000003E-2</v>
      </c>
      <c r="N57" s="20">
        <v>5.4906000000000003E-2</v>
      </c>
      <c r="O57" s="20">
        <v>4.2472999999999997E-2</v>
      </c>
      <c r="P57" s="20">
        <v>2.8774000000000001E-2</v>
      </c>
      <c r="Q57" s="20">
        <v>4.1423000000000001E-2</v>
      </c>
      <c r="R57" s="20">
        <v>2.9752000000000001E-2</v>
      </c>
      <c r="S57" s="20">
        <v>1.9217999999999999E-2</v>
      </c>
      <c r="T57" s="20">
        <v>1.2997E-2</v>
      </c>
      <c r="U57" s="20">
        <v>1.2496999999999999E-2</v>
      </c>
      <c r="V57" s="20">
        <v>6.3480000000000003E-3</v>
      </c>
      <c r="W57" s="20">
        <v>7.4029999999999999E-3</v>
      </c>
      <c r="X57" s="3">
        <v>3.947E-3</v>
      </c>
      <c r="AC57" s="381" t="s">
        <v>639</v>
      </c>
      <c r="AD57" s="312"/>
      <c r="AE57" s="312"/>
      <c r="AF57" s="312"/>
      <c r="AG57" s="312"/>
      <c r="AH57" s="312"/>
      <c r="AI57" s="312"/>
      <c r="AJ57" s="312"/>
      <c r="AK57" s="312"/>
      <c r="AL57" s="312"/>
      <c r="AM57" s="312"/>
      <c r="AN57" s="312"/>
      <c r="AO57" s="312"/>
      <c r="AP57" s="344"/>
      <c r="AQ57" s="324" t="s">
        <v>121</v>
      </c>
      <c r="AR57" s="62">
        <v>316</v>
      </c>
      <c r="AS57" s="62">
        <v>300</v>
      </c>
      <c r="AT57" s="62">
        <v>283</v>
      </c>
      <c r="AU57" s="62">
        <v>272</v>
      </c>
      <c r="AV57" s="62">
        <v>1328</v>
      </c>
      <c r="AW57" s="62">
        <v>4230</v>
      </c>
      <c r="AX57" s="395">
        <v>7939</v>
      </c>
      <c r="BA57" s="452" t="s">
        <v>1149</v>
      </c>
      <c r="BB57" s="10">
        <v>2020</v>
      </c>
      <c r="BC57" s="10">
        <v>2025</v>
      </c>
      <c r="BD57" s="10">
        <v>2030</v>
      </c>
      <c r="BE57" s="10">
        <v>2035</v>
      </c>
      <c r="BF57" s="10">
        <v>2040</v>
      </c>
      <c r="BG57" s="10">
        <v>2045</v>
      </c>
      <c r="BH57" s="10">
        <v>2050</v>
      </c>
      <c r="BI57" s="344"/>
      <c r="BJ57" s="344"/>
      <c r="BK57" s="344"/>
      <c r="BL57" s="358"/>
    </row>
    <row r="58" spans="1:64" ht="16.5" thickTop="1" thickBot="1" x14ac:dyDescent="0.3">
      <c r="A58" s="3" t="s">
        <v>2802</v>
      </c>
      <c r="B58" s="173" t="s">
        <v>12</v>
      </c>
      <c r="C58" s="20">
        <v>42.009222000000001</v>
      </c>
      <c r="D58" s="20">
        <v>42.325235999999997</v>
      </c>
      <c r="E58" s="20">
        <v>45.257430999999997</v>
      </c>
      <c r="F58" s="20">
        <v>46.787402</v>
      </c>
      <c r="G58" s="20">
        <v>49.506238000000003</v>
      </c>
      <c r="H58" s="20">
        <v>52.198872000000001</v>
      </c>
      <c r="I58" s="20">
        <v>52.176158000000001</v>
      </c>
      <c r="J58" s="20">
        <v>51.990786999999997</v>
      </c>
      <c r="K58" s="20">
        <v>51.843406000000002</v>
      </c>
      <c r="L58" s="20">
        <v>54.998252999999998</v>
      </c>
      <c r="M58" s="20">
        <v>57.296593999999999</v>
      </c>
      <c r="N58" s="20">
        <v>57.753760999999997</v>
      </c>
      <c r="O58" s="20">
        <v>54.519331999999999</v>
      </c>
      <c r="P58" s="20">
        <v>59.612806999999997</v>
      </c>
      <c r="Q58" s="20">
        <v>58.960279999999997</v>
      </c>
      <c r="R58" s="20">
        <v>64.944002999999995</v>
      </c>
      <c r="S58" s="20">
        <v>68.512613999999999</v>
      </c>
      <c r="T58" s="20">
        <v>69.985073</v>
      </c>
      <c r="U58" s="20">
        <v>73.898899</v>
      </c>
      <c r="V58" s="20">
        <v>77.283016000000003</v>
      </c>
      <c r="W58" s="20">
        <v>59.313529000000003</v>
      </c>
      <c r="X58" s="3">
        <v>60.976967999999999</v>
      </c>
      <c r="AC58" s="382" t="s">
        <v>119</v>
      </c>
      <c r="AD58" s="10">
        <v>2011</v>
      </c>
      <c r="AE58" s="10">
        <v>2012</v>
      </c>
      <c r="AF58" s="10">
        <v>2013</v>
      </c>
      <c r="AG58" s="10">
        <v>2014</v>
      </c>
      <c r="AH58" s="10">
        <v>2015</v>
      </c>
      <c r="AI58" s="10">
        <v>2016</v>
      </c>
      <c r="AJ58" s="10">
        <v>2017</v>
      </c>
      <c r="AK58" s="10">
        <v>2018</v>
      </c>
      <c r="AL58" s="10">
        <v>2019</v>
      </c>
      <c r="AM58" s="10">
        <v>2020</v>
      </c>
      <c r="AN58" s="10">
        <v>2021</v>
      </c>
      <c r="AO58" s="10">
        <v>2022</v>
      </c>
      <c r="AP58" s="10">
        <v>2023</v>
      </c>
      <c r="AQ58" s="324" t="s">
        <v>122</v>
      </c>
      <c r="AR58" s="62">
        <v>0</v>
      </c>
      <c r="AS58" s="62">
        <v>0</v>
      </c>
      <c r="AT58" s="62">
        <v>0</v>
      </c>
      <c r="AU58" s="62">
        <v>0</v>
      </c>
      <c r="AV58" s="389">
        <v>0</v>
      </c>
      <c r="AW58" s="389">
        <v>0</v>
      </c>
      <c r="AX58" s="395">
        <v>0</v>
      </c>
      <c r="BA58" s="438" t="s">
        <v>1220</v>
      </c>
      <c r="BB58" s="344"/>
      <c r="BC58" s="344"/>
      <c r="BD58" s="344"/>
      <c r="BE58" s="344"/>
      <c r="BF58" s="344"/>
      <c r="BG58" s="344"/>
      <c r="BH58" s="344"/>
      <c r="BI58" s="344"/>
      <c r="BJ58" s="344"/>
      <c r="BK58" s="344"/>
      <c r="BL58" s="358"/>
    </row>
    <row r="59" spans="1:64" ht="15.75" thickTop="1" x14ac:dyDescent="0.25">
      <c r="A59" s="3" t="s">
        <v>2803</v>
      </c>
      <c r="B59" s="173" t="s">
        <v>13</v>
      </c>
      <c r="C59" s="20">
        <v>0.46572999999999998</v>
      </c>
      <c r="D59" s="20">
        <v>0.45069999999999999</v>
      </c>
      <c r="E59" s="20">
        <v>0.461285</v>
      </c>
      <c r="F59" s="20">
        <v>0.47853800000000002</v>
      </c>
      <c r="G59" s="20">
        <v>0.50198200000000004</v>
      </c>
      <c r="H59" s="20">
        <v>0.60698300000000005</v>
      </c>
      <c r="I59" s="20">
        <v>0.154117</v>
      </c>
      <c r="J59" s="20">
        <v>0.14716299999999999</v>
      </c>
      <c r="K59" s="20">
        <v>0.171178</v>
      </c>
      <c r="L59" s="20">
        <v>0.22369</v>
      </c>
      <c r="M59" s="20">
        <v>0.26838600000000001</v>
      </c>
      <c r="N59" s="20">
        <v>0.31635799999999997</v>
      </c>
      <c r="O59" s="20">
        <v>0.34587499999999999</v>
      </c>
      <c r="P59" s="20">
        <v>0.41300500000000001</v>
      </c>
      <c r="Q59" s="20">
        <v>0.50964799999999999</v>
      </c>
      <c r="R59" s="20">
        <v>0.65479500000000002</v>
      </c>
      <c r="S59" s="20">
        <v>0.73416499999999996</v>
      </c>
      <c r="T59" s="20">
        <v>0.82484400000000002</v>
      </c>
      <c r="U59" s="20">
        <v>1.005015</v>
      </c>
      <c r="V59" s="20">
        <v>0.99487800000000004</v>
      </c>
      <c r="W59" s="20">
        <v>1.033901</v>
      </c>
      <c r="X59" s="3">
        <v>1.0196529999999999</v>
      </c>
      <c r="AC59" s="398" t="s">
        <v>173</v>
      </c>
      <c r="AD59" s="39">
        <v>577342</v>
      </c>
      <c r="AE59" s="39">
        <v>582972</v>
      </c>
      <c r="AF59" s="39">
        <v>625540</v>
      </c>
      <c r="AG59" s="39">
        <v>664251</v>
      </c>
      <c r="AH59" s="39">
        <v>714204</v>
      </c>
      <c r="AI59" s="39">
        <v>755688</v>
      </c>
      <c r="AJ59" s="39">
        <v>801432</v>
      </c>
      <c r="AK59" s="39">
        <v>798566</v>
      </c>
      <c r="AL59" s="39">
        <v>796079</v>
      </c>
      <c r="AM59" s="39">
        <v>600626</v>
      </c>
      <c r="AN59" s="39">
        <v>627134</v>
      </c>
      <c r="AO59" s="39">
        <v>594415</v>
      </c>
      <c r="AP59" s="39">
        <v>677043</v>
      </c>
      <c r="AQ59" s="324" t="s">
        <v>616</v>
      </c>
      <c r="AR59" s="62">
        <v>28</v>
      </c>
      <c r="AS59" s="62">
        <v>24</v>
      </c>
      <c r="AT59" s="62">
        <v>18</v>
      </c>
      <c r="AU59" s="62">
        <v>19</v>
      </c>
      <c r="AV59" s="62">
        <v>18</v>
      </c>
      <c r="AW59" s="62">
        <v>12</v>
      </c>
      <c r="AX59" s="393">
        <v>7</v>
      </c>
      <c r="BA59" s="319" t="s">
        <v>1077</v>
      </c>
      <c r="BB59" s="453">
        <v>5.26</v>
      </c>
      <c r="BC59" s="453">
        <v>5.57</v>
      </c>
      <c r="BD59" s="453">
        <v>5.92</v>
      </c>
      <c r="BE59" s="453">
        <v>6.31</v>
      </c>
      <c r="BF59" s="453">
        <v>6.63</v>
      </c>
      <c r="BG59" s="453">
        <v>6.98</v>
      </c>
      <c r="BH59" s="453">
        <v>7.37</v>
      </c>
      <c r="BI59" s="344"/>
      <c r="BJ59" s="344"/>
      <c r="BK59" s="344"/>
      <c r="BL59" s="358"/>
    </row>
    <row r="60" spans="1:64" x14ac:dyDescent="0.25">
      <c r="A60" s="3" t="s">
        <v>2804</v>
      </c>
      <c r="B60" s="173" t="s">
        <v>14</v>
      </c>
      <c r="C60" s="20"/>
      <c r="D60" s="20"/>
      <c r="E60" s="20"/>
      <c r="F60" s="20"/>
      <c r="G60" s="20"/>
      <c r="H60" s="20"/>
      <c r="I60" s="20"/>
      <c r="J60" s="20">
        <v>1.946391</v>
      </c>
      <c r="K60" s="20">
        <v>2.4032249999999999</v>
      </c>
      <c r="L60" s="20">
        <v>2.4643280000000001</v>
      </c>
      <c r="M60" s="20">
        <v>2.740437</v>
      </c>
      <c r="N60" s="20">
        <v>3.186439</v>
      </c>
      <c r="O60" s="20">
        <v>3.2652060000000001</v>
      </c>
      <c r="P60" s="20">
        <v>3.394333</v>
      </c>
      <c r="Q60" s="20">
        <v>3.5856859999999999</v>
      </c>
      <c r="R60" s="20"/>
      <c r="S60" s="20"/>
      <c r="T60" s="20"/>
      <c r="U60" s="20"/>
      <c r="V60" s="20"/>
      <c r="W60" s="20"/>
      <c r="AC60" s="399" t="s">
        <v>97</v>
      </c>
      <c r="AD60" s="193">
        <v>556037</v>
      </c>
      <c r="AE60" s="193">
        <v>556056</v>
      </c>
      <c r="AF60" s="193">
        <v>594726</v>
      </c>
      <c r="AG60" s="193">
        <v>626988</v>
      </c>
      <c r="AH60" s="193">
        <v>677435</v>
      </c>
      <c r="AI60" s="193">
        <v>721801</v>
      </c>
      <c r="AJ60" s="193">
        <v>766780</v>
      </c>
      <c r="AK60" s="193">
        <v>751145</v>
      </c>
      <c r="AL60" s="193">
        <v>754524</v>
      </c>
      <c r="AM60" s="193">
        <v>555503</v>
      </c>
      <c r="AN60" s="193">
        <v>555869</v>
      </c>
      <c r="AO60" s="193">
        <v>497475</v>
      </c>
      <c r="AP60" s="193">
        <v>542376</v>
      </c>
      <c r="AQ60" s="226" t="s">
        <v>619</v>
      </c>
      <c r="AR60" s="378">
        <v>796260</v>
      </c>
      <c r="AS60" s="378">
        <v>769137</v>
      </c>
      <c r="AT60" s="378">
        <v>741355</v>
      </c>
      <c r="AU60" s="378">
        <v>734481</v>
      </c>
      <c r="AV60" s="378">
        <v>716959</v>
      </c>
      <c r="AW60" s="401">
        <v>636439</v>
      </c>
      <c r="AX60" s="392">
        <v>586238</v>
      </c>
      <c r="BA60" s="319" t="s">
        <v>224</v>
      </c>
      <c r="BB60" s="69">
        <v>4.78</v>
      </c>
      <c r="BC60" s="69">
        <v>5.0599999999999996</v>
      </c>
      <c r="BD60" s="453">
        <v>5.38</v>
      </c>
      <c r="BE60" s="453">
        <v>5.74</v>
      </c>
      <c r="BF60" s="453">
        <v>6.03</v>
      </c>
      <c r="BG60" s="453">
        <v>6.34</v>
      </c>
      <c r="BH60" s="453">
        <v>6.7</v>
      </c>
      <c r="BI60" s="344"/>
      <c r="BJ60" s="344"/>
      <c r="BK60" s="344"/>
      <c r="BL60" s="358"/>
    </row>
    <row r="61" spans="1:64" x14ac:dyDescent="0.25">
      <c r="A61" s="3" t="s">
        <v>2805</v>
      </c>
      <c r="B61" s="173" t="s">
        <v>16</v>
      </c>
      <c r="C61" s="20">
        <v>2.1073659999999999</v>
      </c>
      <c r="D61" s="20">
        <v>2.3031239999999999</v>
      </c>
      <c r="E61" s="20">
        <v>1.2150049999999999</v>
      </c>
      <c r="F61" s="20">
        <v>1.3585020000000001</v>
      </c>
      <c r="G61" s="20">
        <v>1.5262830000000001</v>
      </c>
      <c r="H61" s="20">
        <v>1.2760480000000001</v>
      </c>
      <c r="I61" s="20">
        <v>2.5277910000000001</v>
      </c>
      <c r="J61" s="20">
        <v>2.8237070000000002</v>
      </c>
      <c r="K61" s="20">
        <v>3.0050119999999998</v>
      </c>
      <c r="L61" s="20">
        <v>2.447695</v>
      </c>
      <c r="M61" s="20">
        <v>2.646007</v>
      </c>
      <c r="N61" s="20">
        <v>3.1890269999999998</v>
      </c>
      <c r="O61" s="20">
        <v>3.7351740000000002</v>
      </c>
      <c r="P61" s="20">
        <v>2.6445500000000002</v>
      </c>
      <c r="Q61" s="20">
        <v>2.3717839999999999</v>
      </c>
      <c r="R61" s="20">
        <v>2.3730370000000001</v>
      </c>
      <c r="S61" s="20">
        <v>3.283884</v>
      </c>
      <c r="T61" s="20">
        <v>3.281863</v>
      </c>
      <c r="U61" s="20">
        <v>2.4283079999999999</v>
      </c>
      <c r="V61" s="20">
        <v>2.4574220000000002</v>
      </c>
      <c r="W61" s="20">
        <v>2.4750969999999999</v>
      </c>
      <c r="X61" s="3">
        <v>2.8115049999999999</v>
      </c>
      <c r="AC61" s="399" t="s">
        <v>96</v>
      </c>
      <c r="AD61" s="193">
        <v>16666</v>
      </c>
      <c r="AE61" s="193">
        <v>18773</v>
      </c>
      <c r="AF61" s="193">
        <v>21944</v>
      </c>
      <c r="AG61" s="193">
        <v>28190</v>
      </c>
      <c r="AH61" s="193">
        <v>28740</v>
      </c>
      <c r="AI61" s="193">
        <v>22124</v>
      </c>
      <c r="AJ61" s="193">
        <v>17888</v>
      </c>
      <c r="AK61" s="193">
        <v>21362</v>
      </c>
      <c r="AL61" s="193">
        <v>17235</v>
      </c>
      <c r="AM61" s="193">
        <v>17787</v>
      </c>
      <c r="AN61" s="193">
        <v>18196</v>
      </c>
      <c r="AO61" s="193">
        <v>22808</v>
      </c>
      <c r="AP61" s="193">
        <v>22319</v>
      </c>
      <c r="AQ61" s="324" t="s">
        <v>97</v>
      </c>
      <c r="AR61" s="62">
        <v>778940</v>
      </c>
      <c r="AS61" s="62">
        <v>750275</v>
      </c>
      <c r="AT61" s="62">
        <v>721340</v>
      </c>
      <c r="AU61" s="62">
        <v>713293</v>
      </c>
      <c r="AV61" s="62">
        <v>691870</v>
      </c>
      <c r="AW61" s="62">
        <v>609683</v>
      </c>
      <c r="AX61" s="395">
        <v>558929</v>
      </c>
      <c r="BA61" s="319" t="s">
        <v>230</v>
      </c>
      <c r="BB61" s="69">
        <v>12.5</v>
      </c>
      <c r="BC61" s="69">
        <v>13.3</v>
      </c>
      <c r="BD61" s="453">
        <v>14.1</v>
      </c>
      <c r="BE61" s="453">
        <v>15</v>
      </c>
      <c r="BF61" s="453">
        <v>15.7</v>
      </c>
      <c r="BG61" s="453">
        <v>16.5</v>
      </c>
      <c r="BH61" s="453">
        <v>17.399999999999999</v>
      </c>
      <c r="BI61" s="344"/>
      <c r="BJ61" s="344"/>
      <c r="BK61" s="344"/>
      <c r="BL61" s="358"/>
    </row>
    <row r="62" spans="1:64" x14ac:dyDescent="0.25">
      <c r="A62" s="3" t="s">
        <v>29</v>
      </c>
      <c r="B62" s="714" t="s">
        <v>29</v>
      </c>
      <c r="C62" s="715">
        <v>57.600023</v>
      </c>
      <c r="D62" s="715">
        <v>63.318105000000003</v>
      </c>
      <c r="E62" s="715">
        <v>60.357790000000001</v>
      </c>
      <c r="F62" s="715">
        <v>70.701006000000007</v>
      </c>
      <c r="G62" s="715">
        <v>65.899384999999995</v>
      </c>
      <c r="H62" s="715">
        <v>56.416268000000002</v>
      </c>
      <c r="I62" s="715">
        <v>57.775388</v>
      </c>
      <c r="J62" s="715">
        <v>62.900883999999998</v>
      </c>
      <c r="K62" s="715">
        <v>61.814238000000003</v>
      </c>
      <c r="L62" s="715">
        <v>68.353852000000003</v>
      </c>
      <c r="M62" s="715">
        <v>72.849888000000007</v>
      </c>
      <c r="N62" s="715">
        <v>71.198786999999996</v>
      </c>
      <c r="O62" s="715">
        <v>64.439618999999993</v>
      </c>
      <c r="P62" s="715">
        <v>63.577706999999997</v>
      </c>
      <c r="Q62" s="715">
        <v>62.355649</v>
      </c>
      <c r="R62" s="715">
        <v>60.314458999999999</v>
      </c>
      <c r="S62" s="715">
        <v>58.570433000000001</v>
      </c>
      <c r="T62" s="715">
        <v>59.871338999999999</v>
      </c>
      <c r="U62" s="715">
        <v>63.984453999999999</v>
      </c>
      <c r="V62" s="715">
        <v>63.404946000000002</v>
      </c>
      <c r="W62" s="715">
        <v>52.194729000000002</v>
      </c>
      <c r="X62" s="5">
        <f>SUM(X63:X65)</f>
        <v>55.976551999999998</v>
      </c>
      <c r="AC62" s="399" t="s">
        <v>120</v>
      </c>
      <c r="AD62" s="193">
        <v>80</v>
      </c>
      <c r="AE62" s="193">
        <v>198</v>
      </c>
      <c r="AF62" s="193">
        <v>614</v>
      </c>
      <c r="AG62" s="193">
        <v>1091</v>
      </c>
      <c r="AH62" s="193">
        <v>1273</v>
      </c>
      <c r="AI62" s="193">
        <v>1471</v>
      </c>
      <c r="AJ62" s="193">
        <v>3563</v>
      </c>
      <c r="AK62" s="193">
        <v>8214</v>
      </c>
      <c r="AL62" s="193">
        <v>6561</v>
      </c>
      <c r="AM62" s="193">
        <v>8158</v>
      </c>
      <c r="AN62" s="193">
        <v>14748</v>
      </c>
      <c r="AO62" s="193">
        <v>32783</v>
      </c>
      <c r="AP62" s="193">
        <v>38314</v>
      </c>
      <c r="AQ62" s="324" t="s">
        <v>96</v>
      </c>
      <c r="AR62" s="62">
        <v>17092</v>
      </c>
      <c r="AS62" s="62">
        <v>17790</v>
      </c>
      <c r="AT62" s="62">
        <v>18536</v>
      </c>
      <c r="AU62" s="62">
        <v>19565</v>
      </c>
      <c r="AV62" s="62">
        <v>20793</v>
      </c>
      <c r="AW62" s="62">
        <v>19222</v>
      </c>
      <c r="AX62" s="395">
        <v>18361</v>
      </c>
      <c r="BA62" s="319" t="s">
        <v>496</v>
      </c>
      <c r="BB62" s="69">
        <v>7.81</v>
      </c>
      <c r="BC62" s="453">
        <v>8.3699999999999992</v>
      </c>
      <c r="BD62" s="453">
        <v>9.0299999999999994</v>
      </c>
      <c r="BE62" s="453">
        <v>9.7899999999999991</v>
      </c>
      <c r="BF62" s="453">
        <v>10.4</v>
      </c>
      <c r="BG62" s="453">
        <v>11.1</v>
      </c>
      <c r="BH62" s="453">
        <v>11.8</v>
      </c>
      <c r="BI62" s="344"/>
      <c r="BJ62" s="344"/>
      <c r="BK62" s="344"/>
      <c r="BL62" s="358"/>
    </row>
    <row r="63" spans="1:64" ht="15.75" thickBot="1" x14ac:dyDescent="0.3">
      <c r="A63" s="3" t="s">
        <v>2806</v>
      </c>
      <c r="B63" s="176" t="s">
        <v>12</v>
      </c>
      <c r="C63" s="20">
        <v>36.225898000000001</v>
      </c>
      <c r="D63" s="20">
        <v>37.938321999999999</v>
      </c>
      <c r="E63" s="20">
        <v>35.393807000000002</v>
      </c>
      <c r="F63" s="20">
        <v>40.482394999999997</v>
      </c>
      <c r="G63" s="20">
        <v>36.861935000000003</v>
      </c>
      <c r="H63" s="20">
        <v>30.279741000000001</v>
      </c>
      <c r="I63" s="20">
        <v>32.507576</v>
      </c>
      <c r="J63" s="20">
        <v>33.819626999999997</v>
      </c>
      <c r="K63" s="20">
        <v>33.598664999999997</v>
      </c>
      <c r="L63" s="20">
        <v>35.281087999999997</v>
      </c>
      <c r="M63" s="20">
        <v>35.786166000000001</v>
      </c>
      <c r="N63" s="20">
        <v>33.526353</v>
      </c>
      <c r="O63" s="20">
        <v>29.358922</v>
      </c>
      <c r="P63" s="20">
        <v>30.602588999999998</v>
      </c>
      <c r="Q63" s="20">
        <v>30.830186999999999</v>
      </c>
      <c r="R63" s="20">
        <v>33.158904</v>
      </c>
      <c r="S63" s="20">
        <v>34.026482000000001</v>
      </c>
      <c r="T63" s="20">
        <v>33.367632999999998</v>
      </c>
      <c r="U63" s="20">
        <v>33.739984999999997</v>
      </c>
      <c r="V63" s="20">
        <v>34.565494999999999</v>
      </c>
      <c r="W63" s="20">
        <v>25.172775999999999</v>
      </c>
      <c r="X63" s="3">
        <v>27.547359</v>
      </c>
      <c r="AA63" s="22"/>
      <c r="AC63" s="399" t="s">
        <v>121</v>
      </c>
      <c r="AD63" s="193">
        <v>4396</v>
      </c>
      <c r="AE63" s="193">
        <v>7510</v>
      </c>
      <c r="AF63" s="193">
        <v>7781</v>
      </c>
      <c r="AG63" s="193">
        <v>7329</v>
      </c>
      <c r="AH63" s="193">
        <v>5955</v>
      </c>
      <c r="AI63" s="193">
        <v>7747</v>
      </c>
      <c r="AJ63" s="193">
        <v>8583</v>
      </c>
      <c r="AK63" s="193">
        <v>9272</v>
      </c>
      <c r="AL63" s="193">
        <v>14464</v>
      </c>
      <c r="AM63" s="193">
        <v>16807</v>
      </c>
      <c r="AN63" s="193">
        <v>33343</v>
      </c>
      <c r="AO63" s="193">
        <v>35475</v>
      </c>
      <c r="AP63" s="193">
        <v>62538</v>
      </c>
      <c r="AQ63" s="324" t="s">
        <v>120</v>
      </c>
      <c r="AR63" s="62">
        <v>24</v>
      </c>
      <c r="AS63" s="62">
        <v>16</v>
      </c>
      <c r="AT63" s="62">
        <v>14</v>
      </c>
      <c r="AU63" s="62">
        <v>11</v>
      </c>
      <c r="AV63" s="389">
        <v>12</v>
      </c>
      <c r="AW63" s="389">
        <v>67</v>
      </c>
      <c r="AX63" s="395">
        <v>389</v>
      </c>
      <c r="BA63" s="438" t="s">
        <v>2673</v>
      </c>
      <c r="BB63" s="344"/>
      <c r="BC63" s="344"/>
      <c r="BD63" s="344"/>
      <c r="BE63" s="344"/>
      <c r="BF63" s="344"/>
      <c r="BG63" s="344"/>
      <c r="BH63" s="344"/>
      <c r="BI63" s="344"/>
      <c r="BJ63" s="344"/>
      <c r="BK63" s="344"/>
      <c r="BL63" s="358"/>
    </row>
    <row r="64" spans="1:64" ht="15.75" thickTop="1" x14ac:dyDescent="0.25">
      <c r="A64" s="3" t="s">
        <v>2807</v>
      </c>
      <c r="B64" s="176" t="s">
        <v>13</v>
      </c>
      <c r="C64" s="20">
        <v>20.981802999999999</v>
      </c>
      <c r="D64" s="20">
        <v>24.795946000000001</v>
      </c>
      <c r="E64" s="20">
        <v>24.623517</v>
      </c>
      <c r="F64" s="20">
        <v>29.734596</v>
      </c>
      <c r="G64" s="20">
        <v>28.462147000000002</v>
      </c>
      <c r="H64" s="20">
        <v>25.672585999999999</v>
      </c>
      <c r="I64" s="20">
        <v>25.267811999999999</v>
      </c>
      <c r="J64" s="20">
        <v>27.814094999999998</v>
      </c>
      <c r="K64" s="20">
        <v>26.657</v>
      </c>
      <c r="L64" s="20">
        <v>31.014403999999999</v>
      </c>
      <c r="M64" s="20">
        <v>34.966346000000001</v>
      </c>
      <c r="N64" s="20">
        <v>35.458736999999999</v>
      </c>
      <c r="O64" s="20">
        <v>32.960799000000002</v>
      </c>
      <c r="P64" s="20">
        <v>31.062138999999998</v>
      </c>
      <c r="Q64" s="20">
        <v>29.461202</v>
      </c>
      <c r="R64" s="20">
        <v>27.060300999999999</v>
      </c>
      <c r="S64" s="20">
        <v>24.391475</v>
      </c>
      <c r="T64" s="20">
        <v>26.190605000000001</v>
      </c>
      <c r="U64" s="20">
        <v>29.785913000000001</v>
      </c>
      <c r="V64" s="20">
        <v>28.122057000000002</v>
      </c>
      <c r="W64" s="20">
        <v>26.651478000000001</v>
      </c>
      <c r="X64" s="3">
        <v>28.429193000000001</v>
      </c>
      <c r="AA64" s="23"/>
      <c r="AC64" s="399" t="s">
        <v>122</v>
      </c>
      <c r="AD64" s="193">
        <v>163</v>
      </c>
      <c r="AE64" s="193">
        <v>433</v>
      </c>
      <c r="AF64" s="193">
        <v>472</v>
      </c>
      <c r="AG64" s="193">
        <v>653</v>
      </c>
      <c r="AH64" s="193">
        <v>800</v>
      </c>
      <c r="AI64" s="193">
        <v>2541</v>
      </c>
      <c r="AJ64" s="193">
        <v>4617</v>
      </c>
      <c r="AK64" s="193">
        <v>8544</v>
      </c>
      <c r="AL64" s="193">
        <v>3201</v>
      </c>
      <c r="AM64" s="193">
        <v>2357</v>
      </c>
      <c r="AN64" s="193">
        <v>4978</v>
      </c>
      <c r="AO64" s="193">
        <v>5872</v>
      </c>
      <c r="AP64" s="193">
        <v>11496</v>
      </c>
      <c r="AQ64" s="324" t="s">
        <v>121</v>
      </c>
      <c r="AR64" s="62">
        <v>0</v>
      </c>
      <c r="AS64" s="62">
        <v>0</v>
      </c>
      <c r="AT64" s="62">
        <v>0</v>
      </c>
      <c r="AU64" s="62">
        <v>54</v>
      </c>
      <c r="AV64" s="62">
        <v>2584</v>
      </c>
      <c r="AW64" s="62">
        <v>5497</v>
      </c>
      <c r="AX64" s="395">
        <v>6264</v>
      </c>
      <c r="BA64" s="319" t="s">
        <v>1077</v>
      </c>
      <c r="BB64" s="453">
        <v>4.38</v>
      </c>
      <c r="BC64" s="453">
        <v>4.6399999999999997</v>
      </c>
      <c r="BD64" s="453">
        <v>4.93</v>
      </c>
      <c r="BE64" s="453">
        <v>5.26</v>
      </c>
      <c r="BF64" s="453">
        <v>5.52</v>
      </c>
      <c r="BG64" s="453">
        <v>5.82</v>
      </c>
      <c r="BH64" s="453">
        <v>6.14</v>
      </c>
      <c r="BI64" s="344"/>
      <c r="BJ64" s="344"/>
      <c r="BK64" s="344"/>
      <c r="BL64" s="358"/>
    </row>
    <row r="65" spans="1:64" x14ac:dyDescent="0.25">
      <c r="A65" s="3" t="s">
        <v>2808</v>
      </c>
      <c r="B65" s="176" t="s">
        <v>14</v>
      </c>
      <c r="C65" s="716"/>
      <c r="D65" s="716"/>
      <c r="E65" s="716"/>
      <c r="F65" s="716"/>
      <c r="G65" s="716"/>
      <c r="H65" s="716"/>
      <c r="I65" s="716"/>
      <c r="J65" s="717">
        <v>1.266113</v>
      </c>
      <c r="K65" s="717">
        <v>1.5574809999999999</v>
      </c>
      <c r="L65" s="717">
        <v>1.580854</v>
      </c>
      <c r="M65" s="717">
        <v>1.7116150000000001</v>
      </c>
      <c r="N65" s="717">
        <v>1.8497440000000001</v>
      </c>
      <c r="O65" s="717">
        <v>1.758329</v>
      </c>
      <c r="P65" s="717">
        <v>1.7425010000000001</v>
      </c>
      <c r="Q65" s="717">
        <v>1.874946</v>
      </c>
      <c r="R65" s="716"/>
      <c r="S65" s="716"/>
      <c r="T65" s="716"/>
      <c r="U65" s="716"/>
      <c r="V65" s="716"/>
      <c r="W65" s="716"/>
      <c r="AA65" s="24"/>
      <c r="AC65" s="400" t="s">
        <v>174</v>
      </c>
      <c r="AD65" s="389">
        <v>0</v>
      </c>
      <c r="AE65" s="389">
        <v>2</v>
      </c>
      <c r="AF65" s="389">
        <v>3</v>
      </c>
      <c r="AG65" s="389">
        <v>0</v>
      </c>
      <c r="AH65" s="389">
        <v>1</v>
      </c>
      <c r="AI65" s="389">
        <v>4</v>
      </c>
      <c r="AJ65" s="389">
        <v>1</v>
      </c>
      <c r="AK65" s="389">
        <v>29</v>
      </c>
      <c r="AL65" s="389">
        <v>94</v>
      </c>
      <c r="AM65" s="389">
        <v>14</v>
      </c>
      <c r="AN65" s="389">
        <v>0</v>
      </c>
      <c r="AO65" s="389">
        <v>2</v>
      </c>
      <c r="AP65" s="389">
        <v>0</v>
      </c>
      <c r="AQ65" s="324" t="s">
        <v>122</v>
      </c>
      <c r="AR65" s="62">
        <v>176</v>
      </c>
      <c r="AS65" s="62">
        <v>1012</v>
      </c>
      <c r="AT65" s="62">
        <v>1347</v>
      </c>
      <c r="AU65" s="62">
        <v>1415</v>
      </c>
      <c r="AV65" s="389">
        <v>1560</v>
      </c>
      <c r="AW65" s="389">
        <v>1842</v>
      </c>
      <c r="AX65" s="395">
        <v>2173</v>
      </c>
      <c r="BA65" s="319" t="s">
        <v>224</v>
      </c>
      <c r="BB65" s="453">
        <v>3.99</v>
      </c>
      <c r="BC65" s="453">
        <v>4.22</v>
      </c>
      <c r="BD65" s="453">
        <v>4.4800000000000004</v>
      </c>
      <c r="BE65" s="453">
        <v>4.78</v>
      </c>
      <c r="BF65" s="453">
        <v>5.0199999999999996</v>
      </c>
      <c r="BG65" s="453">
        <v>5.29</v>
      </c>
      <c r="BH65" s="453">
        <v>5.58</v>
      </c>
      <c r="BI65" s="344"/>
      <c r="BJ65" s="344"/>
      <c r="BK65" s="344"/>
      <c r="BL65" s="358"/>
    </row>
    <row r="66" spans="1:64" x14ac:dyDescent="0.25">
      <c r="A66" s="3" t="s">
        <v>2809</v>
      </c>
      <c r="B66" s="714" t="s">
        <v>34</v>
      </c>
      <c r="C66" s="718">
        <v>140.98035999999999</v>
      </c>
      <c r="D66" s="718">
        <v>130.20802800000001</v>
      </c>
      <c r="E66" s="718">
        <v>128.840653</v>
      </c>
      <c r="F66" s="718">
        <v>134.942958</v>
      </c>
      <c r="G66" s="718">
        <v>140.27165600000001</v>
      </c>
      <c r="H66" s="718">
        <v>157.371072</v>
      </c>
      <c r="I66" s="718">
        <v>147.69844900000001</v>
      </c>
      <c r="J66" s="719">
        <v>148.299916</v>
      </c>
      <c r="K66" s="719">
        <v>147.637922</v>
      </c>
      <c r="L66" s="719">
        <v>145.23746800000001</v>
      </c>
      <c r="M66" s="719">
        <v>151.50287399999999</v>
      </c>
      <c r="N66" s="719">
        <v>161.837423</v>
      </c>
      <c r="O66" s="719">
        <v>162.38180299999999</v>
      </c>
      <c r="P66" s="719">
        <v>161.52392399999999</v>
      </c>
      <c r="Q66" s="719">
        <v>154.83705699999999</v>
      </c>
      <c r="R66" s="718">
        <v>147.52949599999999</v>
      </c>
      <c r="S66" s="718">
        <v>135.543869</v>
      </c>
      <c r="T66" s="718">
        <v>143.68582000000001</v>
      </c>
      <c r="U66" s="718">
        <v>153.70139399999999</v>
      </c>
      <c r="V66" s="718">
        <v>152.363857</v>
      </c>
      <c r="W66" s="718">
        <v>135.56691599999999</v>
      </c>
      <c r="X66" s="4">
        <v>154.77463599999999</v>
      </c>
      <c r="AA66" s="24"/>
      <c r="AC66" s="398" t="s">
        <v>123</v>
      </c>
      <c r="AD66" s="39">
        <v>247563</v>
      </c>
      <c r="AE66" s="39">
        <v>265280</v>
      </c>
      <c r="AF66" s="39">
        <v>277662</v>
      </c>
      <c r="AG66" s="39">
        <v>277922</v>
      </c>
      <c r="AH66" s="39">
        <v>267263</v>
      </c>
      <c r="AI66" s="39">
        <v>249773</v>
      </c>
      <c r="AJ66" s="39">
        <v>253252</v>
      </c>
      <c r="AK66" s="39">
        <v>240525</v>
      </c>
      <c r="AL66" s="39">
        <v>205764</v>
      </c>
      <c r="AM66" s="39">
        <v>124652</v>
      </c>
      <c r="AN66" s="39">
        <v>128833</v>
      </c>
      <c r="AO66" s="39">
        <v>109954</v>
      </c>
      <c r="AP66" s="39">
        <v>110562</v>
      </c>
      <c r="AQ66" s="324" t="s">
        <v>616</v>
      </c>
      <c r="AR66" s="62">
        <v>28</v>
      </c>
      <c r="AS66" s="62">
        <v>44</v>
      </c>
      <c r="AT66" s="62">
        <v>118</v>
      </c>
      <c r="AU66" s="62">
        <v>143</v>
      </c>
      <c r="AV66" s="62">
        <v>140</v>
      </c>
      <c r="AW66" s="62">
        <v>128</v>
      </c>
      <c r="AX66" s="393">
        <v>122</v>
      </c>
      <c r="BA66" s="319" t="s">
        <v>230</v>
      </c>
      <c r="BB66" s="453">
        <v>13</v>
      </c>
      <c r="BC66" s="453">
        <v>13.8</v>
      </c>
      <c r="BD66" s="453">
        <v>14.7</v>
      </c>
      <c r="BE66" s="453">
        <v>15.6</v>
      </c>
      <c r="BF66" s="453">
        <v>16.399999999999999</v>
      </c>
      <c r="BG66" s="453">
        <v>17.2</v>
      </c>
      <c r="BH66" s="453">
        <v>18.100000000000001</v>
      </c>
      <c r="BI66" s="344"/>
      <c r="BJ66" s="344"/>
      <c r="BK66" s="344"/>
      <c r="BL66" s="358"/>
    </row>
    <row r="67" spans="1:64" x14ac:dyDescent="0.25">
      <c r="A67" s="3" t="s">
        <v>2810</v>
      </c>
      <c r="B67" s="714" t="s">
        <v>35</v>
      </c>
      <c r="C67" s="718">
        <v>0.705183</v>
      </c>
      <c r="D67" s="718">
        <v>0.79040900000000003</v>
      </c>
      <c r="E67" s="718">
        <v>0.94181400000000004</v>
      </c>
      <c r="F67" s="718">
        <v>0.99030300000000004</v>
      </c>
      <c r="G67" s="718">
        <v>1.069202</v>
      </c>
      <c r="H67" s="718">
        <v>1.0683229999999999</v>
      </c>
      <c r="I67" s="718">
        <v>1.144101</v>
      </c>
      <c r="J67" s="719">
        <v>1.219684</v>
      </c>
      <c r="K67" s="719">
        <v>1.3063579999999999</v>
      </c>
      <c r="L67" s="719">
        <v>1.875718</v>
      </c>
      <c r="M67" s="719">
        <v>2.0056889999999998</v>
      </c>
      <c r="N67" s="719">
        <v>2.0563199999999999</v>
      </c>
      <c r="O67" s="719">
        <v>2.0263520000000002</v>
      </c>
      <c r="P67" s="719">
        <v>2.1373259999999998</v>
      </c>
      <c r="Q67" s="719">
        <v>2.0459360000000002</v>
      </c>
      <c r="R67" s="718">
        <v>2.0496699999999999</v>
      </c>
      <c r="S67" s="718">
        <v>2.032079</v>
      </c>
      <c r="T67" s="718">
        <v>1.928129</v>
      </c>
      <c r="U67" s="718">
        <v>1.8857470000000001</v>
      </c>
      <c r="V67" s="718">
        <v>1.928194</v>
      </c>
      <c r="W67" s="718">
        <v>1.495376</v>
      </c>
      <c r="X67" s="4">
        <v>1.71987</v>
      </c>
      <c r="AA67" s="24"/>
      <c r="AC67" s="399" t="s">
        <v>97</v>
      </c>
      <c r="AD67" s="193">
        <v>237348</v>
      </c>
      <c r="AE67" s="193">
        <v>250457</v>
      </c>
      <c r="AF67" s="193">
        <v>261463</v>
      </c>
      <c r="AG67" s="193">
        <v>260668</v>
      </c>
      <c r="AH67" s="193">
        <v>254108</v>
      </c>
      <c r="AI67" s="193">
        <v>241068</v>
      </c>
      <c r="AJ67" s="193">
        <v>241374</v>
      </c>
      <c r="AK67" s="193">
        <v>222260</v>
      </c>
      <c r="AL67" s="193">
        <v>190773</v>
      </c>
      <c r="AM67" s="193">
        <v>113775</v>
      </c>
      <c r="AN67" s="193">
        <v>113668</v>
      </c>
      <c r="AO67" s="193">
        <v>90135</v>
      </c>
      <c r="AP67" s="193">
        <v>89073</v>
      </c>
      <c r="AQ67" s="226" t="s">
        <v>620</v>
      </c>
      <c r="AR67" s="378">
        <v>766</v>
      </c>
      <c r="AS67" s="378">
        <v>751</v>
      </c>
      <c r="AT67" s="378">
        <v>727</v>
      </c>
      <c r="AU67" s="378">
        <v>774</v>
      </c>
      <c r="AV67" s="378">
        <v>915</v>
      </c>
      <c r="AW67" s="378">
        <v>865</v>
      </c>
      <c r="AX67" s="392">
        <v>884</v>
      </c>
      <c r="BA67" s="319" t="s">
        <v>496</v>
      </c>
      <c r="BB67" s="453">
        <v>8.1300000000000008</v>
      </c>
      <c r="BC67" s="453">
        <v>8.7200000000000006</v>
      </c>
      <c r="BD67" s="453">
        <v>9.4</v>
      </c>
      <c r="BE67" s="453">
        <v>10.199999999999999</v>
      </c>
      <c r="BF67" s="453">
        <v>10.8</v>
      </c>
      <c r="BG67" s="453">
        <v>11.5</v>
      </c>
      <c r="BH67" s="453">
        <v>12.3</v>
      </c>
      <c r="BI67" s="344"/>
      <c r="BJ67" s="344"/>
      <c r="BK67" s="344"/>
      <c r="BL67" s="358"/>
    </row>
    <row r="68" spans="1:64" ht="15.75" x14ac:dyDescent="0.25">
      <c r="A68" s="3" t="s">
        <v>41</v>
      </c>
      <c r="B68" s="714" t="s">
        <v>41</v>
      </c>
      <c r="C68" s="718">
        <v>4.6895819999999997</v>
      </c>
      <c r="D68" s="718">
        <v>3.6440429999999999</v>
      </c>
      <c r="E68" s="718">
        <v>4.0649459999999999</v>
      </c>
      <c r="F68" s="718">
        <v>4.7045450000000004</v>
      </c>
      <c r="G68" s="718">
        <v>3.9495119999999999</v>
      </c>
      <c r="H68" s="718">
        <v>4.3787229999999999</v>
      </c>
      <c r="I68" s="718">
        <v>4.241708</v>
      </c>
      <c r="J68" s="719">
        <v>4.0832379999999997</v>
      </c>
      <c r="K68" s="719">
        <v>4.3798630000000003</v>
      </c>
      <c r="L68" s="719">
        <v>4.922269</v>
      </c>
      <c r="M68" s="719">
        <v>5.263611</v>
      </c>
      <c r="N68" s="719">
        <v>5.658919</v>
      </c>
      <c r="O68" s="719">
        <v>5.1961649999999997</v>
      </c>
      <c r="P68" s="719">
        <v>4.5546290000000003</v>
      </c>
      <c r="Q68" s="719">
        <v>4.2153150000000004</v>
      </c>
      <c r="R68" s="718">
        <v>4.00603</v>
      </c>
      <c r="S68" s="718">
        <v>4.1631539999999996</v>
      </c>
      <c r="T68" s="718">
        <v>2.3184010000000002</v>
      </c>
      <c r="U68" s="718">
        <v>3.3577720000000002</v>
      </c>
      <c r="V68" s="718">
        <v>3.899724</v>
      </c>
      <c r="W68" s="718">
        <v>3.183764</v>
      </c>
      <c r="X68" s="8">
        <f>SUM(X69:X72)</f>
        <v>2.2768790000000001</v>
      </c>
      <c r="AA68" s="24"/>
      <c r="AC68" s="399" t="s">
        <v>96</v>
      </c>
      <c r="AD68" s="193">
        <v>6551</v>
      </c>
      <c r="AE68" s="193">
        <v>7653</v>
      </c>
      <c r="AF68" s="193">
        <v>8093</v>
      </c>
      <c r="AG68" s="193">
        <v>9133</v>
      </c>
      <c r="AH68" s="193">
        <v>6185</v>
      </c>
      <c r="AI68" s="193">
        <v>901</v>
      </c>
      <c r="AJ68" s="193">
        <v>765</v>
      </c>
      <c r="AK68" s="193">
        <v>706</v>
      </c>
      <c r="AL68" s="193">
        <v>156</v>
      </c>
      <c r="AM68" s="193">
        <v>12</v>
      </c>
      <c r="AN68" s="193">
        <v>1</v>
      </c>
      <c r="AO68" s="193">
        <v>0</v>
      </c>
      <c r="AP68" s="193">
        <v>0</v>
      </c>
      <c r="AQ68" s="324" t="s">
        <v>97</v>
      </c>
      <c r="AR68" s="62">
        <v>681</v>
      </c>
      <c r="AS68" s="62">
        <v>670</v>
      </c>
      <c r="AT68" s="62">
        <v>655</v>
      </c>
      <c r="AU68" s="62">
        <v>697</v>
      </c>
      <c r="AV68" s="62">
        <v>826</v>
      </c>
      <c r="AW68" s="62">
        <v>757</v>
      </c>
      <c r="AX68" s="393">
        <v>740</v>
      </c>
      <c r="BA68" s="411" t="s">
        <v>2672</v>
      </c>
      <c r="BB68" s="344"/>
      <c r="BC68" s="344"/>
      <c r="BD68" s="344"/>
      <c r="BE68" s="344"/>
      <c r="BF68" s="344"/>
      <c r="BG68" s="344"/>
      <c r="BH68" s="344"/>
      <c r="BI68" s="344"/>
      <c r="BJ68" s="344"/>
      <c r="BK68" s="344"/>
      <c r="BL68" s="358"/>
    </row>
    <row r="69" spans="1:64" ht="15.75" thickBot="1" x14ac:dyDescent="0.3">
      <c r="A69" s="3" t="s">
        <v>2811</v>
      </c>
      <c r="B69" s="176" t="s">
        <v>11</v>
      </c>
      <c r="C69" s="720">
        <v>0.151084</v>
      </c>
      <c r="D69" s="720">
        <v>0.16311300000000001</v>
      </c>
      <c r="E69" s="720">
        <v>0.12562300000000001</v>
      </c>
      <c r="F69" s="720">
        <v>4.6521E-2</v>
      </c>
      <c r="G69" s="720">
        <v>3.4750999999999997E-2</v>
      </c>
      <c r="H69" s="720">
        <v>0</v>
      </c>
      <c r="I69" s="720">
        <v>0</v>
      </c>
      <c r="J69" s="721">
        <v>0</v>
      </c>
      <c r="K69" s="721">
        <v>0</v>
      </c>
      <c r="L69" s="721">
        <v>0.168709</v>
      </c>
      <c r="M69" s="721">
        <v>4.8298000000000001E-2</v>
      </c>
      <c r="N69" s="721">
        <v>0</v>
      </c>
      <c r="O69" s="721">
        <v>1.1582E-2</v>
      </c>
      <c r="P69" s="721">
        <v>1.1350000000000001E-2</v>
      </c>
      <c r="Q69" s="721">
        <v>3.4035999999999997E-2</v>
      </c>
      <c r="R69" s="720">
        <v>0.14010800000000001</v>
      </c>
      <c r="S69" s="720">
        <v>0.18796199999999999</v>
      </c>
      <c r="T69" s="720">
        <v>0.27311999999999997</v>
      </c>
      <c r="U69" s="720">
        <v>0.32593</v>
      </c>
      <c r="V69" s="720">
        <v>0.334671</v>
      </c>
      <c r="W69" s="720">
        <v>0.45749000000000001</v>
      </c>
      <c r="X69" s="3">
        <v>0.48718800000000001</v>
      </c>
      <c r="AA69" s="23"/>
      <c r="AC69" s="399" t="s">
        <v>120</v>
      </c>
      <c r="AD69" s="193">
        <v>65</v>
      </c>
      <c r="AE69" s="193">
        <v>187</v>
      </c>
      <c r="AF69" s="193">
        <v>614</v>
      </c>
      <c r="AG69" s="193">
        <v>1076</v>
      </c>
      <c r="AH69" s="193">
        <v>1214</v>
      </c>
      <c r="AI69" s="193">
        <v>930</v>
      </c>
      <c r="AJ69" s="193">
        <v>2532</v>
      </c>
      <c r="AK69" s="193">
        <v>7311</v>
      </c>
      <c r="AL69" s="193">
        <v>5260</v>
      </c>
      <c r="AM69" s="193">
        <v>4693</v>
      </c>
      <c r="AN69" s="193">
        <v>7006</v>
      </c>
      <c r="AO69" s="193">
        <v>12367</v>
      </c>
      <c r="AP69" s="193">
        <v>10173</v>
      </c>
      <c r="AQ69" s="324" t="s">
        <v>96</v>
      </c>
      <c r="AR69" s="62">
        <v>61</v>
      </c>
      <c r="AS69" s="62">
        <v>58</v>
      </c>
      <c r="AT69" s="62">
        <v>50</v>
      </c>
      <c r="AU69" s="62">
        <v>55</v>
      </c>
      <c r="AV69" s="62">
        <v>69</v>
      </c>
      <c r="AW69" s="62">
        <v>93</v>
      </c>
      <c r="AX69" s="393">
        <v>128</v>
      </c>
      <c r="BA69" s="452" t="s">
        <v>1149</v>
      </c>
      <c r="BB69" s="10">
        <v>2020</v>
      </c>
      <c r="BC69" s="10">
        <v>2025</v>
      </c>
      <c r="BD69" s="10">
        <v>2030</v>
      </c>
      <c r="BE69" s="10">
        <v>2035</v>
      </c>
      <c r="BF69" s="10">
        <v>2040</v>
      </c>
      <c r="BG69" s="10">
        <v>2045</v>
      </c>
      <c r="BH69" s="10">
        <v>2050</v>
      </c>
      <c r="BI69" s="344"/>
      <c r="BJ69" s="344"/>
      <c r="BK69" s="344"/>
      <c r="BL69" s="358"/>
    </row>
    <row r="70" spans="1:64" ht="15.75" thickTop="1" x14ac:dyDescent="0.25">
      <c r="A70" s="3" t="s">
        <v>2812</v>
      </c>
      <c r="B70" s="176" t="s">
        <v>12</v>
      </c>
      <c r="C70" s="720">
        <v>0.66575499999999999</v>
      </c>
      <c r="D70" s="720">
        <v>0.168956</v>
      </c>
      <c r="E70" s="720">
        <v>0.127441</v>
      </c>
      <c r="F70" s="720">
        <v>0.29089399999999999</v>
      </c>
      <c r="G70" s="720">
        <v>0.28531299999999998</v>
      </c>
      <c r="H70" s="720">
        <v>0.100342</v>
      </c>
      <c r="I70" s="720">
        <v>0.20217499999999999</v>
      </c>
      <c r="J70" s="721">
        <v>0.29717900000000003</v>
      </c>
      <c r="K70" s="721">
        <v>0.136022</v>
      </c>
      <c r="L70" s="721">
        <v>0.19989799999999999</v>
      </c>
      <c r="M70" s="721">
        <v>0.18345800000000001</v>
      </c>
      <c r="N70" s="721">
        <v>0.22464700000000001</v>
      </c>
      <c r="O70" s="721">
        <v>0.26613599999999998</v>
      </c>
      <c r="P70" s="721">
        <v>0.26895999999999998</v>
      </c>
      <c r="Q70" s="721">
        <v>0.36881799999999998</v>
      </c>
      <c r="R70" s="720">
        <v>0.37166500000000002</v>
      </c>
      <c r="S70" s="720">
        <v>0.426838</v>
      </c>
      <c r="T70" s="720">
        <v>0.38027899999999998</v>
      </c>
      <c r="U70" s="720">
        <v>0.31213299999999999</v>
      </c>
      <c r="V70" s="720">
        <v>0.417097</v>
      </c>
      <c r="W70" s="720">
        <v>0.26719799999999999</v>
      </c>
      <c r="X70" s="3">
        <v>0.26882600000000001</v>
      </c>
      <c r="AA70" s="23"/>
      <c r="AC70" s="399" t="s">
        <v>121</v>
      </c>
      <c r="AD70" s="193">
        <v>3436</v>
      </c>
      <c r="AE70" s="193">
        <v>6550</v>
      </c>
      <c r="AF70" s="193">
        <v>7020</v>
      </c>
      <c r="AG70" s="193">
        <v>6405</v>
      </c>
      <c r="AH70" s="193">
        <v>5056</v>
      </c>
      <c r="AI70" s="193">
        <v>4829</v>
      </c>
      <c r="AJ70" s="193">
        <v>4922</v>
      </c>
      <c r="AK70" s="193">
        <v>4731</v>
      </c>
      <c r="AL70" s="193">
        <v>7711</v>
      </c>
      <c r="AM70" s="193">
        <v>5165</v>
      </c>
      <c r="AN70" s="193">
        <v>7129</v>
      </c>
      <c r="AO70" s="193">
        <v>6658</v>
      </c>
      <c r="AP70" s="193">
        <v>10490</v>
      </c>
      <c r="AQ70" s="324" t="s">
        <v>120</v>
      </c>
      <c r="AR70" s="62">
        <v>0</v>
      </c>
      <c r="AS70" s="62">
        <v>0</v>
      </c>
      <c r="AT70" s="62">
        <v>0</v>
      </c>
      <c r="AU70" s="62">
        <v>0</v>
      </c>
      <c r="AV70" s="62">
        <v>0</v>
      </c>
      <c r="AW70" s="62">
        <v>0</v>
      </c>
      <c r="AX70" s="393">
        <v>0</v>
      </c>
      <c r="BA70" s="438" t="s">
        <v>1222</v>
      </c>
      <c r="BB70" s="344"/>
      <c r="BC70" s="344"/>
      <c r="BD70" s="344"/>
      <c r="BE70" s="344"/>
      <c r="BF70" s="344"/>
      <c r="BG70" s="344"/>
      <c r="BH70" s="344"/>
      <c r="BI70" s="344"/>
      <c r="BJ70" s="344"/>
      <c r="BK70" s="344"/>
      <c r="BL70" s="358"/>
    </row>
    <row r="71" spans="1:64" x14ac:dyDescent="0.25">
      <c r="A71" s="3" t="s">
        <v>2813</v>
      </c>
      <c r="B71" s="176" t="s">
        <v>13</v>
      </c>
      <c r="C71" s="720">
        <v>3.872744</v>
      </c>
      <c r="D71" s="720">
        <v>3.3119740000000002</v>
      </c>
      <c r="E71" s="720">
        <v>3.8118820000000002</v>
      </c>
      <c r="F71" s="720">
        <v>4.3671300000000004</v>
      </c>
      <c r="G71" s="720">
        <v>3.6294469999999999</v>
      </c>
      <c r="H71" s="720">
        <v>4.2783810000000004</v>
      </c>
      <c r="I71" s="720">
        <v>4.0395329999999996</v>
      </c>
      <c r="J71" s="721">
        <v>3.7749250000000001</v>
      </c>
      <c r="K71" s="721">
        <v>4.2375309999999997</v>
      </c>
      <c r="L71" s="721">
        <v>4.544702</v>
      </c>
      <c r="M71" s="721">
        <v>5.0230790000000001</v>
      </c>
      <c r="N71" s="721">
        <v>5.4218729999999997</v>
      </c>
      <c r="O71" s="721">
        <v>4.9025049999999997</v>
      </c>
      <c r="P71" s="721">
        <v>4.2590009999999996</v>
      </c>
      <c r="Q71" s="721">
        <v>3.7900309999999999</v>
      </c>
      <c r="R71" s="720">
        <v>3.4942389999999999</v>
      </c>
      <c r="S71" s="720">
        <v>3.5483169999999999</v>
      </c>
      <c r="T71" s="720">
        <v>1.7096519999999999</v>
      </c>
      <c r="U71" s="720">
        <v>2.7790170000000001</v>
      </c>
      <c r="V71" s="720">
        <v>3.2013410000000002</v>
      </c>
      <c r="W71" s="720">
        <v>1.8437190000000001</v>
      </c>
      <c r="X71" s="3">
        <v>1.5208649999999999</v>
      </c>
      <c r="AA71" s="23"/>
      <c r="AC71" s="399" t="s">
        <v>122</v>
      </c>
      <c r="AD71" s="193">
        <v>163</v>
      </c>
      <c r="AE71" s="193">
        <v>433</v>
      </c>
      <c r="AF71" s="193">
        <v>472</v>
      </c>
      <c r="AG71" s="193">
        <v>640</v>
      </c>
      <c r="AH71" s="193">
        <v>700</v>
      </c>
      <c r="AI71" s="193">
        <v>2042</v>
      </c>
      <c r="AJ71" s="193">
        <v>3659</v>
      </c>
      <c r="AK71" s="193">
        <v>5517</v>
      </c>
      <c r="AL71" s="193">
        <v>1864</v>
      </c>
      <c r="AM71" s="193">
        <v>1006</v>
      </c>
      <c r="AN71" s="193">
        <v>1029</v>
      </c>
      <c r="AO71" s="193">
        <v>793</v>
      </c>
      <c r="AP71" s="193">
        <v>826</v>
      </c>
      <c r="AQ71" s="324" t="s">
        <v>121</v>
      </c>
      <c r="AR71" s="62">
        <v>0</v>
      </c>
      <c r="AS71" s="62">
        <v>0</v>
      </c>
      <c r="AT71" s="62">
        <v>0</v>
      </c>
      <c r="AU71" s="62">
        <v>0</v>
      </c>
      <c r="AV71" s="62">
        <v>0</v>
      </c>
      <c r="AW71" s="62">
        <v>0</v>
      </c>
      <c r="AX71" s="393">
        <v>0</v>
      </c>
      <c r="BA71" s="319" t="s">
        <v>1077</v>
      </c>
      <c r="BB71" s="328">
        <v>500000</v>
      </c>
      <c r="BC71" s="328">
        <v>512000</v>
      </c>
      <c r="BD71" s="328">
        <v>525000</v>
      </c>
      <c r="BE71" s="328">
        <v>537000</v>
      </c>
      <c r="BF71" s="328">
        <v>537000</v>
      </c>
      <c r="BG71" s="328">
        <v>537000</v>
      </c>
      <c r="BH71" s="328">
        <v>537000</v>
      </c>
      <c r="BI71" s="344"/>
      <c r="BJ71" s="344"/>
      <c r="BK71" s="344"/>
      <c r="BL71" s="358"/>
    </row>
    <row r="72" spans="1:64" x14ac:dyDescent="0.25">
      <c r="A72" s="3" t="s">
        <v>2814</v>
      </c>
      <c r="B72" s="176" t="s">
        <v>14</v>
      </c>
      <c r="C72" s="720"/>
      <c r="D72" s="720"/>
      <c r="E72" s="720"/>
      <c r="F72" s="720"/>
      <c r="G72" s="720"/>
      <c r="H72" s="720"/>
      <c r="I72" s="720"/>
      <c r="J72" s="721">
        <v>1.1126E-2</v>
      </c>
      <c r="K72" s="721">
        <v>6.3049999999999998E-3</v>
      </c>
      <c r="L72" s="721">
        <v>8.9569999999999997E-3</v>
      </c>
      <c r="M72" s="721">
        <v>8.7749999999999998E-3</v>
      </c>
      <c r="N72" s="721">
        <v>1.2394000000000001E-2</v>
      </c>
      <c r="O72" s="721">
        <v>1.5938999999999998E-2</v>
      </c>
      <c r="P72" s="721">
        <v>1.5313999999999999E-2</v>
      </c>
      <c r="Q72" s="721">
        <v>2.2429999999999999E-2</v>
      </c>
      <c r="R72" s="720"/>
      <c r="S72" s="720"/>
      <c r="T72" s="720"/>
      <c r="U72" s="720"/>
      <c r="V72" s="720"/>
      <c r="W72" s="720"/>
      <c r="AC72" s="400" t="s">
        <v>174</v>
      </c>
      <c r="AD72" s="389">
        <v>0</v>
      </c>
      <c r="AE72" s="389">
        <v>0</v>
      </c>
      <c r="AF72" s="389">
        <v>0</v>
      </c>
      <c r="AG72" s="389">
        <v>0</v>
      </c>
      <c r="AH72" s="389">
        <v>0</v>
      </c>
      <c r="AI72" s="389">
        <v>3</v>
      </c>
      <c r="AJ72" s="389">
        <v>0</v>
      </c>
      <c r="AK72" s="389">
        <v>0</v>
      </c>
      <c r="AL72" s="389">
        <v>0</v>
      </c>
      <c r="AM72" s="389">
        <v>1</v>
      </c>
      <c r="AN72" s="389">
        <v>0</v>
      </c>
      <c r="AO72" s="389">
        <v>1</v>
      </c>
      <c r="AP72" s="389">
        <v>0</v>
      </c>
      <c r="AQ72" s="324" t="s">
        <v>122</v>
      </c>
      <c r="AR72" s="62">
        <v>0</v>
      </c>
      <c r="AS72" s="62">
        <v>0</v>
      </c>
      <c r="AT72" s="62">
        <v>0</v>
      </c>
      <c r="AU72" s="62">
        <v>0</v>
      </c>
      <c r="AV72" s="62">
        <v>0</v>
      </c>
      <c r="AW72" s="62">
        <v>0</v>
      </c>
      <c r="AX72" s="393">
        <v>0</v>
      </c>
      <c r="BA72" s="319" t="s">
        <v>224</v>
      </c>
      <c r="BB72" s="328">
        <v>675000</v>
      </c>
      <c r="BC72" s="328">
        <v>692000</v>
      </c>
      <c r="BD72" s="328">
        <v>709000</v>
      </c>
      <c r="BE72" s="328">
        <v>725000</v>
      </c>
      <c r="BF72" s="328">
        <v>725000</v>
      </c>
      <c r="BG72" s="328">
        <v>725000</v>
      </c>
      <c r="BH72" s="328">
        <v>725000</v>
      </c>
      <c r="BI72" s="344"/>
      <c r="BJ72" s="344"/>
      <c r="BK72" s="344"/>
      <c r="BL72" s="358"/>
    </row>
    <row r="73" spans="1:64" x14ac:dyDescent="0.25">
      <c r="A73" s="3" t="s">
        <v>43</v>
      </c>
      <c r="B73" s="722" t="s">
        <v>43</v>
      </c>
      <c r="C73" s="719">
        <v>9.4852129999999999</v>
      </c>
      <c r="D73" s="719">
        <v>8.5424399999999991</v>
      </c>
      <c r="E73" s="719">
        <v>10.274524</v>
      </c>
      <c r="F73" s="719">
        <v>10.71255</v>
      </c>
      <c r="G73" s="719">
        <v>10.853673000000001</v>
      </c>
      <c r="H73" s="719">
        <v>12.391415</v>
      </c>
      <c r="I73" s="719">
        <v>10.146985000000001</v>
      </c>
      <c r="J73" s="719">
        <v>10.549376000000001</v>
      </c>
      <c r="K73" s="719">
        <v>11.113818</v>
      </c>
      <c r="L73" s="719">
        <v>12.038605</v>
      </c>
      <c r="M73" s="719">
        <v>13.28627</v>
      </c>
      <c r="N73" s="719">
        <v>14.083425</v>
      </c>
      <c r="O73" s="719">
        <v>13.356555999999999</v>
      </c>
      <c r="P73" s="719">
        <v>14.081363</v>
      </c>
      <c r="Q73" s="719">
        <v>13.017598</v>
      </c>
      <c r="R73" s="719">
        <v>13.027352</v>
      </c>
      <c r="S73" s="719">
        <v>11.052978</v>
      </c>
      <c r="T73" s="719">
        <v>11.842838</v>
      </c>
      <c r="U73" s="719">
        <v>12.462740999999999</v>
      </c>
      <c r="V73" s="719">
        <v>12.674037999999999</v>
      </c>
      <c r="W73" s="719">
        <v>9.5452720000000006</v>
      </c>
      <c r="X73" s="4">
        <f>SUM(X74:X79)</f>
        <v>7.2213019999999997</v>
      </c>
      <c r="AC73" s="398" t="s">
        <v>175</v>
      </c>
      <c r="AD73" s="39">
        <v>78026</v>
      </c>
      <c r="AE73" s="39">
        <v>66687</v>
      </c>
      <c r="AF73" s="39">
        <v>80404</v>
      </c>
      <c r="AG73" s="39">
        <v>86768</v>
      </c>
      <c r="AH73" s="39">
        <v>104179</v>
      </c>
      <c r="AI73" s="39">
        <v>126824</v>
      </c>
      <c r="AJ73" s="39">
        <v>144064</v>
      </c>
      <c r="AK73" s="39">
        <v>135361</v>
      </c>
      <c r="AL73" s="39">
        <v>144661</v>
      </c>
      <c r="AM73" s="39">
        <v>127770</v>
      </c>
      <c r="AN73" s="39">
        <v>117894</v>
      </c>
      <c r="AO73" s="39">
        <v>122767</v>
      </c>
      <c r="AP73" s="39">
        <v>127652</v>
      </c>
      <c r="AQ73" s="324" t="s">
        <v>616</v>
      </c>
      <c r="AR73" s="62">
        <v>24</v>
      </c>
      <c r="AS73" s="62">
        <v>23</v>
      </c>
      <c r="AT73" s="62">
        <v>22</v>
      </c>
      <c r="AU73" s="62">
        <v>22</v>
      </c>
      <c r="AV73" s="62">
        <v>20</v>
      </c>
      <c r="AW73" s="62">
        <v>15</v>
      </c>
      <c r="AX73" s="393">
        <v>16</v>
      </c>
      <c r="BA73" s="319" t="s">
        <v>230</v>
      </c>
      <c r="BB73" s="328">
        <v>676000</v>
      </c>
      <c r="BC73" s="328">
        <v>642000</v>
      </c>
      <c r="BD73" s="328">
        <v>609000</v>
      </c>
      <c r="BE73" s="328">
        <v>576000</v>
      </c>
      <c r="BF73" s="328">
        <v>565000</v>
      </c>
      <c r="BG73" s="328">
        <v>554000</v>
      </c>
      <c r="BH73" s="328">
        <v>544000</v>
      </c>
      <c r="BI73" s="344"/>
      <c r="BJ73" s="344"/>
      <c r="BK73" s="344"/>
      <c r="BL73" s="358"/>
    </row>
    <row r="74" spans="1:64" s="16" customFormat="1" x14ac:dyDescent="0.25">
      <c r="A74" s="16" t="s">
        <v>2816</v>
      </c>
      <c r="B74" s="176" t="s">
        <v>44</v>
      </c>
      <c r="C74" s="717">
        <v>1.3640000000000001</v>
      </c>
      <c r="D74" s="717">
        <v>1.3180000000000001</v>
      </c>
      <c r="E74" s="717">
        <v>1.3939999999999999</v>
      </c>
      <c r="F74" s="717">
        <v>1.35</v>
      </c>
      <c r="G74" s="717">
        <v>1.355</v>
      </c>
      <c r="H74" s="717">
        <v>1.411</v>
      </c>
      <c r="I74" s="717">
        <v>1.601</v>
      </c>
      <c r="J74" s="717">
        <v>1.17</v>
      </c>
      <c r="K74" s="717">
        <v>1.56</v>
      </c>
      <c r="L74" s="717">
        <v>1.149</v>
      </c>
      <c r="M74" s="717">
        <v>1.171</v>
      </c>
      <c r="N74" s="717">
        <v>1.1839999999999999</v>
      </c>
      <c r="O74" s="717">
        <v>1.1439999999999999</v>
      </c>
      <c r="P74" s="717">
        <v>1.177</v>
      </c>
      <c r="Q74" s="717">
        <v>1.474</v>
      </c>
      <c r="R74" s="717">
        <v>1.5269999999999999</v>
      </c>
      <c r="S74" s="717">
        <v>1.5409999999999999</v>
      </c>
      <c r="T74" s="717">
        <v>1.504</v>
      </c>
      <c r="U74" s="717">
        <v>1.506</v>
      </c>
      <c r="V74" s="717">
        <v>1.5209999999999999</v>
      </c>
      <c r="W74" s="717">
        <v>1.4770000000000001</v>
      </c>
      <c r="X74" s="3">
        <v>1.5569999999999999</v>
      </c>
      <c r="Y74"/>
      <c r="Z74"/>
      <c r="AA74" s="21"/>
      <c r="AB74" s="3"/>
      <c r="AC74" s="399" t="s">
        <v>97</v>
      </c>
      <c r="AD74" s="193">
        <v>72623</v>
      </c>
      <c r="AE74" s="193">
        <v>61660</v>
      </c>
      <c r="AF74" s="193">
        <v>75101</v>
      </c>
      <c r="AG74" s="193">
        <v>78237</v>
      </c>
      <c r="AH74" s="193">
        <v>93072</v>
      </c>
      <c r="AI74" s="193">
        <v>112697</v>
      </c>
      <c r="AJ74" s="193">
        <v>131320</v>
      </c>
      <c r="AK74" s="193">
        <v>119961</v>
      </c>
      <c r="AL74" s="193">
        <v>131202</v>
      </c>
      <c r="AM74" s="193">
        <v>112660</v>
      </c>
      <c r="AN74" s="193">
        <v>100498</v>
      </c>
      <c r="AO74" s="193">
        <v>97686</v>
      </c>
      <c r="AP74" s="193">
        <v>103278</v>
      </c>
      <c r="AQ74" s="226" t="s">
        <v>838</v>
      </c>
      <c r="AR74" s="401">
        <v>122905</v>
      </c>
      <c r="AS74" s="401">
        <v>125671</v>
      </c>
      <c r="AT74" s="401">
        <v>128102</v>
      </c>
      <c r="AU74" s="401">
        <v>138081</v>
      </c>
      <c r="AV74" s="401">
        <v>152693</v>
      </c>
      <c r="AW74" s="401">
        <v>148436</v>
      </c>
      <c r="AX74" s="737">
        <v>147657</v>
      </c>
      <c r="BA74" s="319" t="s">
        <v>496</v>
      </c>
      <c r="BB74" s="328">
        <v>666000</v>
      </c>
      <c r="BC74" s="328">
        <v>644000</v>
      </c>
      <c r="BD74" s="328">
        <v>622000</v>
      </c>
      <c r="BE74" s="328">
        <v>601000</v>
      </c>
      <c r="BF74" s="328">
        <v>585000</v>
      </c>
      <c r="BG74" s="328">
        <v>570000</v>
      </c>
      <c r="BH74" s="328">
        <v>554000</v>
      </c>
      <c r="BI74" s="397"/>
      <c r="BJ74" s="397"/>
      <c r="BK74" s="397"/>
      <c r="BL74" s="403"/>
    </row>
    <row r="75" spans="1:64" x14ac:dyDescent="0.25">
      <c r="A75" s="3" t="s">
        <v>2817</v>
      </c>
      <c r="B75" s="176" t="s">
        <v>11</v>
      </c>
      <c r="C75" s="717">
        <v>0.68569199999999997</v>
      </c>
      <c r="D75" s="717">
        <v>0.42829800000000001</v>
      </c>
      <c r="E75" s="717">
        <v>0.44459900000000002</v>
      </c>
      <c r="F75" s="717">
        <v>0.502166</v>
      </c>
      <c r="G75" s="717">
        <v>0.45599699999999999</v>
      </c>
      <c r="H75" s="717">
        <v>0.472165</v>
      </c>
      <c r="I75" s="717">
        <v>0.40699299999999999</v>
      </c>
      <c r="J75" s="717">
        <v>0.49617499999999998</v>
      </c>
      <c r="K75" s="717">
        <v>0.49492599999999998</v>
      </c>
      <c r="L75" s="717">
        <v>0.390816</v>
      </c>
      <c r="M75" s="717">
        <v>0.39021099999999997</v>
      </c>
      <c r="N75" s="717">
        <v>0.140793</v>
      </c>
      <c r="O75" s="717">
        <v>0.22440199999999999</v>
      </c>
      <c r="P75" s="717">
        <v>0.193777</v>
      </c>
      <c r="Q75" s="717">
        <v>0.30918099999999998</v>
      </c>
      <c r="R75" s="717">
        <v>0.28578700000000001</v>
      </c>
      <c r="S75" s="717">
        <v>0.254666</v>
      </c>
      <c r="T75" s="717">
        <v>0.27463500000000002</v>
      </c>
      <c r="U75" s="717">
        <v>0.324818</v>
      </c>
      <c r="V75" s="717">
        <v>0.30559700000000001</v>
      </c>
      <c r="W75" s="717">
        <v>0.22004399999999999</v>
      </c>
      <c r="X75" s="3">
        <v>0.17266400000000001</v>
      </c>
      <c r="AC75" s="399" t="s">
        <v>96</v>
      </c>
      <c r="AD75" s="193">
        <v>5336</v>
      </c>
      <c r="AE75" s="193">
        <v>4967</v>
      </c>
      <c r="AF75" s="193">
        <v>5291</v>
      </c>
      <c r="AG75" s="193">
        <v>8530</v>
      </c>
      <c r="AH75" s="193">
        <v>11106</v>
      </c>
      <c r="AI75" s="193">
        <v>14126</v>
      </c>
      <c r="AJ75" s="193">
        <v>12743</v>
      </c>
      <c r="AK75" s="193">
        <v>15400</v>
      </c>
      <c r="AL75" s="193">
        <v>13459</v>
      </c>
      <c r="AM75" s="193">
        <v>15100</v>
      </c>
      <c r="AN75" s="193">
        <v>15068</v>
      </c>
      <c r="AO75" s="193">
        <v>19445</v>
      </c>
      <c r="AP75" s="193">
        <v>18114</v>
      </c>
      <c r="AQ75" s="324" t="s">
        <v>97</v>
      </c>
      <c r="AR75" s="193">
        <v>44499</v>
      </c>
      <c r="AS75" s="193">
        <v>46834</v>
      </c>
      <c r="AT75" s="193">
        <v>48848</v>
      </c>
      <c r="AU75" s="193">
        <v>53477</v>
      </c>
      <c r="AV75" s="193">
        <v>58781</v>
      </c>
      <c r="AW75" s="193">
        <v>58902</v>
      </c>
      <c r="AX75" s="395">
        <v>59531</v>
      </c>
      <c r="BA75" s="438" t="s">
        <v>1222</v>
      </c>
      <c r="BB75" s="402"/>
      <c r="BC75" s="402"/>
      <c r="BD75" s="402"/>
      <c r="BE75" s="402"/>
      <c r="BF75" s="402"/>
      <c r="BG75" s="402"/>
      <c r="BH75" s="402"/>
      <c r="BI75" s="344"/>
      <c r="BJ75" s="344"/>
      <c r="BK75" s="344"/>
      <c r="BL75" s="358"/>
    </row>
    <row r="76" spans="1:64" s="20" customFormat="1" x14ac:dyDescent="0.25">
      <c r="A76" s="20" t="s">
        <v>2818</v>
      </c>
      <c r="B76" s="176" t="s">
        <v>12</v>
      </c>
      <c r="C76" s="717">
        <v>1.6820999999999999E-2</v>
      </c>
      <c r="D76" s="717">
        <v>2.9722999999999999E-2</v>
      </c>
      <c r="E76" s="717">
        <v>4.2960999999999999E-2</v>
      </c>
      <c r="F76" s="717">
        <v>4.8107999999999998E-2</v>
      </c>
      <c r="G76" s="717">
        <v>2.5139000000000002E-2</v>
      </c>
      <c r="H76" s="717">
        <v>1.7239000000000001E-2</v>
      </c>
      <c r="I76" s="717">
        <v>8.1709999999999994E-3</v>
      </c>
      <c r="J76" s="717">
        <v>1.2288E-2</v>
      </c>
      <c r="K76" s="717">
        <v>1.9505000000000002E-2</v>
      </c>
      <c r="L76" s="717">
        <v>1.7649000000000001E-2</v>
      </c>
      <c r="M76" s="717">
        <v>2.0490999999999999E-2</v>
      </c>
      <c r="N76" s="717">
        <v>2.5127E-2</v>
      </c>
      <c r="O76" s="717">
        <v>1.9820999999999998E-2</v>
      </c>
      <c r="P76" s="717">
        <v>6.6780000000000006E-2</v>
      </c>
      <c r="Q76" s="717">
        <v>7.5556999999999999E-2</v>
      </c>
      <c r="R76" s="717">
        <v>9.1785000000000005E-2</v>
      </c>
      <c r="S76" s="717">
        <v>0.113649</v>
      </c>
      <c r="T76" s="717">
        <v>0.17688799999999999</v>
      </c>
      <c r="U76" s="717">
        <v>0.218005</v>
      </c>
      <c r="V76" s="717">
        <v>0.242925</v>
      </c>
      <c r="W76" s="717">
        <v>0.158549</v>
      </c>
      <c r="X76" s="3">
        <v>0.163075</v>
      </c>
      <c r="Y76"/>
      <c r="Z76"/>
      <c r="AA76" s="21"/>
      <c r="AC76" s="399" t="s">
        <v>120</v>
      </c>
      <c r="AD76" s="193">
        <v>0</v>
      </c>
      <c r="AE76" s="193">
        <v>0</v>
      </c>
      <c r="AF76" s="193">
        <v>0</v>
      </c>
      <c r="AG76" s="193">
        <v>0</v>
      </c>
      <c r="AH76" s="193">
        <v>0</v>
      </c>
      <c r="AI76" s="193">
        <v>0</v>
      </c>
      <c r="AJ76" s="193">
        <v>0</v>
      </c>
      <c r="AK76" s="193">
        <v>0</v>
      </c>
      <c r="AL76" s="193">
        <v>0</v>
      </c>
      <c r="AM76" s="193">
        <v>0</v>
      </c>
      <c r="AN76" s="193">
        <v>0</v>
      </c>
      <c r="AO76" s="193">
        <v>873</v>
      </c>
      <c r="AP76" s="193">
        <v>1809</v>
      </c>
      <c r="AQ76" s="324" t="s">
        <v>96</v>
      </c>
      <c r="AR76" s="193">
        <v>78401</v>
      </c>
      <c r="AS76" s="193">
        <v>78833</v>
      </c>
      <c r="AT76" s="193">
        <v>79250</v>
      </c>
      <c r="AU76" s="193">
        <v>84597</v>
      </c>
      <c r="AV76" s="193">
        <v>93902</v>
      </c>
      <c r="AW76" s="193">
        <v>89523</v>
      </c>
      <c r="AX76" s="395">
        <v>88096</v>
      </c>
      <c r="BA76" s="319" t="s">
        <v>1077</v>
      </c>
      <c r="BB76" s="328">
        <v>500000</v>
      </c>
      <c r="BC76" s="328">
        <v>512000</v>
      </c>
      <c r="BD76" s="328">
        <v>525000</v>
      </c>
      <c r="BE76" s="328">
        <v>537000</v>
      </c>
      <c r="BF76" s="328">
        <v>537000</v>
      </c>
      <c r="BG76" s="328">
        <v>537000</v>
      </c>
      <c r="BH76" s="328">
        <v>537000</v>
      </c>
      <c r="BI76" s="402"/>
      <c r="BJ76" s="402"/>
      <c r="BK76" s="402"/>
      <c r="BL76" s="404"/>
    </row>
    <row r="77" spans="1:64" x14ac:dyDescent="0.25">
      <c r="A77" s="3" t="s">
        <v>2819</v>
      </c>
      <c r="B77" s="176" t="s">
        <v>13</v>
      </c>
      <c r="C77" s="717">
        <v>7.4187010000000004</v>
      </c>
      <c r="D77" s="717">
        <v>6.6480670000000002</v>
      </c>
      <c r="E77" s="717">
        <v>8.210051</v>
      </c>
      <c r="F77" s="717">
        <v>8.5899289999999997</v>
      </c>
      <c r="G77" s="717">
        <v>8.5381020000000003</v>
      </c>
      <c r="H77" s="717">
        <v>9.1746110000000005</v>
      </c>
      <c r="I77" s="717">
        <v>8.1308209999999992</v>
      </c>
      <c r="J77" s="717">
        <v>8.8704520000000002</v>
      </c>
      <c r="K77" s="717">
        <v>9.0384820000000001</v>
      </c>
      <c r="L77" s="717">
        <v>10.480349</v>
      </c>
      <c r="M77" s="717">
        <v>11.703588999999999</v>
      </c>
      <c r="N77" s="717">
        <v>12.732118</v>
      </c>
      <c r="O77" s="717">
        <v>11.967146</v>
      </c>
      <c r="P77" s="717">
        <v>12.640002000000001</v>
      </c>
      <c r="Q77" s="717">
        <v>11.154265000000001</v>
      </c>
      <c r="R77" s="717">
        <v>11.122775000000001</v>
      </c>
      <c r="S77" s="717">
        <v>9.1436539999999997</v>
      </c>
      <c r="T77" s="717">
        <v>10.151546</v>
      </c>
      <c r="U77" s="717">
        <v>10.640644999999999</v>
      </c>
      <c r="V77" s="717">
        <v>10.783906999999999</v>
      </c>
      <c r="W77" s="717">
        <v>6.0691980000000001</v>
      </c>
      <c r="X77" s="3">
        <v>5.3285629999999999</v>
      </c>
      <c r="AC77" s="399" t="s">
        <v>121</v>
      </c>
      <c r="AD77" s="193">
        <v>67</v>
      </c>
      <c r="AE77" s="193">
        <v>59</v>
      </c>
      <c r="AF77" s="193">
        <v>9</v>
      </c>
      <c r="AG77" s="193">
        <v>1</v>
      </c>
      <c r="AH77" s="193">
        <v>0</v>
      </c>
      <c r="AI77" s="193">
        <v>0</v>
      </c>
      <c r="AJ77" s="193">
        <v>0</v>
      </c>
      <c r="AK77" s="193">
        <v>0</v>
      </c>
      <c r="AL77" s="193">
        <v>0</v>
      </c>
      <c r="AM77" s="193">
        <v>10</v>
      </c>
      <c r="AN77" s="193">
        <v>2328</v>
      </c>
      <c r="AO77" s="193">
        <v>4763</v>
      </c>
      <c r="AP77" s="193">
        <v>4451</v>
      </c>
      <c r="AQ77" s="324" t="s">
        <v>120</v>
      </c>
      <c r="AR77" s="62">
        <v>1</v>
      </c>
      <c r="AS77" s="62">
        <v>1</v>
      </c>
      <c r="AT77" s="62">
        <v>0</v>
      </c>
      <c r="AU77" s="62">
        <v>0</v>
      </c>
      <c r="AV77" s="62">
        <v>0</v>
      </c>
      <c r="AW77" s="62">
        <v>0</v>
      </c>
      <c r="AX77" s="395">
        <v>20</v>
      </c>
      <c r="AY77" s="740">
        <f>AX77/AX74</f>
        <v>1.3544904745457377E-4</v>
      </c>
      <c r="BA77" s="319" t="s">
        <v>224</v>
      </c>
      <c r="BB77" s="328">
        <v>675000</v>
      </c>
      <c r="BC77" s="328">
        <v>692000</v>
      </c>
      <c r="BD77" s="328">
        <v>709000</v>
      </c>
      <c r="BE77" s="328">
        <v>725000</v>
      </c>
      <c r="BF77" s="328">
        <v>725000</v>
      </c>
      <c r="BG77" s="328">
        <v>725000</v>
      </c>
      <c r="BH77" s="328">
        <v>725000</v>
      </c>
      <c r="BI77" s="344"/>
      <c r="BJ77" s="344"/>
      <c r="BK77" s="344"/>
      <c r="BL77" s="358"/>
    </row>
    <row r="78" spans="1:64" x14ac:dyDescent="0.25">
      <c r="A78" s="3" t="s">
        <v>2820</v>
      </c>
      <c r="B78" s="176" t="s">
        <v>14</v>
      </c>
      <c r="C78" s="716"/>
      <c r="D78" s="716"/>
      <c r="E78" s="716"/>
      <c r="F78" s="716"/>
      <c r="G78" s="716"/>
      <c r="H78" s="716"/>
      <c r="I78" s="716"/>
      <c r="J78" s="717">
        <v>4.6000000000000001E-4</v>
      </c>
      <c r="K78" s="717">
        <v>9.0399999999999996E-4</v>
      </c>
      <c r="L78" s="717">
        <v>7.9100000000000004E-4</v>
      </c>
      <c r="M78" s="717">
        <v>9.7999999999999997E-4</v>
      </c>
      <c r="N78" s="717">
        <v>1.3860000000000001E-3</v>
      </c>
      <c r="O78" s="717">
        <v>1.1869999999999999E-3</v>
      </c>
      <c r="P78" s="717">
        <v>3.8019999999999998E-3</v>
      </c>
      <c r="Q78" s="717">
        <v>4.5950000000000001E-3</v>
      </c>
      <c r="R78" s="716"/>
      <c r="S78" s="716"/>
      <c r="T78" s="716"/>
      <c r="U78" s="716"/>
      <c r="V78" s="716"/>
      <c r="W78" s="716"/>
      <c r="AC78" s="400" t="s">
        <v>122</v>
      </c>
      <c r="AD78" s="389">
        <v>0</v>
      </c>
      <c r="AE78" s="389">
        <v>0</v>
      </c>
      <c r="AF78" s="389">
        <v>0</v>
      </c>
      <c r="AG78" s="389">
        <v>0</v>
      </c>
      <c r="AH78" s="389">
        <v>0</v>
      </c>
      <c r="AI78" s="389">
        <v>0</v>
      </c>
      <c r="AJ78" s="389">
        <v>0</v>
      </c>
      <c r="AK78" s="389">
        <v>0</v>
      </c>
      <c r="AL78" s="389">
        <v>0</v>
      </c>
      <c r="AM78" s="389">
        <v>0</v>
      </c>
      <c r="AN78" s="389">
        <v>0</v>
      </c>
      <c r="AO78" s="389">
        <v>0</v>
      </c>
      <c r="AP78" s="389">
        <v>0</v>
      </c>
      <c r="AQ78" s="324" t="s">
        <v>121</v>
      </c>
      <c r="AR78" s="389">
        <v>0</v>
      </c>
      <c r="AS78" s="389">
        <v>0</v>
      </c>
      <c r="AT78" s="389">
        <v>0</v>
      </c>
      <c r="AU78" s="389">
        <v>0</v>
      </c>
      <c r="AV78" s="389">
        <v>0</v>
      </c>
      <c r="AW78" s="389">
        <v>0</v>
      </c>
      <c r="AX78" s="736">
        <v>0</v>
      </c>
      <c r="BA78" s="319" t="s">
        <v>230</v>
      </c>
      <c r="BB78" s="328">
        <v>668000</v>
      </c>
      <c r="BC78" s="328">
        <v>637000</v>
      </c>
      <c r="BD78" s="328">
        <v>605000</v>
      </c>
      <c r="BE78" s="328">
        <v>574000</v>
      </c>
      <c r="BF78" s="328">
        <v>563000</v>
      </c>
      <c r="BG78" s="328">
        <v>553000</v>
      </c>
      <c r="BH78" s="328">
        <v>543000</v>
      </c>
      <c r="BI78" s="344"/>
      <c r="BJ78" s="344"/>
      <c r="BK78" s="344"/>
      <c r="BL78" s="358"/>
    </row>
    <row r="79" spans="1:64" x14ac:dyDescent="0.25">
      <c r="A79" s="3" t="s">
        <v>2821</v>
      </c>
      <c r="B79" s="176" t="s">
        <v>16</v>
      </c>
      <c r="C79" s="717">
        <v>0</v>
      </c>
      <c r="D79" s="717">
        <v>0.118352</v>
      </c>
      <c r="E79" s="717">
        <v>0.18291299999999999</v>
      </c>
      <c r="F79" s="717">
        <v>0.22234699999999999</v>
      </c>
      <c r="G79" s="717">
        <v>0.479435</v>
      </c>
      <c r="H79" s="717">
        <v>1.3164</v>
      </c>
      <c r="I79" s="717">
        <v>0</v>
      </c>
      <c r="J79" s="717">
        <v>0</v>
      </c>
      <c r="K79" s="717">
        <v>0</v>
      </c>
      <c r="L79" s="717">
        <v>0</v>
      </c>
      <c r="M79" s="717">
        <v>0</v>
      </c>
      <c r="N79" s="717">
        <v>0</v>
      </c>
      <c r="O79" s="717">
        <v>0</v>
      </c>
      <c r="P79" s="717">
        <v>0</v>
      </c>
      <c r="Q79" s="717">
        <v>0</v>
      </c>
      <c r="R79" s="717">
        <v>0</v>
      </c>
      <c r="S79" s="717">
        <v>0</v>
      </c>
      <c r="T79" s="717">
        <v>0</v>
      </c>
      <c r="U79" s="717">
        <v>0</v>
      </c>
      <c r="V79" s="717">
        <v>0</v>
      </c>
      <c r="W79" s="717">
        <v>0</v>
      </c>
      <c r="X79" s="3">
        <v>0</v>
      </c>
      <c r="AC79" s="400" t="s">
        <v>174</v>
      </c>
      <c r="AD79" s="389">
        <v>0</v>
      </c>
      <c r="AE79" s="389">
        <v>1</v>
      </c>
      <c r="AF79" s="389">
        <v>3</v>
      </c>
      <c r="AG79" s="389">
        <v>0</v>
      </c>
      <c r="AH79" s="389">
        <v>1</v>
      </c>
      <c r="AI79" s="389">
        <v>1</v>
      </c>
      <c r="AJ79" s="389">
        <v>1</v>
      </c>
      <c r="AK79" s="389">
        <v>0</v>
      </c>
      <c r="AL79" s="389">
        <v>0</v>
      </c>
      <c r="AM79" s="389">
        <v>0</v>
      </c>
      <c r="AN79" s="389">
        <v>0</v>
      </c>
      <c r="AO79" s="389">
        <v>0</v>
      </c>
      <c r="AP79" s="389">
        <v>0</v>
      </c>
      <c r="AQ79" s="324" t="s">
        <v>122</v>
      </c>
      <c r="AR79" s="62">
        <v>0</v>
      </c>
      <c r="AS79" s="62">
        <v>0</v>
      </c>
      <c r="AT79" s="62">
        <v>0</v>
      </c>
      <c r="AU79" s="62">
        <v>0</v>
      </c>
      <c r="AV79" s="62">
        <v>0</v>
      </c>
      <c r="AW79" s="62">
        <v>0</v>
      </c>
      <c r="AX79" s="393">
        <v>0</v>
      </c>
      <c r="BA79" s="319" t="s">
        <v>496</v>
      </c>
      <c r="BB79" s="328">
        <v>664000</v>
      </c>
      <c r="BC79" s="328">
        <v>643000</v>
      </c>
      <c r="BD79" s="328">
        <v>621000</v>
      </c>
      <c r="BE79" s="328">
        <v>600000</v>
      </c>
      <c r="BF79" s="328">
        <v>585000</v>
      </c>
      <c r="BG79" s="328">
        <v>569000</v>
      </c>
      <c r="BH79" s="328">
        <v>554000</v>
      </c>
      <c r="BI79" s="344"/>
      <c r="BJ79" s="344"/>
      <c r="BK79" s="344"/>
      <c r="BL79" s="358"/>
    </row>
    <row r="80" spans="1:64" x14ac:dyDescent="0.25">
      <c r="A80" s="3" t="s">
        <v>47</v>
      </c>
      <c r="B80" s="722" t="s">
        <v>47</v>
      </c>
      <c r="C80" s="704">
        <v>2.2366480000000002</v>
      </c>
      <c r="D80" s="704">
        <v>1.9736389999999999</v>
      </c>
      <c r="E80" s="704">
        <v>2.3986100000000001</v>
      </c>
      <c r="F80" s="704">
        <v>2.242375</v>
      </c>
      <c r="G80" s="704">
        <v>1.9964679999999999</v>
      </c>
      <c r="H80" s="704">
        <v>2.3589609999999999</v>
      </c>
      <c r="I80" s="704">
        <v>2.0345949999999999</v>
      </c>
      <c r="J80" s="704">
        <v>2.0804279999999999</v>
      </c>
      <c r="K80" s="704">
        <v>2.0780650000000001</v>
      </c>
      <c r="L80" s="704">
        <v>1.7445930000000001</v>
      </c>
      <c r="M80" s="704">
        <v>1.854978</v>
      </c>
      <c r="N80" s="704">
        <v>1.874082</v>
      </c>
      <c r="O80" s="704">
        <v>1.8783609999999999</v>
      </c>
      <c r="P80" s="704">
        <v>2.0735999999999999</v>
      </c>
      <c r="Q80" s="704">
        <v>2.0792030000000001</v>
      </c>
      <c r="R80" s="704">
        <v>1.7375210000000001</v>
      </c>
      <c r="S80" s="704">
        <v>1.3920189999999999</v>
      </c>
      <c r="T80" s="704">
        <v>0.93057299999999998</v>
      </c>
      <c r="U80" s="704">
        <v>0.80002899999999999</v>
      </c>
      <c r="V80" s="704">
        <v>0.80151700000000003</v>
      </c>
      <c r="W80" s="704">
        <v>0.65678999999999998</v>
      </c>
      <c r="X80" s="4">
        <f>SUM(X81:X83)</f>
        <v>0.31557600000000002</v>
      </c>
      <c r="AC80" s="398" t="s">
        <v>176</v>
      </c>
      <c r="AD80" s="39">
        <v>197405</v>
      </c>
      <c r="AE80" s="39">
        <v>199443</v>
      </c>
      <c r="AF80" s="39">
        <v>215645</v>
      </c>
      <c r="AG80" s="39">
        <v>243844</v>
      </c>
      <c r="AH80" s="39">
        <v>284143</v>
      </c>
      <c r="AI80" s="39">
        <v>318787</v>
      </c>
      <c r="AJ80" s="39">
        <v>345265</v>
      </c>
      <c r="AK80" s="39">
        <v>368224</v>
      </c>
      <c r="AL80" s="39">
        <v>395962</v>
      </c>
      <c r="AM80" s="39">
        <v>312969</v>
      </c>
      <c r="AN80" s="39">
        <v>352418</v>
      </c>
      <c r="AO80" s="39">
        <v>341487</v>
      </c>
      <c r="AP80" s="39">
        <v>412101</v>
      </c>
      <c r="AQ80" s="324" t="s">
        <v>616</v>
      </c>
      <c r="AR80" s="62">
        <v>4</v>
      </c>
      <c r="AS80" s="62">
        <v>3</v>
      </c>
      <c r="AT80" s="62">
        <v>4</v>
      </c>
      <c r="AU80" s="62">
        <v>7</v>
      </c>
      <c r="AV80" s="62">
        <v>10</v>
      </c>
      <c r="AW80" s="62">
        <v>11</v>
      </c>
      <c r="AX80" s="393">
        <v>10</v>
      </c>
      <c r="BA80" s="386"/>
      <c r="BB80" s="344"/>
      <c r="BC80" s="344"/>
      <c r="BD80" s="344"/>
      <c r="BE80" s="344"/>
      <c r="BF80" s="344"/>
      <c r="BG80" s="344"/>
      <c r="BH80" s="344"/>
      <c r="BI80" s="344"/>
      <c r="BJ80" s="344"/>
      <c r="BK80" s="344"/>
      <c r="BL80" s="358"/>
    </row>
    <row r="81" spans="1:64" ht="15.75" x14ac:dyDescent="0.25">
      <c r="A81" s="3" t="s">
        <v>2822</v>
      </c>
      <c r="B81" s="176" t="s">
        <v>12</v>
      </c>
      <c r="C81" s="703">
        <v>0.30046899999999999</v>
      </c>
      <c r="D81" s="703">
        <v>2.6842000000000001E-2</v>
      </c>
      <c r="E81" s="703">
        <v>6.8661E-2</v>
      </c>
      <c r="F81" s="703">
        <v>4.8210999999999997E-2</v>
      </c>
      <c r="G81" s="703">
        <v>4.2181000000000003E-2</v>
      </c>
      <c r="H81" s="703">
        <v>7.2048000000000001E-2</v>
      </c>
      <c r="I81" s="703">
        <v>5.8450000000000002E-2</v>
      </c>
      <c r="J81" s="703">
        <v>6.8434999999999996E-2</v>
      </c>
      <c r="K81" s="703">
        <v>7.6173000000000005E-2</v>
      </c>
      <c r="L81" s="703">
        <v>6.7116999999999996E-2</v>
      </c>
      <c r="M81" s="703">
        <v>6.6559999999999994E-2</v>
      </c>
      <c r="N81" s="703">
        <v>6.9053000000000003E-2</v>
      </c>
      <c r="O81" s="703">
        <v>7.4390999999999999E-2</v>
      </c>
      <c r="P81" s="703">
        <v>0.11554499999999999</v>
      </c>
      <c r="Q81" s="703">
        <v>0.11392099999999999</v>
      </c>
      <c r="R81" s="703">
        <v>0.12826399999999999</v>
      </c>
      <c r="S81" s="703">
        <v>0.147976</v>
      </c>
      <c r="T81" s="703">
        <v>0.16229099999999999</v>
      </c>
      <c r="U81" s="703">
        <v>0.15032999999999999</v>
      </c>
      <c r="V81" s="703">
        <v>0.179507</v>
      </c>
      <c r="W81" s="703">
        <v>9.6997E-2</v>
      </c>
      <c r="X81" s="3">
        <v>6.1744E-2</v>
      </c>
      <c r="AC81" s="399" t="s">
        <v>97</v>
      </c>
      <c r="AD81" s="193">
        <v>193094</v>
      </c>
      <c r="AE81" s="193">
        <v>193661</v>
      </c>
      <c r="AF81" s="193">
        <v>207820</v>
      </c>
      <c r="AG81" s="193">
        <v>234164</v>
      </c>
      <c r="AH81" s="193">
        <v>274103</v>
      </c>
      <c r="AI81" s="193">
        <v>310445</v>
      </c>
      <c r="AJ81" s="193">
        <v>338099</v>
      </c>
      <c r="AK81" s="193">
        <v>357889</v>
      </c>
      <c r="AL81" s="193">
        <v>385472</v>
      </c>
      <c r="AM81" s="193">
        <v>296013</v>
      </c>
      <c r="AN81" s="193">
        <v>321121</v>
      </c>
      <c r="AO81" s="193">
        <v>294811</v>
      </c>
      <c r="AP81" s="193">
        <v>328859</v>
      </c>
      <c r="AQ81" s="226" t="s">
        <v>621</v>
      </c>
      <c r="AR81" s="378">
        <v>219</v>
      </c>
      <c r="AS81" s="378">
        <v>224</v>
      </c>
      <c r="AT81" s="378">
        <v>217</v>
      </c>
      <c r="AU81" s="378">
        <v>229</v>
      </c>
      <c r="AV81" s="378">
        <v>235</v>
      </c>
      <c r="AW81" s="378">
        <v>197</v>
      </c>
      <c r="AX81" s="392">
        <v>179</v>
      </c>
      <c r="BA81" s="367" t="s">
        <v>687</v>
      </c>
      <c r="BB81" s="344"/>
      <c r="BC81" s="344"/>
      <c r="BD81" s="344"/>
      <c r="BE81" s="344"/>
      <c r="BF81" s="454" t="s">
        <v>685</v>
      </c>
      <c r="BG81" s="344"/>
      <c r="BH81" s="344"/>
      <c r="BI81" s="344"/>
      <c r="BJ81" s="344"/>
      <c r="BK81" s="344"/>
      <c r="BL81" s="358"/>
    </row>
    <row r="82" spans="1:64" ht="15.75" thickBot="1" x14ac:dyDescent="0.3">
      <c r="A82" s="3" t="s">
        <v>2823</v>
      </c>
      <c r="B82" s="176" t="s">
        <v>13</v>
      </c>
      <c r="C82" s="703">
        <v>1.9361790000000001</v>
      </c>
      <c r="D82" s="703">
        <v>1.9467970000000001</v>
      </c>
      <c r="E82" s="703">
        <v>2.329949</v>
      </c>
      <c r="F82" s="703">
        <v>2.1941639999999998</v>
      </c>
      <c r="G82" s="703">
        <v>1.954286</v>
      </c>
      <c r="H82" s="703">
        <v>2.2869130000000002</v>
      </c>
      <c r="I82" s="703">
        <v>1.9761439999999999</v>
      </c>
      <c r="J82" s="703">
        <v>2.0245850000000001</v>
      </c>
      <c r="K82" s="703">
        <v>2.013954</v>
      </c>
      <c r="L82" s="703">
        <v>1.682604</v>
      </c>
      <c r="M82" s="703">
        <v>1.7926340000000001</v>
      </c>
      <c r="N82" s="703">
        <v>1.812732</v>
      </c>
      <c r="O82" s="703">
        <v>1.8048420000000001</v>
      </c>
      <c r="P82" s="703">
        <v>1.9592039999999999</v>
      </c>
      <c r="Q82" s="703">
        <v>1.9583539999999999</v>
      </c>
      <c r="R82" s="703">
        <v>1.6342190000000001</v>
      </c>
      <c r="S82" s="703">
        <v>1.2903610000000001</v>
      </c>
      <c r="T82" s="703">
        <v>0.81396000000000002</v>
      </c>
      <c r="U82" s="703">
        <v>0.68481999999999998</v>
      </c>
      <c r="V82" s="703">
        <v>0.644733</v>
      </c>
      <c r="W82" s="703">
        <v>0.41154000000000002</v>
      </c>
      <c r="X82" s="3">
        <v>0.253832</v>
      </c>
      <c r="AC82" s="399" t="s">
        <v>96</v>
      </c>
      <c r="AD82" s="193">
        <v>3418</v>
      </c>
      <c r="AE82" s="193">
        <v>4881</v>
      </c>
      <c r="AF82" s="193">
        <v>7073</v>
      </c>
      <c r="AG82" s="193">
        <v>8729</v>
      </c>
      <c r="AH82" s="193">
        <v>8982</v>
      </c>
      <c r="AI82" s="193">
        <v>4385</v>
      </c>
      <c r="AJ82" s="193">
        <v>2038</v>
      </c>
      <c r="AK82" s="193">
        <v>2738</v>
      </c>
      <c r="AL82" s="193">
        <v>1190</v>
      </c>
      <c r="AM82" s="193">
        <v>643</v>
      </c>
      <c r="AN82" s="193">
        <v>1030</v>
      </c>
      <c r="AO82" s="193">
        <v>1278</v>
      </c>
      <c r="AP82" s="193">
        <v>1815</v>
      </c>
      <c r="AQ82" s="324" t="s">
        <v>97</v>
      </c>
      <c r="AR82" s="62">
        <v>62</v>
      </c>
      <c r="AS82" s="62">
        <v>66</v>
      </c>
      <c r="AT82" s="62">
        <v>67</v>
      </c>
      <c r="AU82" s="62">
        <v>63</v>
      </c>
      <c r="AV82" s="62">
        <v>72</v>
      </c>
      <c r="AW82" s="62">
        <v>65</v>
      </c>
      <c r="AX82" s="393">
        <v>55</v>
      </c>
      <c r="BA82" s="382" t="s">
        <v>404</v>
      </c>
      <c r="BB82" s="10">
        <v>2018</v>
      </c>
      <c r="BC82" s="10">
        <v>2025</v>
      </c>
      <c r="BD82" s="10">
        <v>2050</v>
      </c>
      <c r="BE82" s="344"/>
      <c r="BF82" s="19" t="s">
        <v>404</v>
      </c>
      <c r="BG82" s="10">
        <v>2018</v>
      </c>
      <c r="BH82" s="10">
        <v>2025</v>
      </c>
      <c r="BI82" s="10">
        <v>2050</v>
      </c>
      <c r="BJ82" s="344"/>
      <c r="BK82" s="344"/>
      <c r="BL82" s="358"/>
    </row>
    <row r="83" spans="1:64" ht="15.75" thickTop="1" x14ac:dyDescent="0.25">
      <c r="A83" s="3" t="s">
        <v>2824</v>
      </c>
      <c r="B83" s="176" t="s">
        <v>14</v>
      </c>
      <c r="C83" s="703"/>
      <c r="D83" s="703"/>
      <c r="E83" s="703"/>
      <c r="F83" s="703"/>
      <c r="G83" s="703"/>
      <c r="H83" s="703"/>
      <c r="I83" s="703"/>
      <c r="J83" s="703">
        <v>2.562E-3</v>
      </c>
      <c r="K83" s="703">
        <v>3.5309999999999999E-3</v>
      </c>
      <c r="L83" s="703">
        <v>3.0070000000000001E-3</v>
      </c>
      <c r="M83" s="703">
        <v>3.1830000000000001E-3</v>
      </c>
      <c r="N83" s="703">
        <v>3.81E-3</v>
      </c>
      <c r="O83" s="703">
        <v>4.4549999999999998E-3</v>
      </c>
      <c r="P83" s="703">
        <v>6.5789999999999998E-3</v>
      </c>
      <c r="Q83" s="703">
        <v>6.9280000000000001E-3</v>
      </c>
      <c r="R83" s="703"/>
      <c r="S83" s="703"/>
      <c r="T83" s="703"/>
      <c r="U83" s="703"/>
      <c r="V83" s="703"/>
      <c r="W83" s="703"/>
      <c r="AC83" s="399" t="s">
        <v>120</v>
      </c>
      <c r="AD83" s="193">
        <v>0</v>
      </c>
      <c r="AE83" s="193">
        <v>0</v>
      </c>
      <c r="AF83" s="193">
        <v>0</v>
      </c>
      <c r="AG83" s="193">
        <v>15</v>
      </c>
      <c r="AH83" s="193">
        <v>59</v>
      </c>
      <c r="AI83" s="193">
        <v>541</v>
      </c>
      <c r="AJ83" s="193">
        <v>1031</v>
      </c>
      <c r="AK83" s="193">
        <v>903</v>
      </c>
      <c r="AL83" s="193">
        <v>1301</v>
      </c>
      <c r="AM83" s="193">
        <v>3465</v>
      </c>
      <c r="AN83" s="193">
        <v>7742</v>
      </c>
      <c r="AO83" s="193">
        <v>19367</v>
      </c>
      <c r="AP83" s="193">
        <v>25825</v>
      </c>
      <c r="AQ83" s="324" t="s">
        <v>96</v>
      </c>
      <c r="AR83" s="62">
        <v>157</v>
      </c>
      <c r="AS83" s="62">
        <v>158</v>
      </c>
      <c r="AT83" s="62">
        <v>150</v>
      </c>
      <c r="AU83" s="62">
        <v>166</v>
      </c>
      <c r="AV83" s="62">
        <v>163</v>
      </c>
      <c r="AW83" s="62">
        <v>132</v>
      </c>
      <c r="AX83" s="393">
        <v>117</v>
      </c>
      <c r="BA83" s="406" t="s">
        <v>674</v>
      </c>
      <c r="BB83" s="344"/>
      <c r="BC83" s="344"/>
      <c r="BD83" s="344"/>
      <c r="BE83" s="344"/>
      <c r="BF83" s="226" t="s">
        <v>889</v>
      </c>
      <c r="BG83" s="344"/>
      <c r="BH83" s="344"/>
      <c r="BI83" s="344"/>
      <c r="BJ83" s="344"/>
      <c r="BK83" s="344"/>
      <c r="BL83" s="358"/>
    </row>
    <row r="84" spans="1:64" x14ac:dyDescent="0.25">
      <c r="A84" s="3" t="s">
        <v>50</v>
      </c>
      <c r="B84" s="722" t="s">
        <v>50</v>
      </c>
      <c r="C84" s="704">
        <v>67.739475999999996</v>
      </c>
      <c r="D84" s="704">
        <v>57.665675999999998</v>
      </c>
      <c r="E84" s="704">
        <v>44.568598000000001</v>
      </c>
      <c r="F84" s="704">
        <v>50.504354999999997</v>
      </c>
      <c r="G84" s="704">
        <v>64.013114000000002</v>
      </c>
      <c r="H84" s="704">
        <v>84.687704999999994</v>
      </c>
      <c r="I84" s="704">
        <v>60.316063999999997</v>
      </c>
      <c r="J84" s="704">
        <v>62.476576999999999</v>
      </c>
      <c r="K84" s="704">
        <v>68.984480000000005</v>
      </c>
      <c r="L84" s="704">
        <v>61.831893000000001</v>
      </c>
      <c r="M84" s="704">
        <v>58.962608000000003</v>
      </c>
      <c r="N84" s="704">
        <v>55.950203999999999</v>
      </c>
      <c r="O84" s="704">
        <v>66.352500000000006</v>
      </c>
      <c r="P84" s="704">
        <v>69.676074999999997</v>
      </c>
      <c r="Q84" s="704">
        <v>68.522125000000003</v>
      </c>
      <c r="R84" s="704">
        <v>73.712078000000005</v>
      </c>
      <c r="S84" s="704">
        <v>77.911833999999999</v>
      </c>
      <c r="T84" s="704">
        <v>92.676550000000006</v>
      </c>
      <c r="U84" s="704">
        <v>98.985900000000001</v>
      </c>
      <c r="V84" s="704">
        <v>94.636471999999998</v>
      </c>
      <c r="W84" s="704">
        <v>44.002986</v>
      </c>
      <c r="X84" s="4">
        <f>SUM(X85:X86)</f>
        <v>52.107199999999999</v>
      </c>
      <c r="AC84" s="399" t="s">
        <v>121</v>
      </c>
      <c r="AD84" s="193">
        <v>893</v>
      </c>
      <c r="AE84" s="193">
        <v>901</v>
      </c>
      <c r="AF84" s="193">
        <v>752</v>
      </c>
      <c r="AG84" s="193">
        <v>923</v>
      </c>
      <c r="AH84" s="193">
        <v>899</v>
      </c>
      <c r="AI84" s="193">
        <v>2918</v>
      </c>
      <c r="AJ84" s="193">
        <v>3661</v>
      </c>
      <c r="AK84" s="193">
        <v>4541</v>
      </c>
      <c r="AL84" s="193">
        <v>6753</v>
      </c>
      <c r="AM84" s="193">
        <v>11632</v>
      </c>
      <c r="AN84" s="193">
        <v>18857</v>
      </c>
      <c r="AO84" s="193">
        <v>21470</v>
      </c>
      <c r="AP84" s="193">
        <v>45552</v>
      </c>
      <c r="AQ84" s="324" t="s">
        <v>120</v>
      </c>
      <c r="AR84" s="62">
        <v>0</v>
      </c>
      <c r="AS84" s="62">
        <v>0</v>
      </c>
      <c r="AT84" s="62">
        <v>0</v>
      </c>
      <c r="AU84" s="62">
        <v>0</v>
      </c>
      <c r="AV84" s="62">
        <v>0</v>
      </c>
      <c r="AW84" s="62">
        <v>0</v>
      </c>
      <c r="AX84" s="393">
        <v>7</v>
      </c>
      <c r="BA84" s="428" t="s">
        <v>96</v>
      </c>
      <c r="BB84" s="419">
        <v>8.4</v>
      </c>
      <c r="BC84" s="419">
        <v>10.199999999999999</v>
      </c>
      <c r="BD84" s="419">
        <v>12.9</v>
      </c>
      <c r="BE84" s="344"/>
      <c r="BF84" s="324" t="s">
        <v>96</v>
      </c>
      <c r="BG84" s="328">
        <v>165</v>
      </c>
      <c r="BH84" s="328">
        <v>175</v>
      </c>
      <c r="BI84" s="328">
        <v>159</v>
      </c>
      <c r="BJ84" s="344"/>
      <c r="BK84" s="344"/>
      <c r="BL84" s="358"/>
    </row>
    <row r="85" spans="1:64" x14ac:dyDescent="0.25">
      <c r="A85" s="3" t="s">
        <v>2825</v>
      </c>
      <c r="B85" s="175" t="s">
        <v>51</v>
      </c>
      <c r="C85" s="17">
        <v>0.56946600000000003</v>
      </c>
      <c r="D85" s="17">
        <v>0.553392</v>
      </c>
      <c r="E85" s="17">
        <v>0.51702199999999998</v>
      </c>
      <c r="F85" s="17">
        <v>0.48264499999999999</v>
      </c>
      <c r="G85" s="17">
        <v>0.44058000000000003</v>
      </c>
      <c r="H85" s="17">
        <v>0.61916000000000004</v>
      </c>
      <c r="I85" s="17">
        <v>0.589472</v>
      </c>
      <c r="J85" s="17">
        <v>0.52189700000000006</v>
      </c>
      <c r="K85" s="17">
        <v>0.44813599999999998</v>
      </c>
      <c r="L85" s="17">
        <v>0.40006700000000001</v>
      </c>
      <c r="M85" s="17">
        <v>0.29110200000000003</v>
      </c>
      <c r="N85" s="17">
        <v>0.29814000000000002</v>
      </c>
      <c r="O85" s="17">
        <v>0.21410000000000001</v>
      </c>
      <c r="P85" s="17">
        <v>0.18157499999999999</v>
      </c>
      <c r="Q85" s="17">
        <v>0.24337500000000001</v>
      </c>
      <c r="R85" s="17">
        <v>0.330928</v>
      </c>
      <c r="S85" s="17">
        <v>0.34612300000000001</v>
      </c>
      <c r="T85" s="17">
        <v>0.27542499999999998</v>
      </c>
      <c r="U85" s="17">
        <v>0.1825</v>
      </c>
      <c r="V85" s="17">
        <v>0.33488800000000002</v>
      </c>
      <c r="W85" s="17">
        <v>0.21015</v>
      </c>
      <c r="X85" s="3">
        <v>0.2331</v>
      </c>
      <c r="AC85" s="399" t="s">
        <v>122</v>
      </c>
      <c r="AD85" s="193">
        <v>0</v>
      </c>
      <c r="AE85" s="193">
        <v>0</v>
      </c>
      <c r="AF85" s="193">
        <v>0</v>
      </c>
      <c r="AG85" s="193">
        <v>13</v>
      </c>
      <c r="AH85" s="193">
        <v>100</v>
      </c>
      <c r="AI85" s="193">
        <v>498</v>
      </c>
      <c r="AJ85" s="193">
        <v>436</v>
      </c>
      <c r="AK85" s="193">
        <v>2152</v>
      </c>
      <c r="AL85" s="193">
        <v>1245</v>
      </c>
      <c r="AM85" s="193">
        <v>1216</v>
      </c>
      <c r="AN85" s="193">
        <v>3668</v>
      </c>
      <c r="AO85" s="193">
        <v>4560</v>
      </c>
      <c r="AP85" s="193">
        <v>10050</v>
      </c>
      <c r="AQ85" s="324" t="s">
        <v>121</v>
      </c>
      <c r="AR85" s="62">
        <v>0</v>
      </c>
      <c r="AS85" s="62">
        <v>0</v>
      </c>
      <c r="AT85" s="62">
        <v>0</v>
      </c>
      <c r="AU85" s="62">
        <v>0</v>
      </c>
      <c r="AV85" s="62">
        <v>0</v>
      </c>
      <c r="AW85" s="62">
        <v>0</v>
      </c>
      <c r="AX85" s="393">
        <v>0</v>
      </c>
      <c r="BA85" s="428" t="s">
        <v>230</v>
      </c>
      <c r="BB85" s="419">
        <v>14.9</v>
      </c>
      <c r="BC85" s="419">
        <v>17.2</v>
      </c>
      <c r="BD85" s="419">
        <v>23.6</v>
      </c>
      <c r="BE85" s="344"/>
      <c r="BF85" s="324" t="s">
        <v>230</v>
      </c>
      <c r="BG85" s="328">
        <v>816</v>
      </c>
      <c r="BH85" s="328">
        <v>423</v>
      </c>
      <c r="BI85" s="328">
        <v>281</v>
      </c>
      <c r="BJ85" s="344"/>
      <c r="BK85" s="344"/>
      <c r="BL85" s="358"/>
    </row>
    <row r="86" spans="1:64" x14ac:dyDescent="0.25">
      <c r="A86" s="3" t="s">
        <v>2826</v>
      </c>
      <c r="B86" s="174" t="s">
        <v>52</v>
      </c>
      <c r="C86" s="7">
        <v>67.170010000000005</v>
      </c>
      <c r="D86" s="7">
        <v>57.112284000000002</v>
      </c>
      <c r="E86" s="7">
        <v>44.051575999999997</v>
      </c>
      <c r="F86" s="7">
        <v>50.021709999999999</v>
      </c>
      <c r="G86" s="7">
        <v>63.572533999999997</v>
      </c>
      <c r="H86" s="7">
        <v>84.068545</v>
      </c>
      <c r="I86" s="7">
        <v>59.726591999999997</v>
      </c>
      <c r="J86" s="7">
        <v>61.954680000000003</v>
      </c>
      <c r="K86" s="7">
        <v>68.536344</v>
      </c>
      <c r="L86" s="7">
        <v>61.431826000000001</v>
      </c>
      <c r="M86" s="7">
        <v>58.671506000000001</v>
      </c>
      <c r="N86" s="7">
        <v>55.652064000000003</v>
      </c>
      <c r="O86" s="7">
        <v>66.138400000000004</v>
      </c>
      <c r="P86" s="7">
        <v>69.494500000000002</v>
      </c>
      <c r="Q86" s="7">
        <v>68.278750000000002</v>
      </c>
      <c r="R86" s="7">
        <v>73.381150000000005</v>
      </c>
      <c r="S86" s="7">
        <v>77.565710999999993</v>
      </c>
      <c r="T86" s="7">
        <v>92.401124999999993</v>
      </c>
      <c r="U86" s="7">
        <v>98.803399999999996</v>
      </c>
      <c r="V86" s="7">
        <v>94.301584000000005</v>
      </c>
      <c r="W86" s="7">
        <v>43.793571999999998</v>
      </c>
      <c r="X86" s="3">
        <v>51.874099999999999</v>
      </c>
      <c r="AC86" s="400" t="s">
        <v>174</v>
      </c>
      <c r="AD86" s="389">
        <v>0</v>
      </c>
      <c r="AE86" s="389">
        <v>0</v>
      </c>
      <c r="AF86" s="389">
        <v>0</v>
      </c>
      <c r="AG86" s="389">
        <v>0</v>
      </c>
      <c r="AH86" s="389">
        <v>0</v>
      </c>
      <c r="AI86" s="389">
        <v>0</v>
      </c>
      <c r="AJ86" s="389">
        <v>0</v>
      </c>
      <c r="AK86" s="389">
        <v>1</v>
      </c>
      <c r="AL86" s="389">
        <v>1</v>
      </c>
      <c r="AM86" s="389">
        <v>0</v>
      </c>
      <c r="AN86" s="389">
        <v>0</v>
      </c>
      <c r="AO86" s="389">
        <v>1</v>
      </c>
      <c r="AP86" s="389">
        <v>0</v>
      </c>
      <c r="AQ86" s="324" t="s">
        <v>122</v>
      </c>
      <c r="AR86" s="62">
        <v>0</v>
      </c>
      <c r="AS86" s="62">
        <v>0</v>
      </c>
      <c r="AT86" s="62">
        <v>0</v>
      </c>
      <c r="AU86" s="62">
        <v>0</v>
      </c>
      <c r="AV86" s="62">
        <v>0</v>
      </c>
      <c r="AW86" s="62">
        <v>0</v>
      </c>
      <c r="AX86" s="393">
        <v>0</v>
      </c>
      <c r="BA86" s="428" t="s">
        <v>496</v>
      </c>
      <c r="BB86" s="419">
        <v>11.8</v>
      </c>
      <c r="BC86" s="419">
        <v>14</v>
      </c>
      <c r="BD86" s="419">
        <v>18.2</v>
      </c>
      <c r="BE86" s="344"/>
      <c r="BF86" s="324" t="s">
        <v>496</v>
      </c>
      <c r="BG86" s="328">
        <v>386</v>
      </c>
      <c r="BH86" s="328">
        <v>258</v>
      </c>
      <c r="BI86" s="328">
        <v>180</v>
      </c>
      <c r="BJ86" s="344"/>
      <c r="BK86" s="344"/>
      <c r="BL86" s="358"/>
    </row>
    <row r="87" spans="1:64" x14ac:dyDescent="0.25">
      <c r="A87" s="3" t="s">
        <v>504</v>
      </c>
      <c r="B87" s="164" t="s">
        <v>53</v>
      </c>
      <c r="C87" s="4">
        <v>2.4739900000000001</v>
      </c>
      <c r="D87" s="4">
        <v>1.957716</v>
      </c>
      <c r="E87" s="4">
        <v>1.548424</v>
      </c>
      <c r="F87" s="4">
        <v>1.6902900000000001</v>
      </c>
      <c r="G87" s="4">
        <v>2.0654659999999998</v>
      </c>
      <c r="H87" s="4">
        <v>2.8634550000000001</v>
      </c>
      <c r="I87" s="4">
        <v>1.8054079999999999</v>
      </c>
      <c r="J87" s="4">
        <v>1.27332</v>
      </c>
      <c r="K87" s="4">
        <v>1.3156559999999999</v>
      </c>
      <c r="L87" s="4">
        <v>1.291174</v>
      </c>
      <c r="M87" s="4">
        <v>1.417494</v>
      </c>
      <c r="N87" s="4">
        <v>1.404936</v>
      </c>
      <c r="O87" s="4">
        <v>1.6315999999999999</v>
      </c>
      <c r="P87" s="4">
        <v>1.7124999999999999</v>
      </c>
      <c r="Q87" s="4">
        <v>1.6772499999999999</v>
      </c>
      <c r="R87" s="4">
        <v>1.5768500000000001</v>
      </c>
      <c r="S87" s="4">
        <v>1.7512890000000001</v>
      </c>
      <c r="T87" s="4">
        <v>2.2908750000000002</v>
      </c>
      <c r="U87" s="4">
        <v>2.4756</v>
      </c>
      <c r="V87" s="4">
        <v>2.2514159999999999</v>
      </c>
      <c r="W87" s="4">
        <v>2.914428</v>
      </c>
      <c r="X87" s="4">
        <v>5.5079000000000002</v>
      </c>
      <c r="AC87" s="398" t="s">
        <v>177</v>
      </c>
      <c r="AD87" s="39">
        <v>54348</v>
      </c>
      <c r="AE87" s="39">
        <v>51562</v>
      </c>
      <c r="AF87" s="39">
        <v>51829</v>
      </c>
      <c r="AG87" s="39">
        <v>55717</v>
      </c>
      <c r="AH87" s="39">
        <v>58619</v>
      </c>
      <c r="AI87" s="39">
        <v>60304</v>
      </c>
      <c r="AJ87" s="39">
        <v>58851</v>
      </c>
      <c r="AK87" s="39">
        <v>54456</v>
      </c>
      <c r="AL87" s="39">
        <v>49692</v>
      </c>
      <c r="AM87" s="39">
        <v>35235</v>
      </c>
      <c r="AN87" s="39">
        <v>27989</v>
      </c>
      <c r="AO87" s="39">
        <v>20207</v>
      </c>
      <c r="AP87" s="39">
        <v>26728</v>
      </c>
      <c r="AQ87" s="324" t="s">
        <v>616</v>
      </c>
      <c r="AR87" s="62">
        <v>0</v>
      </c>
      <c r="AS87" s="62">
        <v>0</v>
      </c>
      <c r="AT87" s="62">
        <v>0</v>
      </c>
      <c r="AU87" s="62">
        <v>0</v>
      </c>
      <c r="AV87" s="62">
        <v>0</v>
      </c>
      <c r="AW87" s="62">
        <v>0</v>
      </c>
      <c r="AX87" s="393">
        <v>0</v>
      </c>
      <c r="BA87" s="428" t="s">
        <v>671</v>
      </c>
      <c r="BB87" s="419">
        <v>9.1999999999999993</v>
      </c>
      <c r="BC87" s="419">
        <v>11.3</v>
      </c>
      <c r="BD87" s="419">
        <v>14.4</v>
      </c>
      <c r="BE87" s="344"/>
      <c r="BF87" s="324" t="s">
        <v>671</v>
      </c>
      <c r="BG87" s="328">
        <v>165</v>
      </c>
      <c r="BH87" s="328">
        <v>167</v>
      </c>
      <c r="BI87" s="328">
        <v>154</v>
      </c>
      <c r="BJ87" s="344"/>
      <c r="BK87" s="344"/>
      <c r="BL87" s="358"/>
    </row>
    <row r="88" spans="1:64" x14ac:dyDescent="0.25">
      <c r="A88" s="3" t="s">
        <v>2827</v>
      </c>
      <c r="B88" s="164" t="s">
        <v>54</v>
      </c>
      <c r="C88" s="4">
        <v>0.75265800000000005</v>
      </c>
      <c r="D88" s="4">
        <v>0.71568900000000002</v>
      </c>
      <c r="E88" s="4">
        <v>0.67525599999999997</v>
      </c>
      <c r="F88" s="4">
        <v>0.55613900000000005</v>
      </c>
      <c r="G88" s="4">
        <v>0.59472100000000006</v>
      </c>
      <c r="H88" s="4">
        <v>0.62931000000000004</v>
      </c>
      <c r="I88" s="4">
        <v>0.57659199999999999</v>
      </c>
      <c r="J88" s="4">
        <v>0.58296000000000003</v>
      </c>
      <c r="K88" s="4">
        <v>0.62008099999999999</v>
      </c>
      <c r="L88" s="4">
        <v>0.51707400000000003</v>
      </c>
      <c r="M88" s="4">
        <v>0.47456300000000001</v>
      </c>
      <c r="N88" s="4">
        <v>0.496116</v>
      </c>
      <c r="O88" s="4">
        <v>0.39146300000000001</v>
      </c>
      <c r="P88" s="4">
        <v>0.38006400000000001</v>
      </c>
      <c r="Q88" s="4">
        <v>0.37606699999999998</v>
      </c>
      <c r="R88" s="4">
        <v>0.40320499999999998</v>
      </c>
      <c r="S88" s="4">
        <v>0.44964500000000002</v>
      </c>
      <c r="T88" s="4">
        <v>0.44236500000000001</v>
      </c>
      <c r="U88" s="4">
        <v>0.449824</v>
      </c>
      <c r="V88" s="4">
        <v>0.46299200000000001</v>
      </c>
      <c r="W88" s="4">
        <v>0.227603</v>
      </c>
      <c r="X88" s="4">
        <v>0.337362</v>
      </c>
      <c r="AC88" s="399" t="s">
        <v>97</v>
      </c>
      <c r="AD88" s="193">
        <v>52972</v>
      </c>
      <c r="AE88" s="193">
        <v>50278</v>
      </c>
      <c r="AF88" s="193">
        <v>50342</v>
      </c>
      <c r="AG88" s="193">
        <v>53919</v>
      </c>
      <c r="AH88" s="193">
        <v>56152</v>
      </c>
      <c r="AI88" s="193">
        <v>57591</v>
      </c>
      <c r="AJ88" s="193">
        <v>55987</v>
      </c>
      <c r="AK88" s="193">
        <v>51035</v>
      </c>
      <c r="AL88" s="193">
        <v>47077</v>
      </c>
      <c r="AM88" s="193">
        <v>33055</v>
      </c>
      <c r="AN88" s="193">
        <v>20582</v>
      </c>
      <c r="AO88" s="193">
        <v>14843</v>
      </c>
      <c r="AP88" s="193">
        <v>21166</v>
      </c>
      <c r="AQ88" s="226" t="s">
        <v>622</v>
      </c>
      <c r="AR88" s="378">
        <v>45822</v>
      </c>
      <c r="AS88" s="378">
        <v>46486</v>
      </c>
      <c r="AT88" s="378">
        <v>46962</v>
      </c>
      <c r="AU88" s="378">
        <v>52738</v>
      </c>
      <c r="AV88" s="378">
        <v>62099</v>
      </c>
      <c r="AW88" s="378">
        <v>62276</v>
      </c>
      <c r="AX88" s="392">
        <v>64450</v>
      </c>
      <c r="BA88" s="428" t="s">
        <v>672</v>
      </c>
      <c r="BB88" s="419">
        <v>8</v>
      </c>
      <c r="BC88" s="419">
        <v>10.1</v>
      </c>
      <c r="BD88" s="419">
        <v>13.4</v>
      </c>
      <c r="BE88" s="344"/>
      <c r="BF88" s="324" t="s">
        <v>672</v>
      </c>
      <c r="BG88" s="328">
        <v>257</v>
      </c>
      <c r="BH88" s="328">
        <v>198</v>
      </c>
      <c r="BI88" s="328">
        <v>170</v>
      </c>
      <c r="BJ88" s="344"/>
      <c r="BK88" s="344"/>
      <c r="BL88" s="358"/>
    </row>
    <row r="89" spans="1:64" x14ac:dyDescent="0.25">
      <c r="A89" s="3" t="s">
        <v>2828</v>
      </c>
      <c r="B89" s="164" t="s">
        <v>55</v>
      </c>
      <c r="C89" s="4">
        <v>20.628342</v>
      </c>
      <c r="D89" s="4">
        <v>19.518311000000001</v>
      </c>
      <c r="E89" s="4">
        <v>18.032744000000001</v>
      </c>
      <c r="F89" s="4">
        <v>15.856861</v>
      </c>
      <c r="G89" s="4">
        <v>17.919279</v>
      </c>
      <c r="H89" s="4">
        <v>19.24869</v>
      </c>
      <c r="I89" s="4">
        <v>18.279408</v>
      </c>
      <c r="J89" s="4">
        <v>19.058039999999998</v>
      </c>
      <c r="K89" s="4">
        <v>18.997919</v>
      </c>
      <c r="L89" s="4">
        <v>14.205926</v>
      </c>
      <c r="M89" s="4">
        <v>15.579437</v>
      </c>
      <c r="N89" s="4">
        <v>16.424883999999999</v>
      </c>
      <c r="O89" s="4">
        <v>15.483537</v>
      </c>
      <c r="P89" s="4">
        <v>16.439935999999999</v>
      </c>
      <c r="Q89" s="4">
        <v>17.670933000000002</v>
      </c>
      <c r="R89" s="4">
        <v>17.877794999999999</v>
      </c>
      <c r="S89" s="4">
        <v>18.084354999999999</v>
      </c>
      <c r="T89" s="4">
        <v>18.012635</v>
      </c>
      <c r="U89" s="4">
        <v>19.166176</v>
      </c>
      <c r="V89" s="4">
        <v>19.384008000000001</v>
      </c>
      <c r="W89" s="4">
        <v>18.830397000000001</v>
      </c>
      <c r="X89" s="4">
        <v>18.833638000000001</v>
      </c>
      <c r="AC89" s="399" t="s">
        <v>96</v>
      </c>
      <c r="AD89" s="193">
        <v>1361</v>
      </c>
      <c r="AE89" s="193">
        <v>1272</v>
      </c>
      <c r="AF89" s="193">
        <v>1487</v>
      </c>
      <c r="AG89" s="193">
        <v>1798</v>
      </c>
      <c r="AH89" s="193">
        <v>2467</v>
      </c>
      <c r="AI89" s="193">
        <v>2712</v>
      </c>
      <c r="AJ89" s="193">
        <v>2342</v>
      </c>
      <c r="AK89" s="193">
        <v>2518</v>
      </c>
      <c r="AL89" s="193">
        <v>2430</v>
      </c>
      <c r="AM89" s="193">
        <v>2032</v>
      </c>
      <c r="AN89" s="193">
        <v>2097</v>
      </c>
      <c r="AO89" s="193">
        <v>2085</v>
      </c>
      <c r="AP89" s="193">
        <v>2390</v>
      </c>
      <c r="AQ89" s="324" t="s">
        <v>97</v>
      </c>
      <c r="AR89" s="62">
        <v>11079</v>
      </c>
      <c r="AS89" s="62">
        <v>11521</v>
      </c>
      <c r="AT89" s="62">
        <v>11847</v>
      </c>
      <c r="AU89" s="62">
        <v>13947</v>
      </c>
      <c r="AV89" s="62">
        <v>17263</v>
      </c>
      <c r="AW89" s="62">
        <v>18576</v>
      </c>
      <c r="AX89" s="393">
        <v>20085</v>
      </c>
      <c r="BA89" s="428" t="s">
        <v>224</v>
      </c>
      <c r="BB89" s="419">
        <v>6.6</v>
      </c>
      <c r="BC89" s="419">
        <v>7.9</v>
      </c>
      <c r="BD89" s="419">
        <v>10.199999999999999</v>
      </c>
      <c r="BE89" s="344"/>
      <c r="BF89" s="324" t="s">
        <v>224</v>
      </c>
      <c r="BG89" s="328">
        <v>208</v>
      </c>
      <c r="BH89" s="328">
        <v>181</v>
      </c>
      <c r="BI89" s="328">
        <v>170</v>
      </c>
      <c r="BJ89" s="344"/>
      <c r="BK89" s="344"/>
      <c r="BL89" s="358"/>
    </row>
    <row r="90" spans="1:64" x14ac:dyDescent="0.25">
      <c r="A90" s="3" t="s">
        <v>2829</v>
      </c>
      <c r="B90" s="164" t="s">
        <v>60</v>
      </c>
      <c r="C90" s="4">
        <v>15.054</v>
      </c>
      <c r="D90" s="4">
        <v>16.106000000000002</v>
      </c>
      <c r="E90" s="4">
        <v>14.356</v>
      </c>
      <c r="F90" s="4">
        <v>15.048999999999999</v>
      </c>
      <c r="G90" s="4">
        <v>16.216000000000001</v>
      </c>
      <c r="H90" s="4">
        <v>15.021000000000001</v>
      </c>
      <c r="I90" s="4">
        <v>14.667999999999999</v>
      </c>
      <c r="J90" s="4">
        <v>12.502000000000001</v>
      </c>
      <c r="K90" s="4">
        <v>12.734</v>
      </c>
      <c r="L90" s="4">
        <v>9.4689999999999994</v>
      </c>
      <c r="M90" s="4">
        <v>15.788</v>
      </c>
      <c r="N90" s="4">
        <v>11.253</v>
      </c>
      <c r="O90" s="4">
        <v>14.403</v>
      </c>
      <c r="P90" s="4">
        <v>17.89</v>
      </c>
      <c r="Q90" s="4">
        <v>17.484999999999999</v>
      </c>
      <c r="R90" s="4">
        <v>16.648</v>
      </c>
      <c r="S90" s="4">
        <v>14.955</v>
      </c>
      <c r="T90" s="4">
        <v>15.537000000000001</v>
      </c>
      <c r="U90" s="4">
        <v>15.367000000000001</v>
      </c>
      <c r="V90" s="4">
        <v>18.692</v>
      </c>
      <c r="W90" s="4">
        <v>17.027000000000001</v>
      </c>
      <c r="X90" s="4">
        <f>SUM(X91:X92)</f>
        <v>15.324999999999999</v>
      </c>
      <c r="AC90" s="399" t="s">
        <v>120</v>
      </c>
      <c r="AD90" s="193">
        <v>15</v>
      </c>
      <c r="AE90" s="193">
        <v>11</v>
      </c>
      <c r="AF90" s="193">
        <v>0</v>
      </c>
      <c r="AG90" s="193">
        <v>0</v>
      </c>
      <c r="AH90" s="193">
        <v>0</v>
      </c>
      <c r="AI90" s="193">
        <v>0</v>
      </c>
      <c r="AJ90" s="193">
        <v>0</v>
      </c>
      <c r="AK90" s="193">
        <v>0</v>
      </c>
      <c r="AL90" s="193">
        <v>0</v>
      </c>
      <c r="AM90" s="193">
        <v>0</v>
      </c>
      <c r="AN90" s="193">
        <v>0</v>
      </c>
      <c r="AO90" s="193">
        <v>176</v>
      </c>
      <c r="AP90" s="193">
        <v>507</v>
      </c>
      <c r="AQ90" s="324" t="s">
        <v>96</v>
      </c>
      <c r="AR90" s="62">
        <v>34743</v>
      </c>
      <c r="AS90" s="62">
        <v>34965</v>
      </c>
      <c r="AT90" s="62">
        <v>35114</v>
      </c>
      <c r="AU90" s="62">
        <v>38790</v>
      </c>
      <c r="AV90" s="62">
        <v>44835</v>
      </c>
      <c r="AW90" s="62">
        <v>43700</v>
      </c>
      <c r="AX90" s="393">
        <v>44352</v>
      </c>
      <c r="BA90" s="406" t="s">
        <v>673</v>
      </c>
      <c r="BB90" s="419"/>
      <c r="BC90" s="419"/>
      <c r="BD90" s="419"/>
      <c r="BE90" s="344"/>
      <c r="BF90" s="226" t="s">
        <v>890</v>
      </c>
      <c r="BG90" s="328"/>
      <c r="BH90" s="328"/>
      <c r="BI90" s="328"/>
      <c r="BJ90" s="344"/>
      <c r="BK90" s="344"/>
      <c r="BL90" s="358"/>
    </row>
    <row r="91" spans="1:64" x14ac:dyDescent="0.25">
      <c r="A91" s="3" t="s">
        <v>2830</v>
      </c>
      <c r="B91" s="174" t="s">
        <v>13</v>
      </c>
      <c r="C91" s="7">
        <v>4.819</v>
      </c>
      <c r="D91" s="7">
        <v>4.117</v>
      </c>
      <c r="E91" s="7">
        <v>4.1749999999999998</v>
      </c>
      <c r="F91" s="7">
        <v>4.585</v>
      </c>
      <c r="G91" s="7">
        <v>4.63</v>
      </c>
      <c r="H91" s="7">
        <v>4.6500000000000004</v>
      </c>
      <c r="I91" s="7">
        <v>4.5650000000000004</v>
      </c>
      <c r="J91" s="7">
        <v>3.3109999999999999</v>
      </c>
      <c r="K91" s="7">
        <v>3.746</v>
      </c>
      <c r="L91" s="7">
        <v>1.5469999999999999</v>
      </c>
      <c r="M91" s="7">
        <v>1.948</v>
      </c>
      <c r="N91" s="7">
        <v>1.907</v>
      </c>
      <c r="O91" s="7">
        <v>2.8730000000000002</v>
      </c>
      <c r="P91" s="7">
        <v>2.4169999999999998</v>
      </c>
      <c r="Q91" s="7">
        <v>2.5680000000000001</v>
      </c>
      <c r="R91" s="7">
        <v>0.93899999999999995</v>
      </c>
      <c r="S91" s="7">
        <v>0.28899999999999998</v>
      </c>
      <c r="T91" s="7">
        <v>0.44900000000000001</v>
      </c>
      <c r="U91" s="7">
        <v>0.45500000000000002</v>
      </c>
      <c r="V91" s="7">
        <v>0.498</v>
      </c>
      <c r="W91" s="7">
        <v>0.69399999999999995</v>
      </c>
      <c r="X91" s="3">
        <v>0.32200000000000001</v>
      </c>
      <c r="AC91" s="399" t="s">
        <v>121</v>
      </c>
      <c r="AD91" s="193">
        <v>0</v>
      </c>
      <c r="AE91" s="193">
        <v>0</v>
      </c>
      <c r="AF91" s="193">
        <v>0</v>
      </c>
      <c r="AG91" s="193">
        <v>0</v>
      </c>
      <c r="AH91" s="193">
        <v>0</v>
      </c>
      <c r="AI91" s="193">
        <v>0</v>
      </c>
      <c r="AJ91" s="193">
        <v>0</v>
      </c>
      <c r="AK91" s="193">
        <v>0</v>
      </c>
      <c r="AL91" s="193">
        <v>0</v>
      </c>
      <c r="AM91" s="193">
        <v>0</v>
      </c>
      <c r="AN91" s="193">
        <v>5029</v>
      </c>
      <c r="AO91" s="193">
        <v>2584</v>
      </c>
      <c r="AP91" s="193">
        <v>2045</v>
      </c>
      <c r="AQ91" s="324" t="s">
        <v>120</v>
      </c>
      <c r="AR91" s="62">
        <v>0</v>
      </c>
      <c r="AS91" s="62">
        <v>0</v>
      </c>
      <c r="AT91" s="62">
        <v>0</v>
      </c>
      <c r="AU91" s="62">
        <v>0</v>
      </c>
      <c r="AV91" s="62">
        <v>0</v>
      </c>
      <c r="AW91" s="62">
        <v>0</v>
      </c>
      <c r="AX91" s="393">
        <v>13</v>
      </c>
      <c r="BA91" s="428" t="s">
        <v>96</v>
      </c>
      <c r="BB91" s="419">
        <v>8.4</v>
      </c>
      <c r="BC91" s="419">
        <v>10.199999999999999</v>
      </c>
      <c r="BD91" s="419">
        <v>12.9</v>
      </c>
      <c r="BE91" s="344"/>
      <c r="BF91" s="324" t="s">
        <v>96</v>
      </c>
      <c r="BG91" s="328">
        <v>165</v>
      </c>
      <c r="BH91" s="328">
        <v>175</v>
      </c>
      <c r="BI91" s="328">
        <v>159</v>
      </c>
      <c r="BJ91" s="344"/>
      <c r="BK91" s="344"/>
      <c r="BL91" s="358"/>
    </row>
    <row r="92" spans="1:64" x14ac:dyDescent="0.25">
      <c r="A92" s="3" t="s">
        <v>2831</v>
      </c>
      <c r="B92" s="174" t="s">
        <v>58</v>
      </c>
      <c r="C92" s="7">
        <v>10.234999999999999</v>
      </c>
      <c r="D92" s="7">
        <v>11.989000000000001</v>
      </c>
      <c r="E92" s="7">
        <v>10.180999999999999</v>
      </c>
      <c r="F92" s="7">
        <v>10.464</v>
      </c>
      <c r="G92" s="7">
        <v>11.586</v>
      </c>
      <c r="H92" s="7">
        <v>10.371</v>
      </c>
      <c r="I92" s="7">
        <v>10.103</v>
      </c>
      <c r="J92" s="7">
        <v>9.1910000000000007</v>
      </c>
      <c r="K92" s="7">
        <v>8.9879999999999995</v>
      </c>
      <c r="L92" s="7">
        <v>7.9219999999999997</v>
      </c>
      <c r="M92" s="7">
        <v>13.84</v>
      </c>
      <c r="N92" s="7">
        <v>9.3460000000000001</v>
      </c>
      <c r="O92" s="7">
        <v>11.53</v>
      </c>
      <c r="P92" s="7">
        <v>15.473000000000001</v>
      </c>
      <c r="Q92" s="7">
        <v>14.917</v>
      </c>
      <c r="R92" s="7">
        <v>15.709</v>
      </c>
      <c r="S92" s="7">
        <v>14.666</v>
      </c>
      <c r="T92" s="7">
        <v>15.087999999999999</v>
      </c>
      <c r="U92" s="7">
        <v>14.912000000000001</v>
      </c>
      <c r="V92" s="7">
        <v>18.193999999999999</v>
      </c>
      <c r="W92" s="7">
        <v>12.083</v>
      </c>
      <c r="X92" s="3">
        <v>15.003</v>
      </c>
      <c r="AC92" s="399" t="s">
        <v>122</v>
      </c>
      <c r="AD92" s="193">
        <v>0</v>
      </c>
      <c r="AE92" s="193">
        <v>0</v>
      </c>
      <c r="AF92" s="193">
        <v>0</v>
      </c>
      <c r="AG92" s="193">
        <v>0</v>
      </c>
      <c r="AH92" s="193">
        <v>0</v>
      </c>
      <c r="AI92" s="193">
        <v>1</v>
      </c>
      <c r="AJ92" s="193">
        <v>522</v>
      </c>
      <c r="AK92" s="193">
        <v>875</v>
      </c>
      <c r="AL92" s="193">
        <v>92</v>
      </c>
      <c r="AM92" s="193">
        <v>135</v>
      </c>
      <c r="AN92" s="193">
        <v>281</v>
      </c>
      <c r="AO92" s="193">
        <v>519</v>
      </c>
      <c r="AP92" s="193">
        <v>620</v>
      </c>
      <c r="AQ92" s="324" t="s">
        <v>121</v>
      </c>
      <c r="AR92" s="62">
        <v>0</v>
      </c>
      <c r="AS92" s="62">
        <v>0</v>
      </c>
      <c r="AT92" s="62">
        <v>0</v>
      </c>
      <c r="AU92" s="62">
        <v>0</v>
      </c>
      <c r="AV92" s="62">
        <v>0</v>
      </c>
      <c r="AW92" s="62">
        <v>0</v>
      </c>
      <c r="AX92" s="393">
        <v>0</v>
      </c>
      <c r="BA92" s="428" t="s">
        <v>230</v>
      </c>
      <c r="BB92" s="419">
        <v>15.2</v>
      </c>
      <c r="BC92" s="419">
        <v>18.100000000000001</v>
      </c>
      <c r="BD92" s="419">
        <v>24.2</v>
      </c>
      <c r="BE92" s="344"/>
      <c r="BF92" s="324" t="s">
        <v>230</v>
      </c>
      <c r="BG92" s="328">
        <v>579</v>
      </c>
      <c r="BH92" s="328">
        <v>316</v>
      </c>
      <c r="BI92" s="328">
        <v>228</v>
      </c>
      <c r="BJ92" s="344"/>
      <c r="BK92" s="344"/>
      <c r="BL92" s="358"/>
    </row>
    <row r="93" spans="1:64" x14ac:dyDescent="0.25">
      <c r="A93" s="3" t="s">
        <v>2832</v>
      </c>
      <c r="B93" s="164" t="s">
        <v>2753</v>
      </c>
      <c r="C93" s="4">
        <v>28.55</v>
      </c>
      <c r="D93" s="4">
        <v>33.520000000000003</v>
      </c>
      <c r="E93" s="4">
        <v>34.99</v>
      </c>
      <c r="F93" s="4">
        <v>35.700000000000003</v>
      </c>
      <c r="G93" s="4">
        <v>36.340000000000003</v>
      </c>
      <c r="H93" s="4">
        <v>37.15</v>
      </c>
      <c r="I93" s="4">
        <v>37.65</v>
      </c>
      <c r="J93" s="4">
        <v>38.01</v>
      </c>
      <c r="K93" s="4">
        <v>38.47</v>
      </c>
      <c r="L93" s="4">
        <v>38.49</v>
      </c>
      <c r="M93" s="4">
        <v>39.270000000000003</v>
      </c>
      <c r="N93" s="4">
        <v>40.049999999999997</v>
      </c>
      <c r="O93" s="4">
        <v>40.590000000000003</v>
      </c>
      <c r="P93" s="4">
        <v>41.27</v>
      </c>
      <c r="Q93" s="4">
        <v>42.11</v>
      </c>
      <c r="R93" s="4">
        <v>42.9</v>
      </c>
      <c r="S93" s="4">
        <v>43.72</v>
      </c>
      <c r="T93" s="4">
        <v>44.62</v>
      </c>
      <c r="U93" s="4">
        <v>45.51</v>
      </c>
      <c r="V93" s="4">
        <v>46.38</v>
      </c>
      <c r="W93" s="4">
        <v>46.83</v>
      </c>
      <c r="X93" s="4">
        <v>47.78</v>
      </c>
      <c r="AC93" s="405" t="s">
        <v>174</v>
      </c>
      <c r="AD93" s="32">
        <v>0</v>
      </c>
      <c r="AE93" s="32">
        <v>1</v>
      </c>
      <c r="AF93" s="32">
        <v>0</v>
      </c>
      <c r="AG93" s="32">
        <v>0</v>
      </c>
      <c r="AH93" s="32">
        <v>0</v>
      </c>
      <c r="AI93" s="32">
        <v>0</v>
      </c>
      <c r="AJ93" s="32">
        <v>0</v>
      </c>
      <c r="AK93" s="32">
        <v>28</v>
      </c>
      <c r="AL93" s="32">
        <v>93</v>
      </c>
      <c r="AM93" s="32">
        <v>13</v>
      </c>
      <c r="AN93" s="32">
        <v>0</v>
      </c>
      <c r="AO93" s="32">
        <v>0</v>
      </c>
      <c r="AP93" s="32">
        <v>0</v>
      </c>
      <c r="AQ93" s="324" t="s">
        <v>122</v>
      </c>
      <c r="AR93" s="62">
        <v>0</v>
      </c>
      <c r="AS93" s="62">
        <v>0</v>
      </c>
      <c r="AT93" s="62">
        <v>0</v>
      </c>
      <c r="AU93" s="62">
        <v>0</v>
      </c>
      <c r="AV93" s="62">
        <v>0</v>
      </c>
      <c r="AW93" s="62">
        <v>0</v>
      </c>
      <c r="AX93" s="393">
        <v>0</v>
      </c>
      <c r="BA93" s="428" t="s">
        <v>496</v>
      </c>
      <c r="BB93" s="419">
        <v>12</v>
      </c>
      <c r="BC93" s="419">
        <v>14.1</v>
      </c>
      <c r="BD93" s="419">
        <v>18.2</v>
      </c>
      <c r="BE93" s="344"/>
      <c r="BF93" s="324" t="s">
        <v>496</v>
      </c>
      <c r="BG93" s="328">
        <v>329</v>
      </c>
      <c r="BH93" s="328">
        <v>241</v>
      </c>
      <c r="BI93" s="328">
        <v>175</v>
      </c>
      <c r="BJ93" s="344"/>
      <c r="BK93" s="344"/>
      <c r="BL93" s="358"/>
    </row>
    <row r="94" spans="1:64" x14ac:dyDescent="0.25">
      <c r="B94"/>
      <c r="C94"/>
      <c r="D94"/>
      <c r="E94"/>
      <c r="F94"/>
      <c r="G94"/>
      <c r="H94"/>
      <c r="I94"/>
      <c r="J94"/>
      <c r="K94"/>
      <c r="L94"/>
      <c r="M94"/>
      <c r="N94"/>
      <c r="O94"/>
      <c r="P94"/>
      <c r="Q94"/>
      <c r="R94"/>
      <c r="S94"/>
      <c r="T94"/>
      <c r="U94"/>
      <c r="V94"/>
      <c r="W94"/>
      <c r="AC94" s="396" t="s">
        <v>124</v>
      </c>
      <c r="AD94" s="62"/>
      <c r="AE94" s="62"/>
      <c r="AF94" s="62"/>
      <c r="AG94" s="62"/>
      <c r="AH94" s="62"/>
      <c r="AI94" s="62"/>
      <c r="AJ94" s="62"/>
      <c r="AK94" s="62"/>
      <c r="AL94" s="62"/>
      <c r="AM94" s="62"/>
      <c r="AN94" s="62"/>
      <c r="AO94" s="344"/>
      <c r="AP94" s="344"/>
      <c r="AQ94" s="324" t="s">
        <v>616</v>
      </c>
      <c r="AR94" s="62">
        <v>0</v>
      </c>
      <c r="AS94" s="62">
        <v>0</v>
      </c>
      <c r="AT94" s="62">
        <v>1</v>
      </c>
      <c r="AU94" s="62">
        <v>1</v>
      </c>
      <c r="AV94" s="62">
        <v>1</v>
      </c>
      <c r="AW94" s="62">
        <v>0</v>
      </c>
      <c r="AX94" s="393">
        <v>0</v>
      </c>
      <c r="BA94" s="428" t="s">
        <v>671</v>
      </c>
      <c r="BB94" s="419">
        <v>9.1999999999999993</v>
      </c>
      <c r="BC94" s="419">
        <v>11.3</v>
      </c>
      <c r="BD94" s="419">
        <v>14.4</v>
      </c>
      <c r="BE94" s="344"/>
      <c r="BF94" s="324" t="s">
        <v>671</v>
      </c>
      <c r="BG94" s="328">
        <v>165</v>
      </c>
      <c r="BH94" s="328">
        <v>167</v>
      </c>
      <c r="BI94" s="328">
        <v>154</v>
      </c>
      <c r="BJ94" s="344"/>
      <c r="BK94" s="344"/>
      <c r="BL94" s="358"/>
    </row>
    <row r="95" spans="1:64" ht="15.75" x14ac:dyDescent="0.25">
      <c r="B95" s="177" t="s">
        <v>171</v>
      </c>
      <c r="C95" s="177"/>
      <c r="D95" s="177"/>
      <c r="E95" s="177"/>
      <c r="F95" s="177"/>
      <c r="G95" s="177"/>
      <c r="H95" s="177"/>
      <c r="I95" s="177"/>
      <c r="J95" s="177"/>
      <c r="K95" s="177"/>
      <c r="L95" s="177"/>
      <c r="M95" s="177"/>
      <c r="N95" s="177"/>
      <c r="O95" s="177"/>
      <c r="P95" s="177"/>
      <c r="Q95" s="177"/>
      <c r="R95" s="177"/>
      <c r="S95" s="177"/>
      <c r="T95" s="177"/>
      <c r="U95" s="177"/>
      <c r="V95" s="177"/>
      <c r="W95" s="177"/>
      <c r="AC95" s="396" t="s">
        <v>125</v>
      </c>
      <c r="AD95" s="62"/>
      <c r="AE95" s="62"/>
      <c r="AF95" s="62"/>
      <c r="AG95" s="62"/>
      <c r="AH95" s="62"/>
      <c r="AI95" s="62"/>
      <c r="AJ95" s="62"/>
      <c r="AK95" s="62"/>
      <c r="AL95" s="62"/>
      <c r="AM95" s="62"/>
      <c r="AN95" s="62"/>
      <c r="AO95" s="344"/>
      <c r="AP95" s="344"/>
      <c r="AQ95" s="226" t="s">
        <v>615</v>
      </c>
      <c r="AR95" s="378">
        <v>35348</v>
      </c>
      <c r="AS95" s="378">
        <v>35966</v>
      </c>
      <c r="AT95" s="378">
        <v>36396</v>
      </c>
      <c r="AU95" s="378">
        <v>38346</v>
      </c>
      <c r="AV95" s="378">
        <v>39912</v>
      </c>
      <c r="AW95" s="378">
        <v>37794</v>
      </c>
      <c r="AX95" s="392">
        <v>35096</v>
      </c>
      <c r="BA95" s="428" t="s">
        <v>672</v>
      </c>
      <c r="BB95" s="419">
        <v>8.1</v>
      </c>
      <c r="BC95" s="419">
        <v>10.199999999999999</v>
      </c>
      <c r="BD95" s="419">
        <v>13.4</v>
      </c>
      <c r="BE95" s="344"/>
      <c r="BF95" s="324" t="s">
        <v>672</v>
      </c>
      <c r="BG95" s="328">
        <v>220</v>
      </c>
      <c r="BH95" s="328">
        <v>183</v>
      </c>
      <c r="BI95" s="328">
        <v>162</v>
      </c>
      <c r="BJ95" s="344"/>
      <c r="BK95" s="344"/>
      <c r="BL95" s="358"/>
    </row>
    <row r="96" spans="1:64" ht="15.75" thickBot="1" x14ac:dyDescent="0.3">
      <c r="B96" s="155"/>
      <c r="C96" s="9">
        <v>2000</v>
      </c>
      <c r="D96" s="10">
        <v>2001</v>
      </c>
      <c r="E96" s="10">
        <v>2002</v>
      </c>
      <c r="F96" s="10">
        <v>2003</v>
      </c>
      <c r="G96" s="10">
        <v>2004</v>
      </c>
      <c r="H96" s="10">
        <v>2005</v>
      </c>
      <c r="I96" s="10">
        <v>2006</v>
      </c>
      <c r="J96" s="10">
        <v>2007</v>
      </c>
      <c r="K96" s="10">
        <v>2008</v>
      </c>
      <c r="L96" s="10">
        <v>2009</v>
      </c>
      <c r="M96" s="10">
        <v>2010</v>
      </c>
      <c r="N96" s="10">
        <v>2011</v>
      </c>
      <c r="O96" s="10">
        <v>2012</v>
      </c>
      <c r="P96" s="10">
        <v>2013</v>
      </c>
      <c r="Q96" s="10">
        <v>2014</v>
      </c>
      <c r="R96" s="10">
        <v>2015</v>
      </c>
      <c r="S96" s="10">
        <v>2016</v>
      </c>
      <c r="T96" s="10">
        <v>2017</v>
      </c>
      <c r="U96" s="10">
        <v>2018</v>
      </c>
      <c r="V96" s="10">
        <v>2019</v>
      </c>
      <c r="W96" s="10">
        <v>2020</v>
      </c>
      <c r="X96" s="10">
        <v>2021</v>
      </c>
      <c r="Y96" s="10" t="s">
        <v>2674</v>
      </c>
      <c r="Z96" s="13"/>
      <c r="AC96" s="396" t="s">
        <v>126</v>
      </c>
      <c r="AD96" s="62"/>
      <c r="AE96" s="62"/>
      <c r="AF96" s="62"/>
      <c r="AG96" s="62"/>
      <c r="AH96" s="62"/>
      <c r="AI96" s="62"/>
      <c r="AJ96" s="62"/>
      <c r="AK96" s="62"/>
      <c r="AL96" s="62"/>
      <c r="AM96" s="62"/>
      <c r="AN96" s="62"/>
      <c r="AO96" s="344"/>
      <c r="AP96" s="344"/>
      <c r="AQ96" s="324" t="s">
        <v>97</v>
      </c>
      <c r="AR96" s="62">
        <v>25409</v>
      </c>
      <c r="AS96" s="62">
        <v>26918</v>
      </c>
      <c r="AT96" s="62">
        <v>28022</v>
      </c>
      <c r="AU96" s="62">
        <v>29829</v>
      </c>
      <c r="AV96" s="62">
        <v>30918</v>
      </c>
      <c r="AW96" s="62">
        <v>29738</v>
      </c>
      <c r="AX96" s="393">
        <v>28045</v>
      </c>
      <c r="BA96" s="428" t="s">
        <v>224</v>
      </c>
      <c r="BB96" s="419">
        <v>6.6</v>
      </c>
      <c r="BC96" s="419">
        <v>8</v>
      </c>
      <c r="BD96" s="419">
        <v>10.3</v>
      </c>
      <c r="BE96" s="344"/>
      <c r="BF96" s="324" t="s">
        <v>224</v>
      </c>
      <c r="BG96" s="328">
        <v>191</v>
      </c>
      <c r="BH96" s="328">
        <v>172</v>
      </c>
      <c r="BI96" s="328">
        <v>164</v>
      </c>
      <c r="BJ96" s="344"/>
      <c r="BK96" s="344"/>
      <c r="BL96" s="358"/>
    </row>
    <row r="97" spans="1:64" ht="15.75" thickTop="1" x14ac:dyDescent="0.25">
      <c r="B97" s="162" t="s">
        <v>46</v>
      </c>
      <c r="Y97" s="3"/>
      <c r="Z97" s="3"/>
      <c r="AC97" s="396" t="s">
        <v>127</v>
      </c>
      <c r="AD97" s="62"/>
      <c r="AE97" s="62"/>
      <c r="AF97" s="62"/>
      <c r="AG97" s="62"/>
      <c r="AH97" s="62"/>
      <c r="AI97" s="62"/>
      <c r="AJ97" s="62"/>
      <c r="AK97" s="62"/>
      <c r="AL97" s="62"/>
      <c r="AM97" s="62"/>
      <c r="AN97" s="62"/>
      <c r="AO97" s="344"/>
      <c r="AP97" s="344"/>
      <c r="AQ97" s="324" t="s">
        <v>96</v>
      </c>
      <c r="AR97" s="62">
        <v>9936</v>
      </c>
      <c r="AS97" s="62">
        <v>9045</v>
      </c>
      <c r="AT97" s="62">
        <v>8371</v>
      </c>
      <c r="AU97" s="62">
        <v>8512</v>
      </c>
      <c r="AV97" s="62">
        <v>8986</v>
      </c>
      <c r="AW97" s="62">
        <v>8045</v>
      </c>
      <c r="AX97" s="393">
        <v>7041</v>
      </c>
      <c r="BA97" s="406" t="s">
        <v>675</v>
      </c>
      <c r="BB97" s="419"/>
      <c r="BC97" s="419"/>
      <c r="BD97" s="419"/>
      <c r="BE97" s="344"/>
      <c r="BF97" s="226" t="s">
        <v>891</v>
      </c>
      <c r="BG97" s="328"/>
      <c r="BH97" s="328"/>
      <c r="BI97" s="328"/>
      <c r="BJ97" s="344"/>
      <c r="BK97" s="344"/>
      <c r="BL97" s="358"/>
    </row>
    <row r="98" spans="1:64" x14ac:dyDescent="0.25">
      <c r="A98" s="3" t="s">
        <v>2833</v>
      </c>
      <c r="B98" s="172" t="s">
        <v>8</v>
      </c>
      <c r="C98" s="3">
        <v>1.9574720000000001</v>
      </c>
      <c r="D98" s="3">
        <v>1.944739</v>
      </c>
      <c r="E98" s="3">
        <v>1.92563</v>
      </c>
      <c r="F98" s="3">
        <v>1.9032009999999999</v>
      </c>
      <c r="G98" s="3">
        <v>1.8991549999999999</v>
      </c>
      <c r="H98" s="3">
        <v>1.8917919999999999</v>
      </c>
      <c r="I98" s="3">
        <v>1.881076</v>
      </c>
      <c r="J98" s="3">
        <v>1.869094</v>
      </c>
      <c r="K98" s="3">
        <v>1.8495470000000001</v>
      </c>
      <c r="L98" s="3">
        <v>1.836136</v>
      </c>
      <c r="M98" s="3">
        <v>1.82494</v>
      </c>
      <c r="N98" s="3">
        <v>1.8159909999999999</v>
      </c>
      <c r="O98" s="3">
        <v>1.795283</v>
      </c>
      <c r="P98" s="3">
        <v>1.778435</v>
      </c>
      <c r="Q98" s="3">
        <v>1.7683709999999999</v>
      </c>
      <c r="R98" s="3">
        <v>1.7527649999999999</v>
      </c>
      <c r="S98" s="3">
        <v>1.7411920000000001</v>
      </c>
      <c r="T98" s="3">
        <v>1.730448</v>
      </c>
      <c r="U98" s="3">
        <v>1.7110939999999999</v>
      </c>
      <c r="V98" s="3">
        <v>1.6939379999999999</v>
      </c>
      <c r="W98" s="3">
        <v>1.678852</v>
      </c>
      <c r="Y98" s="3">
        <f t="shared" ref="Y98:Y106" si="9">AVERAGE(R98:V98)</f>
        <v>1.7258874</v>
      </c>
      <c r="Z98" s="3"/>
      <c r="AC98" s="396" t="s">
        <v>128</v>
      </c>
      <c r="AD98" s="62"/>
      <c r="AE98" s="62"/>
      <c r="AF98" s="62"/>
      <c r="AG98" s="62"/>
      <c r="AH98" s="62"/>
      <c r="AI98" s="62"/>
      <c r="AJ98" s="62"/>
      <c r="AK98" s="62"/>
      <c r="AL98" s="62"/>
      <c r="AM98" s="62"/>
      <c r="AN98" s="62"/>
      <c r="AO98" s="344"/>
      <c r="AP98" s="344"/>
      <c r="AQ98" s="324" t="s">
        <v>120</v>
      </c>
      <c r="AR98" s="62">
        <v>0</v>
      </c>
      <c r="AS98" s="62">
        <v>0</v>
      </c>
      <c r="AT98" s="62">
        <v>0</v>
      </c>
      <c r="AU98" s="62">
        <v>0</v>
      </c>
      <c r="AV98" s="62">
        <v>0</v>
      </c>
      <c r="AW98" s="62">
        <v>0</v>
      </c>
      <c r="AX98" s="393">
        <v>0</v>
      </c>
      <c r="BA98" s="428" t="s">
        <v>96</v>
      </c>
      <c r="BB98" s="419">
        <v>6.6</v>
      </c>
      <c r="BC98" s="419">
        <v>8.1999999999999993</v>
      </c>
      <c r="BD98" s="419">
        <v>10.7</v>
      </c>
      <c r="BE98" s="344"/>
      <c r="BF98" s="324" t="s">
        <v>96</v>
      </c>
      <c r="BG98" s="328">
        <v>153</v>
      </c>
      <c r="BH98" s="328">
        <v>163</v>
      </c>
      <c r="BI98" s="328">
        <v>146</v>
      </c>
      <c r="BJ98" s="344"/>
      <c r="BK98" s="344"/>
      <c r="BL98" s="358"/>
    </row>
    <row r="99" spans="1:64" x14ac:dyDescent="0.25">
      <c r="A99" s="3" t="s">
        <v>2834</v>
      </c>
      <c r="B99" s="172" t="s">
        <v>17</v>
      </c>
      <c r="C99" s="6">
        <v>2.319785</v>
      </c>
      <c r="D99" s="6">
        <v>2.2838419999999999</v>
      </c>
      <c r="E99" s="6">
        <v>2.272888</v>
      </c>
      <c r="F99" s="6">
        <v>2.2558690000000001</v>
      </c>
      <c r="G99" s="6">
        <v>2.2467359999999998</v>
      </c>
      <c r="H99" s="6">
        <v>2.2299959999999999</v>
      </c>
      <c r="I99" s="6">
        <v>2.220437</v>
      </c>
      <c r="J99" s="6">
        <v>2.2009310000000002</v>
      </c>
      <c r="K99" s="6">
        <v>2.1767129999999999</v>
      </c>
      <c r="L99" s="6">
        <v>2.1625100000000002</v>
      </c>
      <c r="M99" s="6">
        <v>2.142744</v>
      </c>
      <c r="N99" s="6">
        <v>2.1253389999999999</v>
      </c>
      <c r="O99" s="6">
        <v>2.1095760000000001</v>
      </c>
      <c r="P99" s="6">
        <v>2.0933160000000002</v>
      </c>
      <c r="Q99" s="6">
        <v>2.0788859999999998</v>
      </c>
      <c r="R99" s="6">
        <v>2.0572110000000001</v>
      </c>
      <c r="S99" s="6">
        <v>2.0377040000000002</v>
      </c>
      <c r="T99" s="6">
        <v>2.0159440000000002</v>
      </c>
      <c r="U99" s="6">
        <v>1.9905520000000001</v>
      </c>
      <c r="V99" s="6">
        <v>1.9690650000000001</v>
      </c>
      <c r="W99" s="6">
        <v>1.9433590000000001</v>
      </c>
      <c r="Y99" s="3">
        <f t="shared" si="9"/>
        <v>2.0140952000000003</v>
      </c>
      <c r="Z99" s="3"/>
      <c r="AC99" s="386"/>
      <c r="AD99" s="62"/>
      <c r="AE99" s="62"/>
      <c r="AF99" s="62"/>
      <c r="AG99" s="62"/>
      <c r="AH99" s="62"/>
      <c r="AI99" s="62"/>
      <c r="AJ99" s="62"/>
      <c r="AK99" s="62"/>
      <c r="AL99" s="62"/>
      <c r="AM99" s="62"/>
      <c r="AN99" s="62"/>
      <c r="AO99" s="344"/>
      <c r="AP99" s="344"/>
      <c r="AQ99" s="324" t="s">
        <v>121</v>
      </c>
      <c r="AR99" s="62">
        <v>0</v>
      </c>
      <c r="AS99" s="62">
        <v>0</v>
      </c>
      <c r="AT99" s="62">
        <v>0</v>
      </c>
      <c r="AU99" s="62">
        <v>0</v>
      </c>
      <c r="AV99" s="62">
        <v>0</v>
      </c>
      <c r="AW99" s="62">
        <v>0</v>
      </c>
      <c r="AX99" s="393">
        <v>0</v>
      </c>
      <c r="BA99" s="428" t="s">
        <v>230</v>
      </c>
      <c r="BB99" s="419">
        <v>15.9</v>
      </c>
      <c r="BC99" s="419">
        <v>18.7</v>
      </c>
      <c r="BD99" s="419">
        <v>25.3</v>
      </c>
      <c r="BE99" s="344"/>
      <c r="BF99" s="324" t="s">
        <v>230</v>
      </c>
      <c r="BG99" s="328">
        <v>374</v>
      </c>
      <c r="BH99" s="328">
        <v>223</v>
      </c>
      <c r="BI99" s="328">
        <v>171</v>
      </c>
      <c r="BJ99" s="344"/>
      <c r="BK99" s="344"/>
      <c r="BL99" s="358"/>
    </row>
    <row r="100" spans="1:64" ht="15.75" x14ac:dyDescent="0.25">
      <c r="A100" s="3" t="s">
        <v>2835</v>
      </c>
      <c r="B100" s="172" t="s">
        <v>18</v>
      </c>
      <c r="C100" s="3">
        <v>7.5202200000000001</v>
      </c>
      <c r="D100" s="3">
        <v>7.3701249999999998</v>
      </c>
      <c r="E100" s="3">
        <v>7.2674560000000001</v>
      </c>
      <c r="F100" s="3">
        <v>7.1739449999999998</v>
      </c>
      <c r="G100" s="3">
        <v>7.1037850000000002</v>
      </c>
      <c r="H100" s="3">
        <v>7.0055639999999997</v>
      </c>
      <c r="I100" s="3">
        <v>6.9510249999999996</v>
      </c>
      <c r="J100" s="3">
        <v>6.8528209999999996</v>
      </c>
      <c r="K100" s="3">
        <v>6.7806670000000002</v>
      </c>
      <c r="L100" s="3">
        <v>6.72987</v>
      </c>
      <c r="M100" s="3">
        <v>6.6714120000000001</v>
      </c>
      <c r="N100" s="3">
        <v>6.623488</v>
      </c>
      <c r="O100" s="3">
        <v>6.5788589999999996</v>
      </c>
      <c r="P100" s="3">
        <v>6.5204310000000003</v>
      </c>
      <c r="Q100" s="3">
        <v>6.4769139999999998</v>
      </c>
      <c r="R100" s="3">
        <v>6.410488</v>
      </c>
      <c r="S100" s="3">
        <v>6.3565079999999998</v>
      </c>
      <c r="T100" s="3">
        <v>6.2908030000000004</v>
      </c>
      <c r="U100" s="3">
        <v>6.2081189999999999</v>
      </c>
      <c r="V100" s="3">
        <v>6.1404940000000003</v>
      </c>
      <c r="W100" s="3">
        <v>6.0629569999999999</v>
      </c>
      <c r="Y100" s="3">
        <f t="shared" si="9"/>
        <v>6.2812824000000003</v>
      </c>
      <c r="Z100" s="3"/>
      <c r="AC100" s="381" t="s">
        <v>608</v>
      </c>
      <c r="AD100" s="312"/>
      <c r="AE100" s="312"/>
      <c r="AF100" s="312"/>
      <c r="AG100" s="312"/>
      <c r="AH100" s="312"/>
      <c r="AI100" s="312"/>
      <c r="AJ100" s="312"/>
      <c r="AK100" s="312"/>
      <c r="AL100" s="312"/>
      <c r="AM100" s="231"/>
      <c r="AN100" s="231"/>
      <c r="AO100" s="231"/>
      <c r="AP100" s="344"/>
      <c r="AQ100" s="324" t="s">
        <v>122</v>
      </c>
      <c r="AR100" s="62">
        <v>0</v>
      </c>
      <c r="AS100" s="62">
        <v>0</v>
      </c>
      <c r="AT100" s="62">
        <v>0</v>
      </c>
      <c r="AU100" s="62">
        <v>0</v>
      </c>
      <c r="AV100" s="62">
        <v>0</v>
      </c>
      <c r="AW100" s="62">
        <v>0</v>
      </c>
      <c r="AX100" s="393">
        <v>0</v>
      </c>
      <c r="BA100" s="428" t="s">
        <v>496</v>
      </c>
      <c r="BB100" s="419">
        <v>12.1</v>
      </c>
      <c r="BC100" s="419">
        <v>14.2</v>
      </c>
      <c r="BD100" s="419">
        <v>18.8</v>
      </c>
      <c r="BE100" s="344"/>
      <c r="BF100" s="324" t="s">
        <v>496</v>
      </c>
      <c r="BG100" s="328">
        <v>282</v>
      </c>
      <c r="BH100" s="328">
        <v>214</v>
      </c>
      <c r="BI100" s="328">
        <v>153</v>
      </c>
      <c r="BJ100" s="344"/>
      <c r="BK100" s="344"/>
      <c r="BL100" s="358"/>
    </row>
    <row r="101" spans="1:64" ht="15.75" thickBot="1" x14ac:dyDescent="0.3">
      <c r="A101" s="3" t="s">
        <v>2836</v>
      </c>
      <c r="B101" s="172" t="s">
        <v>19</v>
      </c>
      <c r="C101" s="3">
        <v>7.7817439999999998</v>
      </c>
      <c r="D101" s="3">
        <v>7.7689550000000001</v>
      </c>
      <c r="E101" s="3">
        <v>7.6946870000000001</v>
      </c>
      <c r="F101" s="3">
        <v>7.5980679999999996</v>
      </c>
      <c r="G101" s="3">
        <v>7.5261610000000001</v>
      </c>
      <c r="H101" s="3">
        <v>7.4533180000000003</v>
      </c>
      <c r="I101" s="3">
        <v>6.6859109999999999</v>
      </c>
      <c r="J101" s="3">
        <v>6.509836</v>
      </c>
      <c r="K101" s="3">
        <v>6.66486</v>
      </c>
      <c r="L101" s="3">
        <v>7.1605670000000003</v>
      </c>
      <c r="M101" s="3">
        <v>6.6700109999999997</v>
      </c>
      <c r="N101" s="3">
        <v>6.5853159999999997</v>
      </c>
      <c r="O101" s="3">
        <v>6.4974239999999996</v>
      </c>
      <c r="P101" s="3">
        <v>6.3843399999999999</v>
      </c>
      <c r="Q101" s="3">
        <v>6.2784599999999999</v>
      </c>
      <c r="R101" s="3">
        <v>6.1678959999999998</v>
      </c>
      <c r="S101" s="3">
        <v>6.0554329999999998</v>
      </c>
      <c r="T101" s="3">
        <v>5.9699299999999997</v>
      </c>
      <c r="U101" s="3">
        <v>5.8893279999999999</v>
      </c>
      <c r="V101" s="3">
        <v>5.7846760000000002</v>
      </c>
      <c r="W101" s="3">
        <v>5.7027850000000004</v>
      </c>
      <c r="Y101" s="3">
        <f t="shared" si="9"/>
        <v>5.9734525999999999</v>
      </c>
      <c r="Z101" s="3"/>
      <c r="AC101" s="382" t="s">
        <v>590</v>
      </c>
      <c r="AD101" s="10">
        <v>2010</v>
      </c>
      <c r="AE101" s="10">
        <v>2011</v>
      </c>
      <c r="AF101" s="10">
        <v>2012</v>
      </c>
      <c r="AG101" s="10">
        <v>2013</v>
      </c>
      <c r="AH101" s="10">
        <v>2014</v>
      </c>
      <c r="AI101" s="10">
        <v>2015</v>
      </c>
      <c r="AJ101" s="10">
        <v>2016</v>
      </c>
      <c r="AK101" s="10">
        <v>2017</v>
      </c>
      <c r="AL101" s="10">
        <v>2018</v>
      </c>
      <c r="AM101" s="62"/>
      <c r="AN101" s="62"/>
      <c r="AO101" s="344"/>
      <c r="AP101" s="344"/>
      <c r="AQ101" s="324" t="s">
        <v>616</v>
      </c>
      <c r="AR101" s="62">
        <v>3</v>
      </c>
      <c r="AS101" s="62">
        <v>3</v>
      </c>
      <c r="AT101" s="62">
        <v>3</v>
      </c>
      <c r="AU101" s="62">
        <v>5</v>
      </c>
      <c r="AV101" s="62">
        <v>8</v>
      </c>
      <c r="AW101" s="62">
        <v>11</v>
      </c>
      <c r="AX101" s="393">
        <v>10</v>
      </c>
      <c r="BA101" s="428" t="s">
        <v>672</v>
      </c>
      <c r="BB101" s="419">
        <v>8.4</v>
      </c>
      <c r="BC101" s="419">
        <v>10.7</v>
      </c>
      <c r="BD101" s="419">
        <v>14.8</v>
      </c>
      <c r="BE101" s="344"/>
      <c r="BF101" s="324" t="s">
        <v>671</v>
      </c>
      <c r="BG101" s="328">
        <v>152</v>
      </c>
      <c r="BH101" s="328">
        <v>154</v>
      </c>
      <c r="BI101" s="328">
        <v>140</v>
      </c>
      <c r="BJ101" s="344"/>
      <c r="BK101" s="344"/>
      <c r="BL101" s="358"/>
    </row>
    <row r="102" spans="1:64" ht="15" customHeight="1" thickTop="1" x14ac:dyDescent="0.25">
      <c r="A102" s="3" t="s">
        <v>2837</v>
      </c>
      <c r="B102" s="172" t="s">
        <v>32</v>
      </c>
      <c r="C102" s="3">
        <v>1.984532</v>
      </c>
      <c r="D102" s="3">
        <v>1.9510130000000001</v>
      </c>
      <c r="E102" s="3">
        <v>1.9169620000000001</v>
      </c>
      <c r="F102" s="3">
        <v>1.883443</v>
      </c>
      <c r="G102" s="3">
        <v>1.8493919999999999</v>
      </c>
      <c r="H102" s="3">
        <v>1.8945380000000001</v>
      </c>
      <c r="I102" s="3">
        <v>1.923489</v>
      </c>
      <c r="J102" s="3">
        <v>1.99048</v>
      </c>
      <c r="K102" s="3">
        <v>2.016095</v>
      </c>
      <c r="L102" s="3">
        <v>2.1420729999999999</v>
      </c>
      <c r="M102" s="3">
        <v>2.0830350000000002</v>
      </c>
      <c r="N102" s="3">
        <v>2.0972309999999998</v>
      </c>
      <c r="O102" s="3">
        <v>2.020022</v>
      </c>
      <c r="P102" s="3">
        <v>1.958958</v>
      </c>
      <c r="Q102" s="3">
        <v>1.8469979999999999</v>
      </c>
      <c r="R102" s="3">
        <v>1.6911620000000001</v>
      </c>
      <c r="S102" s="3">
        <v>1.489913</v>
      </c>
      <c r="T102" s="3">
        <v>1.55602</v>
      </c>
      <c r="U102" s="3">
        <v>1.809971</v>
      </c>
      <c r="V102" s="3">
        <v>1.7406790000000001</v>
      </c>
      <c r="W102" s="3">
        <v>1.724388</v>
      </c>
      <c r="Y102" s="3">
        <f t="shared" si="9"/>
        <v>1.6575490000000002</v>
      </c>
      <c r="Z102" s="3"/>
      <c r="AC102" s="406" t="s">
        <v>603</v>
      </c>
      <c r="AD102" s="62"/>
      <c r="AE102" s="62"/>
      <c r="AF102" s="62"/>
      <c r="AG102" s="62"/>
      <c r="AH102" s="344"/>
      <c r="AI102" s="344"/>
      <c r="AJ102" s="344"/>
      <c r="AK102" s="344"/>
      <c r="AL102" s="344"/>
      <c r="AM102" s="62"/>
      <c r="AN102" s="62"/>
      <c r="AO102" s="344"/>
      <c r="AP102" s="344"/>
      <c r="AQ102" s="226" t="s">
        <v>623</v>
      </c>
      <c r="AR102" s="378">
        <v>41516</v>
      </c>
      <c r="AS102" s="378">
        <v>42995</v>
      </c>
      <c r="AT102" s="378">
        <v>44527</v>
      </c>
      <c r="AU102" s="378">
        <v>46768</v>
      </c>
      <c r="AV102" s="378">
        <v>50447</v>
      </c>
      <c r="AW102" s="378">
        <v>48169</v>
      </c>
      <c r="AX102" s="392">
        <v>47932</v>
      </c>
      <c r="BA102" s="428" t="s">
        <v>671</v>
      </c>
      <c r="BB102" s="419">
        <v>8.4</v>
      </c>
      <c r="BC102" s="419">
        <v>10.199999999999999</v>
      </c>
      <c r="BD102" s="419">
        <v>13.1</v>
      </c>
      <c r="BE102" s="344"/>
      <c r="BF102" s="324" t="s">
        <v>672</v>
      </c>
      <c r="BG102" s="328">
        <v>178</v>
      </c>
      <c r="BH102" s="328">
        <v>162</v>
      </c>
      <c r="BI102" s="328">
        <v>149</v>
      </c>
      <c r="BJ102" s="344"/>
      <c r="BK102" s="344"/>
      <c r="BL102" s="358"/>
    </row>
    <row r="103" spans="1:64" x14ac:dyDescent="0.25">
      <c r="A103" s="3" t="s">
        <v>2838</v>
      </c>
      <c r="B103" s="172" t="s">
        <v>37</v>
      </c>
      <c r="C103" s="3">
        <v>1.495441</v>
      </c>
      <c r="D103" s="3">
        <v>1.348312</v>
      </c>
      <c r="E103" s="3">
        <v>1.29528</v>
      </c>
      <c r="F103" s="3">
        <v>1.295253</v>
      </c>
      <c r="G103" s="3">
        <v>1.295269</v>
      </c>
      <c r="H103" s="3">
        <v>1.1850020000000001</v>
      </c>
      <c r="I103" s="3">
        <v>1.1849799999999999</v>
      </c>
      <c r="J103" s="3">
        <v>1.1575249999999999</v>
      </c>
      <c r="K103" s="3">
        <v>1.1574599999999999</v>
      </c>
      <c r="L103" s="3">
        <v>1.7546630000000001</v>
      </c>
      <c r="M103" s="3">
        <v>1.7546550000000001</v>
      </c>
      <c r="N103" s="3">
        <v>1.7546759999999999</v>
      </c>
      <c r="O103" s="3">
        <v>1.7546949999999999</v>
      </c>
      <c r="P103" s="3">
        <v>1.75465</v>
      </c>
      <c r="Q103" s="3">
        <v>1.754686</v>
      </c>
      <c r="R103" s="3">
        <v>1.7546809999999999</v>
      </c>
      <c r="S103" s="3">
        <v>1.649564</v>
      </c>
      <c r="T103" s="3">
        <v>1.598511</v>
      </c>
      <c r="U103" s="3">
        <v>1.5985320000000001</v>
      </c>
      <c r="V103" s="3">
        <v>1.59579</v>
      </c>
      <c r="W103" s="3">
        <v>1.4620390000000001</v>
      </c>
      <c r="Y103" s="3">
        <f t="shared" si="9"/>
        <v>1.6394156000000002</v>
      </c>
      <c r="Z103" s="3"/>
      <c r="AC103" s="407" t="s">
        <v>602</v>
      </c>
      <c r="AD103" s="62">
        <v>60471473</v>
      </c>
      <c r="AE103" s="62">
        <v>56433360</v>
      </c>
      <c r="AF103" s="62">
        <v>64426719</v>
      </c>
      <c r="AG103" s="62">
        <v>65016375</v>
      </c>
      <c r="AH103" s="62">
        <v>65624086</v>
      </c>
      <c r="AI103" s="62">
        <v>64254141</v>
      </c>
      <c r="AJ103" s="62">
        <v>60907663</v>
      </c>
      <c r="AK103" s="62">
        <v>65640370</v>
      </c>
      <c r="AL103" s="62">
        <v>63678359</v>
      </c>
      <c r="AM103" s="62"/>
      <c r="AN103" s="62"/>
      <c r="AO103" s="344"/>
      <c r="AP103" s="344"/>
      <c r="AQ103" s="324" t="s">
        <v>97</v>
      </c>
      <c r="AR103" s="62">
        <v>7949</v>
      </c>
      <c r="AS103" s="62">
        <v>8329</v>
      </c>
      <c r="AT103" s="62">
        <v>8912</v>
      </c>
      <c r="AU103" s="62">
        <v>9638</v>
      </c>
      <c r="AV103" s="62">
        <v>10528</v>
      </c>
      <c r="AW103" s="62">
        <v>10523</v>
      </c>
      <c r="AX103" s="393">
        <v>11346</v>
      </c>
      <c r="BA103" s="428" t="s">
        <v>224</v>
      </c>
      <c r="BB103" s="419">
        <v>5.2</v>
      </c>
      <c r="BC103" s="419">
        <v>6.4</v>
      </c>
      <c r="BD103" s="419">
        <v>8.6</v>
      </c>
      <c r="BE103" s="344"/>
      <c r="BF103" s="324" t="s">
        <v>224</v>
      </c>
      <c r="BG103" s="328">
        <v>170</v>
      </c>
      <c r="BH103" s="328">
        <v>155</v>
      </c>
      <c r="BI103" s="328">
        <v>147</v>
      </c>
      <c r="BJ103" s="344"/>
      <c r="BK103" s="344"/>
      <c r="BL103" s="358"/>
    </row>
    <row r="104" spans="1:64" x14ac:dyDescent="0.25">
      <c r="A104" s="3" t="s">
        <v>2839</v>
      </c>
      <c r="B104" s="172" t="s">
        <v>42</v>
      </c>
      <c r="C104" s="3">
        <v>0.61469099999999999</v>
      </c>
      <c r="D104" s="3">
        <v>0.59221000000000001</v>
      </c>
      <c r="E104" s="3">
        <v>0.56342199999999998</v>
      </c>
      <c r="F104" s="3">
        <v>0.55539000000000005</v>
      </c>
      <c r="G104" s="3">
        <v>0.52248899999999998</v>
      </c>
      <c r="H104" s="3">
        <v>0.492537</v>
      </c>
      <c r="I104" s="3">
        <v>0.42750300000000002</v>
      </c>
      <c r="J104" s="3">
        <v>0.51467099999999999</v>
      </c>
      <c r="K104" s="3">
        <v>0.53270399999999996</v>
      </c>
      <c r="L104" s="3">
        <v>0.447349</v>
      </c>
      <c r="M104" s="3">
        <v>0.427319</v>
      </c>
      <c r="N104" s="3">
        <v>0.44372499999999998</v>
      </c>
      <c r="O104" s="3">
        <v>0.41536000000000001</v>
      </c>
      <c r="P104" s="3">
        <v>0.40606599999999998</v>
      </c>
      <c r="Q104" s="3">
        <v>0.42193599999999998</v>
      </c>
      <c r="R104" s="3">
        <v>0.43096400000000001</v>
      </c>
      <c r="S104" s="3">
        <v>0.447434</v>
      </c>
      <c r="T104" s="3">
        <v>0.241787</v>
      </c>
      <c r="U104" s="3">
        <v>0.34778100000000001</v>
      </c>
      <c r="V104" s="3">
        <v>0.40590900000000002</v>
      </c>
      <c r="W104" s="3">
        <v>0.34224199999999999</v>
      </c>
      <c r="Y104" s="3">
        <f t="shared" si="9"/>
        <v>0.37477500000000002</v>
      </c>
      <c r="Z104" s="3"/>
      <c r="AC104" s="407" t="s">
        <v>600</v>
      </c>
      <c r="AD104" s="62">
        <v>572883057902</v>
      </c>
      <c r="AE104" s="62">
        <v>600643634182</v>
      </c>
      <c r="AF104" s="62">
        <v>661929861820</v>
      </c>
      <c r="AG104" s="62">
        <v>690792516083</v>
      </c>
      <c r="AH104" s="62">
        <v>730550584250</v>
      </c>
      <c r="AI104" s="62">
        <v>729215433594</v>
      </c>
      <c r="AJ104" s="62">
        <v>755515777679</v>
      </c>
      <c r="AK104" s="62">
        <v>751948221713</v>
      </c>
      <c r="AL104" s="62">
        <v>753715221437</v>
      </c>
      <c r="AM104" s="62"/>
      <c r="AN104" s="62"/>
      <c r="AO104" s="344"/>
      <c r="AP104" s="344"/>
      <c r="AQ104" s="324" t="s">
        <v>96</v>
      </c>
      <c r="AR104" s="62">
        <v>33565</v>
      </c>
      <c r="AS104" s="62">
        <v>34665</v>
      </c>
      <c r="AT104" s="62">
        <v>35615</v>
      </c>
      <c r="AU104" s="62">
        <v>37129</v>
      </c>
      <c r="AV104" s="62">
        <v>39918</v>
      </c>
      <c r="AW104" s="62">
        <v>37646</v>
      </c>
      <c r="AX104" s="393">
        <v>36586</v>
      </c>
      <c r="BA104" s="406" t="s">
        <v>676</v>
      </c>
      <c r="BB104" s="344"/>
      <c r="BC104" s="344"/>
      <c r="BD104" s="344"/>
      <c r="BE104" s="344"/>
      <c r="BF104" s="226" t="s">
        <v>892</v>
      </c>
      <c r="BG104" s="328"/>
      <c r="BH104" s="328"/>
      <c r="BI104" s="328"/>
      <c r="BJ104" s="344"/>
      <c r="BK104" s="344"/>
      <c r="BL104" s="358"/>
    </row>
    <row r="105" spans="1:64" x14ac:dyDescent="0.25">
      <c r="A105" s="3" t="s">
        <v>2840</v>
      </c>
      <c r="B105" s="172" t="s">
        <v>39</v>
      </c>
      <c r="C105" s="3">
        <v>1.949908</v>
      </c>
      <c r="D105" s="3">
        <v>1.7695270000000001</v>
      </c>
      <c r="E105" s="3">
        <v>1.7894699999999999</v>
      </c>
      <c r="F105" s="3">
        <v>1.7840830000000001</v>
      </c>
      <c r="G105" s="3">
        <v>1.747741</v>
      </c>
      <c r="H105" s="3">
        <v>1.7049430000000001</v>
      </c>
      <c r="I105" s="3">
        <v>1.4406429999999999</v>
      </c>
      <c r="J105" s="3">
        <v>1.8297399999999999</v>
      </c>
      <c r="K105" s="3">
        <v>1.7899590000000001</v>
      </c>
      <c r="L105" s="3">
        <v>1.682253</v>
      </c>
      <c r="M105" s="3">
        <v>1.662547</v>
      </c>
      <c r="N105" s="3">
        <v>1.538481</v>
      </c>
      <c r="O105" s="3">
        <v>1.4979720000000001</v>
      </c>
      <c r="P105" s="3">
        <v>1.6691800000000001</v>
      </c>
      <c r="Q105" s="3">
        <v>1.6706460000000001</v>
      </c>
      <c r="R105" s="3">
        <v>1.674007</v>
      </c>
      <c r="S105" s="3">
        <v>1.8526830000000001</v>
      </c>
      <c r="T105" s="3">
        <v>1.653815</v>
      </c>
      <c r="U105" s="3">
        <v>1.7349540000000001</v>
      </c>
      <c r="V105" s="3">
        <v>1.727347</v>
      </c>
      <c r="W105" s="3">
        <v>1.9266399999999999</v>
      </c>
      <c r="Y105" s="3">
        <f t="shared" si="9"/>
        <v>1.7285612000000001</v>
      </c>
      <c r="Z105" s="3"/>
      <c r="AC105" s="407" t="s">
        <v>601</v>
      </c>
      <c r="AD105" s="62">
        <v>35873087841</v>
      </c>
      <c r="AE105" s="62">
        <v>34835228497</v>
      </c>
      <c r="AF105" s="62">
        <v>40691522977</v>
      </c>
      <c r="AG105" s="62">
        <v>41184412044</v>
      </c>
      <c r="AH105" s="62">
        <v>41082080872</v>
      </c>
      <c r="AI105" s="62">
        <v>39388059058</v>
      </c>
      <c r="AJ105" s="62">
        <v>38692154660</v>
      </c>
      <c r="AK105" s="62">
        <v>38342947207</v>
      </c>
      <c r="AL105" s="62">
        <v>37991270989</v>
      </c>
      <c r="AM105" s="62"/>
      <c r="AN105" s="62"/>
      <c r="AO105" s="344"/>
      <c r="AP105" s="344"/>
      <c r="AQ105" s="324" t="s">
        <v>120</v>
      </c>
      <c r="AR105" s="62">
        <v>1</v>
      </c>
      <c r="AS105" s="62">
        <v>1</v>
      </c>
      <c r="AT105" s="62">
        <v>0</v>
      </c>
      <c r="AU105" s="62">
        <v>0</v>
      </c>
      <c r="AV105" s="62">
        <v>0</v>
      </c>
      <c r="AW105" s="62">
        <v>0</v>
      </c>
      <c r="AX105" s="393">
        <v>0</v>
      </c>
      <c r="BA105" s="428" t="s">
        <v>96</v>
      </c>
      <c r="BB105" s="419">
        <v>10.1</v>
      </c>
      <c r="BC105" s="419">
        <v>14.7</v>
      </c>
      <c r="BD105" s="419">
        <v>17.600000000000001</v>
      </c>
      <c r="BE105" s="344"/>
      <c r="BF105" s="324" t="s">
        <v>96</v>
      </c>
      <c r="BG105" s="328">
        <v>45</v>
      </c>
      <c r="BH105" s="328">
        <v>49</v>
      </c>
      <c r="BI105" s="328">
        <v>42</v>
      </c>
      <c r="BJ105" s="344"/>
      <c r="BK105" s="344"/>
      <c r="BL105" s="358"/>
    </row>
    <row r="106" spans="1:64" x14ac:dyDescent="0.25">
      <c r="A106" s="3" t="s">
        <v>2841</v>
      </c>
      <c r="B106" s="172" t="s">
        <v>40</v>
      </c>
      <c r="C106" s="3">
        <v>0.79505599999999998</v>
      </c>
      <c r="D106" s="3">
        <v>0.80832000000000004</v>
      </c>
      <c r="E106" s="3">
        <v>0.77701399999999998</v>
      </c>
      <c r="F106" s="3">
        <v>0.77435399999999999</v>
      </c>
      <c r="G106" s="3">
        <v>0.75939900000000005</v>
      </c>
      <c r="H106" s="3">
        <v>0.74520200000000003</v>
      </c>
      <c r="I106" s="3">
        <v>0.84669899999999998</v>
      </c>
      <c r="J106" s="3">
        <v>0.76681699999999997</v>
      </c>
      <c r="K106" s="20">
        <v>0.81967599999999996</v>
      </c>
      <c r="L106" s="20">
        <v>0.68676899999999996</v>
      </c>
      <c r="M106" s="20">
        <v>0.76452399999999998</v>
      </c>
      <c r="N106" s="20">
        <v>0.70171600000000001</v>
      </c>
      <c r="O106" s="20">
        <v>0.78013600000000005</v>
      </c>
      <c r="P106" s="20">
        <v>0.73320799999999997</v>
      </c>
      <c r="Q106" s="20">
        <v>0.90966400000000003</v>
      </c>
      <c r="R106" s="20">
        <v>0.80597600000000003</v>
      </c>
      <c r="S106" s="20">
        <v>0.733823</v>
      </c>
      <c r="T106" s="20">
        <v>0.51314199999999999</v>
      </c>
      <c r="U106" s="20">
        <v>0.43782300000000002</v>
      </c>
      <c r="V106" s="20">
        <v>0.44732</v>
      </c>
      <c r="W106" s="20">
        <v>0.43636200000000003</v>
      </c>
      <c r="Y106" s="3">
        <f t="shared" si="9"/>
        <v>0.58761679999999994</v>
      </c>
      <c r="Z106" s="3"/>
      <c r="AC106" s="407" t="s">
        <v>591</v>
      </c>
      <c r="AD106" s="62">
        <v>221766497286</v>
      </c>
      <c r="AE106" s="62">
        <v>224325150966</v>
      </c>
      <c r="AF106" s="62">
        <v>241494971731</v>
      </c>
      <c r="AG106" s="62">
        <v>251387356560</v>
      </c>
      <c r="AH106" s="62">
        <v>268568177923</v>
      </c>
      <c r="AI106" s="62">
        <v>277395828668</v>
      </c>
      <c r="AJ106" s="62">
        <v>294715652196</v>
      </c>
      <c r="AK106" s="62">
        <v>277855693084</v>
      </c>
      <c r="AL106" s="62">
        <v>269093508168</v>
      </c>
      <c r="AM106" s="62"/>
      <c r="AN106" s="62"/>
      <c r="AO106" s="344"/>
      <c r="AP106" s="344"/>
      <c r="AQ106" s="324" t="s">
        <v>121</v>
      </c>
      <c r="AR106" s="62">
        <v>0</v>
      </c>
      <c r="AS106" s="62">
        <v>0</v>
      </c>
      <c r="AT106" s="62">
        <v>0</v>
      </c>
      <c r="AU106" s="62">
        <v>0</v>
      </c>
      <c r="AV106" s="62">
        <v>0</v>
      </c>
      <c r="AW106" s="62">
        <v>0</v>
      </c>
      <c r="AX106" s="393">
        <v>0</v>
      </c>
      <c r="BA106" s="428" t="s">
        <v>230</v>
      </c>
      <c r="BB106" s="419">
        <v>28.4</v>
      </c>
      <c r="BC106" s="419">
        <v>41.3</v>
      </c>
      <c r="BD106" s="419">
        <v>52.3</v>
      </c>
      <c r="BE106" s="344"/>
      <c r="BF106" s="324" t="s">
        <v>230</v>
      </c>
      <c r="BG106" s="328">
        <v>83</v>
      </c>
      <c r="BH106" s="328">
        <v>45</v>
      </c>
      <c r="BI106" s="328">
        <v>36</v>
      </c>
      <c r="BJ106" s="344"/>
      <c r="BK106" s="344"/>
      <c r="BL106" s="358"/>
    </row>
    <row r="107" spans="1:64" x14ac:dyDescent="0.25">
      <c r="B107" s="162" t="s">
        <v>21</v>
      </c>
      <c r="Y107" s="3"/>
      <c r="Z107" s="3"/>
      <c r="AC107" s="407" t="s">
        <v>598</v>
      </c>
      <c r="AD107" s="62">
        <v>9474</v>
      </c>
      <c r="AE107" s="62">
        <v>10643</v>
      </c>
      <c r="AF107" s="62">
        <v>10274</v>
      </c>
      <c r="AG107" s="62">
        <v>10625</v>
      </c>
      <c r="AH107" s="62">
        <v>11132</v>
      </c>
      <c r="AI107" s="62">
        <v>11349</v>
      </c>
      <c r="AJ107" s="62">
        <v>12404</v>
      </c>
      <c r="AK107" s="62">
        <v>11456</v>
      </c>
      <c r="AL107" s="62">
        <v>11836</v>
      </c>
      <c r="AM107" s="62"/>
      <c r="AN107" s="62"/>
      <c r="AO107" s="344"/>
      <c r="AP107" s="344"/>
      <c r="AQ107" s="324" t="s">
        <v>122</v>
      </c>
      <c r="AR107" s="62">
        <v>0</v>
      </c>
      <c r="AS107" s="62">
        <v>0</v>
      </c>
      <c r="AT107" s="62">
        <v>0</v>
      </c>
      <c r="AU107" s="62">
        <v>0</v>
      </c>
      <c r="AV107" s="62">
        <v>0</v>
      </c>
      <c r="AW107" s="62">
        <v>0</v>
      </c>
      <c r="AX107" s="393">
        <v>0</v>
      </c>
      <c r="BA107" s="428" t="s">
        <v>496</v>
      </c>
      <c r="BB107" s="419">
        <v>22</v>
      </c>
      <c r="BC107" s="419">
        <v>31.6</v>
      </c>
      <c r="BD107" s="419">
        <v>38.9</v>
      </c>
      <c r="BE107" s="344"/>
      <c r="BF107" s="324" t="s">
        <v>496</v>
      </c>
      <c r="BG107" s="328">
        <v>93</v>
      </c>
      <c r="BH107" s="328">
        <v>65</v>
      </c>
      <c r="BI107" s="328">
        <v>42</v>
      </c>
      <c r="BJ107" s="344"/>
      <c r="BK107" s="344"/>
      <c r="BL107" s="358"/>
    </row>
    <row r="108" spans="1:64" x14ac:dyDescent="0.25">
      <c r="A108" s="3" t="s">
        <v>2842</v>
      </c>
      <c r="B108" s="172" t="s">
        <v>8</v>
      </c>
      <c r="C108" s="3">
        <v>8.8388329999999993</v>
      </c>
      <c r="D108" s="20">
        <v>8.7813580000000009</v>
      </c>
      <c r="E108" s="20">
        <v>8.7046899999999994</v>
      </c>
      <c r="F108" s="20">
        <v>8.6049399999999991</v>
      </c>
      <c r="G108" s="20">
        <v>8.5877560000000006</v>
      </c>
      <c r="H108" s="20">
        <v>8.5582999999999991</v>
      </c>
      <c r="I108" s="20">
        <v>8.5046660000000003</v>
      </c>
      <c r="J108" s="20">
        <v>8.1445209999999992</v>
      </c>
      <c r="K108" s="20">
        <v>7.9876610000000001</v>
      </c>
      <c r="L108" s="20">
        <v>7.9472560000000003</v>
      </c>
      <c r="M108" s="20">
        <v>7.8750999999999998</v>
      </c>
      <c r="N108" s="20">
        <v>7.7833649999999999</v>
      </c>
      <c r="O108" s="20">
        <v>7.6583240000000004</v>
      </c>
      <c r="P108" s="20">
        <v>7.6130190000000004</v>
      </c>
      <c r="Q108" s="20">
        <v>7.5435090000000002</v>
      </c>
      <c r="R108" s="20">
        <v>7.9313799999999999</v>
      </c>
      <c r="S108" s="20">
        <v>7.8729079999999998</v>
      </c>
      <c r="T108" s="20">
        <v>7.8242529999999997</v>
      </c>
      <c r="U108" s="20">
        <v>7.7415700000000003</v>
      </c>
      <c r="V108" s="20">
        <v>7.6616939999999998</v>
      </c>
      <c r="W108" s="20">
        <v>7.5886880000000003</v>
      </c>
      <c r="Y108" s="3">
        <f>AVERAGE(R108:V108)</f>
        <v>7.8063609999999999</v>
      </c>
      <c r="Z108" s="3"/>
      <c r="AC108" s="407" t="s">
        <v>599</v>
      </c>
      <c r="AD108" s="62">
        <v>593</v>
      </c>
      <c r="AE108" s="62">
        <v>617</v>
      </c>
      <c r="AF108" s="62">
        <v>632</v>
      </c>
      <c r="AG108" s="62">
        <v>633</v>
      </c>
      <c r="AH108" s="62">
        <v>626</v>
      </c>
      <c r="AI108" s="62">
        <v>613</v>
      </c>
      <c r="AJ108" s="62">
        <v>635</v>
      </c>
      <c r="AK108" s="62">
        <v>584</v>
      </c>
      <c r="AL108" s="62">
        <v>597</v>
      </c>
      <c r="AM108" s="62"/>
      <c r="AN108" s="62"/>
      <c r="AO108" s="344"/>
      <c r="AP108" s="344"/>
      <c r="AQ108" s="324" t="s">
        <v>616</v>
      </c>
      <c r="AR108" s="62">
        <v>1</v>
      </c>
      <c r="AS108" s="62">
        <v>0</v>
      </c>
      <c r="AT108" s="62">
        <v>0</v>
      </c>
      <c r="AU108" s="62">
        <v>1</v>
      </c>
      <c r="AV108" s="62">
        <v>1</v>
      </c>
      <c r="AW108" s="62">
        <v>0</v>
      </c>
      <c r="AX108" s="393">
        <v>0</v>
      </c>
      <c r="BA108" s="428" t="s">
        <v>671</v>
      </c>
      <c r="BB108" s="419">
        <v>13</v>
      </c>
      <c r="BC108" s="419">
        <v>18.899999999999999</v>
      </c>
      <c r="BD108" s="419">
        <v>22.8</v>
      </c>
      <c r="BE108" s="344"/>
      <c r="BF108" s="324" t="s">
        <v>671</v>
      </c>
      <c r="BG108" s="328">
        <v>48</v>
      </c>
      <c r="BH108" s="328">
        <v>47</v>
      </c>
      <c r="BI108" s="328">
        <v>41</v>
      </c>
      <c r="BJ108" s="344"/>
      <c r="BK108" s="344"/>
      <c r="BL108" s="358"/>
    </row>
    <row r="109" spans="1:64" x14ac:dyDescent="0.25">
      <c r="A109" s="3" t="s">
        <v>2843</v>
      </c>
      <c r="B109" s="172" t="s">
        <v>17</v>
      </c>
      <c r="C109" s="3">
        <v>11.284625</v>
      </c>
      <c r="D109" s="20">
        <v>11.109552000000001</v>
      </c>
      <c r="E109" s="20">
        <v>11.061534999999999</v>
      </c>
      <c r="F109" s="20">
        <v>10.980301000000001</v>
      </c>
      <c r="G109" s="20">
        <v>10.939783</v>
      </c>
      <c r="H109" s="20">
        <v>10.861494</v>
      </c>
      <c r="I109" s="20">
        <v>10.82221</v>
      </c>
      <c r="J109" s="20">
        <v>10.922297</v>
      </c>
      <c r="K109" s="20">
        <v>10.850388000000001</v>
      </c>
      <c r="L109" s="20">
        <v>10.779102</v>
      </c>
      <c r="M109" s="20">
        <v>10.699865000000001</v>
      </c>
      <c r="N109" s="20">
        <v>10.652596000000001</v>
      </c>
      <c r="O109" s="20">
        <v>10.599634999999999</v>
      </c>
      <c r="P109" s="20">
        <v>10.511321000000001</v>
      </c>
      <c r="Q109" s="20">
        <v>10.461592</v>
      </c>
      <c r="R109" s="20">
        <v>10.071543</v>
      </c>
      <c r="S109" s="20">
        <v>9.9756940000000007</v>
      </c>
      <c r="T109" s="20">
        <v>9.8695640000000004</v>
      </c>
      <c r="U109" s="20">
        <v>9.7475159999999992</v>
      </c>
      <c r="V109" s="20">
        <v>9.6430900000000008</v>
      </c>
      <c r="W109" s="20">
        <v>9.5173120000000004</v>
      </c>
      <c r="Y109" s="3">
        <f>AVERAGE(R109:V109)</f>
        <v>9.8614814000000006</v>
      </c>
      <c r="Z109" s="3"/>
      <c r="AC109" s="406" t="s">
        <v>604</v>
      </c>
      <c r="AD109" s="62"/>
      <c r="AE109" s="62"/>
      <c r="AF109" s="62"/>
      <c r="AG109" s="62"/>
      <c r="AH109" s="62"/>
      <c r="AI109" s="62"/>
      <c r="AJ109" s="62"/>
      <c r="AK109" s="62"/>
      <c r="AL109" s="62"/>
      <c r="AM109" s="62"/>
      <c r="AN109" s="62"/>
      <c r="AO109" s="344"/>
      <c r="AP109" s="344"/>
      <c r="AQ109" s="226" t="s">
        <v>839</v>
      </c>
      <c r="AR109" s="378">
        <v>146309</v>
      </c>
      <c r="AS109" s="378">
        <v>150135</v>
      </c>
      <c r="AT109" s="378">
        <v>153275</v>
      </c>
      <c r="AU109" s="378">
        <v>159522</v>
      </c>
      <c r="AV109" s="378">
        <v>169292</v>
      </c>
      <c r="AW109" s="378">
        <v>164743</v>
      </c>
      <c r="AX109" s="392">
        <v>163136</v>
      </c>
      <c r="BA109" s="428" t="s">
        <v>672</v>
      </c>
      <c r="BB109" s="419">
        <v>12.8</v>
      </c>
      <c r="BC109" s="419">
        <v>19.7</v>
      </c>
      <c r="BD109" s="419">
        <v>24.2</v>
      </c>
      <c r="BE109" s="344"/>
      <c r="BF109" s="324" t="s">
        <v>672</v>
      </c>
      <c r="BG109" s="328">
        <v>49</v>
      </c>
      <c r="BH109" s="328">
        <v>46</v>
      </c>
      <c r="BI109" s="328">
        <v>40</v>
      </c>
      <c r="BJ109" s="344"/>
      <c r="BK109" s="344"/>
      <c r="BL109" s="358"/>
    </row>
    <row r="110" spans="1:64" x14ac:dyDescent="0.25">
      <c r="A110" s="3" t="s">
        <v>2844</v>
      </c>
      <c r="B110" s="172" t="s">
        <v>18</v>
      </c>
      <c r="C110" s="3">
        <v>11.373111</v>
      </c>
      <c r="D110" s="20">
        <v>11.200519999999999</v>
      </c>
      <c r="E110" s="20">
        <v>11.156221</v>
      </c>
      <c r="F110" s="20">
        <v>11.076651</v>
      </c>
      <c r="G110" s="20">
        <v>11.037283</v>
      </c>
      <c r="H110" s="20">
        <v>10.961627</v>
      </c>
      <c r="I110" s="20">
        <v>10.922917999999999</v>
      </c>
      <c r="J110" s="20">
        <v>11.02749</v>
      </c>
      <c r="K110" s="20">
        <v>10.959564</v>
      </c>
      <c r="L110" s="20">
        <v>10.888795</v>
      </c>
      <c r="M110" s="20">
        <v>10.812199</v>
      </c>
      <c r="N110" s="20">
        <v>10.767234</v>
      </c>
      <c r="O110" s="20">
        <v>10.711401</v>
      </c>
      <c r="P110" s="20">
        <v>10.625908000000001</v>
      </c>
      <c r="Q110" s="20">
        <v>10.578174000000001</v>
      </c>
      <c r="R110" s="20">
        <v>10.184843000000001</v>
      </c>
      <c r="S110" s="20">
        <v>10.088784</v>
      </c>
      <c r="T110" s="20">
        <v>9.9819410000000008</v>
      </c>
      <c r="U110" s="20">
        <v>9.8593119999999992</v>
      </c>
      <c r="V110" s="20">
        <v>9.7500289999999996</v>
      </c>
      <c r="W110" s="20">
        <v>9.6163779999999992</v>
      </c>
      <c r="Y110" s="3">
        <f>AVERAGE(R110:V110)</f>
        <v>9.9729817999999995</v>
      </c>
      <c r="Z110" s="3"/>
      <c r="AC110" s="407" t="s">
        <v>602</v>
      </c>
      <c r="AD110" s="62">
        <v>51197592</v>
      </c>
      <c r="AE110" s="62">
        <v>47132227</v>
      </c>
      <c r="AF110" s="62">
        <v>53576848</v>
      </c>
      <c r="AG110" s="62">
        <v>53687996</v>
      </c>
      <c r="AH110" s="62">
        <v>53851504</v>
      </c>
      <c r="AI110" s="62">
        <v>53418262</v>
      </c>
      <c r="AJ110" s="62">
        <v>50694524</v>
      </c>
      <c r="AK110" s="62">
        <v>55377028</v>
      </c>
      <c r="AL110" s="62">
        <v>53666500</v>
      </c>
      <c r="AM110" s="62"/>
      <c r="AN110" s="62"/>
      <c r="AO110" s="344"/>
      <c r="AP110" s="344"/>
      <c r="AQ110" s="324" t="s">
        <v>97</v>
      </c>
      <c r="AR110" s="408">
        <v>2450</v>
      </c>
      <c r="AS110" s="408">
        <v>2524</v>
      </c>
      <c r="AT110" s="408">
        <v>2614</v>
      </c>
      <c r="AU110" s="408">
        <v>2844</v>
      </c>
      <c r="AV110" s="408">
        <v>3243</v>
      </c>
      <c r="AW110" s="408">
        <v>3166</v>
      </c>
      <c r="AX110" s="738">
        <v>3013</v>
      </c>
      <c r="BA110" s="428" t="s">
        <v>224</v>
      </c>
      <c r="BB110" s="419">
        <v>8.9</v>
      </c>
      <c r="BC110" s="419">
        <v>12.8</v>
      </c>
      <c r="BD110" s="419">
        <v>16.100000000000001</v>
      </c>
      <c r="BE110" s="344"/>
      <c r="BF110" s="324" t="s">
        <v>224</v>
      </c>
      <c r="BG110" s="328">
        <v>45</v>
      </c>
      <c r="BH110" s="328">
        <v>39</v>
      </c>
      <c r="BI110" s="328">
        <v>38</v>
      </c>
      <c r="BJ110" s="344"/>
      <c r="BK110" s="344"/>
      <c r="BL110" s="358"/>
    </row>
    <row r="111" spans="1:64" ht="14.45" customHeight="1" x14ac:dyDescent="0.25">
      <c r="A111" s="3" t="s">
        <v>2845</v>
      </c>
      <c r="B111" s="172" t="s">
        <v>19</v>
      </c>
      <c r="C111" s="3">
        <v>25.59</v>
      </c>
      <c r="D111" s="20">
        <v>25.75</v>
      </c>
      <c r="E111" s="20">
        <v>25.67</v>
      </c>
      <c r="F111" s="20">
        <v>25.47</v>
      </c>
      <c r="G111" s="20">
        <v>25.38</v>
      </c>
      <c r="H111" s="20">
        <v>25.24</v>
      </c>
      <c r="I111" s="20">
        <v>22.91</v>
      </c>
      <c r="J111" s="20">
        <v>22.229686999999998</v>
      </c>
      <c r="K111" s="20">
        <v>23.462938999999999</v>
      </c>
      <c r="L111" s="20">
        <v>25.601604999999999</v>
      </c>
      <c r="M111" s="20">
        <v>23.396391000000001</v>
      </c>
      <c r="N111" s="20">
        <v>23.153518999999999</v>
      </c>
      <c r="O111" s="20">
        <v>22.881936</v>
      </c>
      <c r="P111" s="20">
        <v>22.534683000000001</v>
      </c>
      <c r="Q111" s="20">
        <v>22.253411</v>
      </c>
      <c r="R111" s="20">
        <v>21.33</v>
      </c>
      <c r="S111" s="20">
        <v>21.02</v>
      </c>
      <c r="T111" s="20">
        <v>20.71</v>
      </c>
      <c r="U111" s="20">
        <v>20.399999999999999</v>
      </c>
      <c r="V111" s="20">
        <v>20.09</v>
      </c>
      <c r="W111" s="20">
        <v>19.78</v>
      </c>
      <c r="Y111" s="3">
        <f>AVERAGE(R111:V111)</f>
        <v>20.71</v>
      </c>
      <c r="Z111" s="3"/>
      <c r="AC111" s="407" t="s">
        <v>600</v>
      </c>
      <c r="AD111" s="62">
        <v>495133042433</v>
      </c>
      <c r="AE111" s="62">
        <v>520195216645</v>
      </c>
      <c r="AF111" s="62">
        <v>572919351260</v>
      </c>
      <c r="AG111" s="62">
        <v>592944759070</v>
      </c>
      <c r="AH111" s="62">
        <v>628280869354</v>
      </c>
      <c r="AI111" s="62">
        <v>627219201205</v>
      </c>
      <c r="AJ111" s="62">
        <v>653010067652</v>
      </c>
      <c r="AK111" s="62">
        <v>654161217779</v>
      </c>
      <c r="AL111" s="62">
        <v>658085958004</v>
      </c>
      <c r="AM111" s="62"/>
      <c r="AN111" s="62"/>
      <c r="AO111" s="344"/>
      <c r="AP111" s="344"/>
      <c r="AQ111" s="324" t="s">
        <v>96</v>
      </c>
      <c r="AR111" s="408">
        <v>143246</v>
      </c>
      <c r="AS111" s="408">
        <v>146951</v>
      </c>
      <c r="AT111" s="408">
        <v>149969</v>
      </c>
      <c r="AU111" s="408">
        <v>155962</v>
      </c>
      <c r="AV111" s="408">
        <v>165236</v>
      </c>
      <c r="AW111" s="408">
        <v>160746</v>
      </c>
      <c r="AX111" s="738">
        <v>159254</v>
      </c>
      <c r="BA111" s="735" t="s">
        <v>688</v>
      </c>
      <c r="BB111" s="449"/>
      <c r="BC111" s="449"/>
      <c r="BD111" s="449"/>
      <c r="BE111" s="344"/>
      <c r="BF111" s="455" t="s">
        <v>686</v>
      </c>
      <c r="BG111" s="449"/>
      <c r="BH111" s="449"/>
      <c r="BI111" s="449"/>
      <c r="BJ111" s="344"/>
      <c r="BK111" s="344"/>
      <c r="BL111" s="358"/>
    </row>
    <row r="112" spans="1:64" x14ac:dyDescent="0.25">
      <c r="A112" s="3" t="s">
        <v>2846</v>
      </c>
      <c r="B112" s="172" t="s">
        <v>33</v>
      </c>
      <c r="C112" s="3">
        <v>4.7</v>
      </c>
      <c r="D112" s="20">
        <v>4.7</v>
      </c>
      <c r="E112" s="20">
        <v>4.7</v>
      </c>
      <c r="F112" s="20">
        <v>4.7</v>
      </c>
      <c r="G112" s="20">
        <v>4.7</v>
      </c>
      <c r="H112" s="20">
        <v>4.3</v>
      </c>
      <c r="I112" s="20">
        <v>4.3</v>
      </c>
      <c r="J112" s="20">
        <v>4.2</v>
      </c>
      <c r="K112" s="20">
        <v>4.2</v>
      </c>
      <c r="L112" s="20">
        <v>5.4</v>
      </c>
      <c r="M112" s="20">
        <v>5.4</v>
      </c>
      <c r="N112" s="20">
        <v>5.4</v>
      </c>
      <c r="O112" s="20">
        <v>5.4</v>
      </c>
      <c r="P112" s="20">
        <v>5.4</v>
      </c>
      <c r="Q112" s="20">
        <v>5.4</v>
      </c>
      <c r="R112" s="20">
        <v>5.4</v>
      </c>
      <c r="S112" s="20">
        <v>5.4</v>
      </c>
      <c r="T112" s="20">
        <v>5.3</v>
      </c>
      <c r="U112" s="20">
        <v>5.3</v>
      </c>
      <c r="V112" s="20">
        <v>5.3</v>
      </c>
      <c r="W112" s="20">
        <v>5.3</v>
      </c>
      <c r="Y112" s="3">
        <f>AVERAGE(R112:V112)</f>
        <v>5.3400000000000007</v>
      </c>
      <c r="Z112" s="3"/>
      <c r="AC112" s="407" t="s">
        <v>601</v>
      </c>
      <c r="AD112" s="62">
        <v>23271576035</v>
      </c>
      <c r="AE112" s="62">
        <v>21571132974</v>
      </c>
      <c r="AF112" s="62">
        <v>24571579158</v>
      </c>
      <c r="AG112" s="62">
        <v>24561102573</v>
      </c>
      <c r="AH112" s="62">
        <v>24237979952</v>
      </c>
      <c r="AI112" s="62">
        <v>23843437789</v>
      </c>
      <c r="AJ112" s="62">
        <v>22877575959</v>
      </c>
      <c r="AK112" s="62">
        <v>23159422387</v>
      </c>
      <c r="AL112" s="62">
        <v>22929834909</v>
      </c>
      <c r="AM112" s="62"/>
      <c r="AN112" s="62"/>
      <c r="AO112" s="344"/>
      <c r="AP112" s="344"/>
      <c r="AQ112" s="324" t="s">
        <v>120</v>
      </c>
      <c r="AR112" s="408" t="s">
        <v>636</v>
      </c>
      <c r="AS112" s="408" t="s">
        <v>636</v>
      </c>
      <c r="AT112" s="408" t="s">
        <v>636</v>
      </c>
      <c r="AU112" s="408" t="s">
        <v>636</v>
      </c>
      <c r="AV112" s="408" t="s">
        <v>636</v>
      </c>
      <c r="AW112" s="408" t="s">
        <v>636</v>
      </c>
      <c r="AX112" s="738" t="s">
        <v>636</v>
      </c>
      <c r="BA112" s="735"/>
      <c r="BB112" s="449"/>
      <c r="BC112" s="449"/>
      <c r="BD112" s="449"/>
      <c r="BE112" s="344"/>
      <c r="BF112" s="449"/>
      <c r="BG112" s="449"/>
      <c r="BH112" s="449"/>
      <c r="BI112" s="344"/>
      <c r="BJ112" s="344"/>
      <c r="BK112" s="344"/>
      <c r="BL112" s="358"/>
    </row>
    <row r="113" spans="1:64" x14ac:dyDescent="0.25">
      <c r="B113" s="162" t="s">
        <v>22</v>
      </c>
      <c r="D113" s="20"/>
      <c r="E113" s="20"/>
      <c r="F113" s="20"/>
      <c r="G113" s="20"/>
      <c r="H113" s="20"/>
      <c r="I113" s="20"/>
      <c r="J113" s="20"/>
      <c r="K113" s="20"/>
      <c r="L113" s="20"/>
      <c r="M113" s="20"/>
      <c r="N113" s="20"/>
      <c r="O113" s="20"/>
      <c r="P113" s="20"/>
      <c r="Q113" s="20"/>
      <c r="R113" s="20"/>
      <c r="S113" s="20"/>
      <c r="T113" s="20"/>
      <c r="U113" s="20"/>
      <c r="V113" s="20"/>
      <c r="W113" s="20"/>
      <c r="Y113" s="3"/>
      <c r="Z113" s="3"/>
      <c r="AC113" s="407" t="s">
        <v>591</v>
      </c>
      <c r="AD113" s="62">
        <v>135294195820</v>
      </c>
      <c r="AE113" s="62">
        <v>136393483022</v>
      </c>
      <c r="AF113" s="62">
        <v>143043288953</v>
      </c>
      <c r="AG113" s="62">
        <v>143921138646</v>
      </c>
      <c r="AH113" s="62">
        <v>160560510564</v>
      </c>
      <c r="AI113" s="62">
        <v>168180981704</v>
      </c>
      <c r="AJ113" s="62">
        <v>172373235274</v>
      </c>
      <c r="AK113" s="62">
        <v>164859730578</v>
      </c>
      <c r="AL113" s="62">
        <v>164831928695</v>
      </c>
      <c r="AM113" s="62"/>
      <c r="AN113" s="62"/>
      <c r="AO113" s="344"/>
      <c r="AP113" s="344"/>
      <c r="AQ113" s="324" t="s">
        <v>121</v>
      </c>
      <c r="AR113" s="408" t="s">
        <v>636</v>
      </c>
      <c r="AS113" s="408" t="s">
        <v>636</v>
      </c>
      <c r="AT113" s="408" t="s">
        <v>636</v>
      </c>
      <c r="AU113" s="408" t="s">
        <v>636</v>
      </c>
      <c r="AV113" s="408" t="s">
        <v>636</v>
      </c>
      <c r="AW113" s="408" t="s">
        <v>636</v>
      </c>
      <c r="AX113" s="738" t="s">
        <v>636</v>
      </c>
      <c r="BA113" s="386"/>
      <c r="BB113" s="344"/>
      <c r="BC113" s="344"/>
      <c r="BD113" s="344"/>
      <c r="BE113" s="344"/>
      <c r="BF113" s="344"/>
      <c r="BG113" s="344"/>
      <c r="BH113" s="344"/>
      <c r="BI113" s="344"/>
      <c r="BJ113" s="344"/>
      <c r="BK113" s="344"/>
      <c r="BL113" s="358"/>
    </row>
    <row r="114" spans="1:64" ht="15.75" x14ac:dyDescent="0.25">
      <c r="A114" s="3" t="s">
        <v>2847</v>
      </c>
      <c r="B114" s="172" t="s">
        <v>8</v>
      </c>
      <c r="C114" s="3">
        <v>6.4407839999999998</v>
      </c>
      <c r="D114" s="20">
        <v>6.3851880000000003</v>
      </c>
      <c r="E114" s="20">
        <v>6.3411629999999999</v>
      </c>
      <c r="F114" s="20">
        <v>6.2806800000000003</v>
      </c>
      <c r="G114" s="20">
        <v>6.3145239999999996</v>
      </c>
      <c r="H114" s="20">
        <v>6.3173659999999998</v>
      </c>
      <c r="I114" s="20">
        <v>6.3275420000000002</v>
      </c>
      <c r="J114" s="20">
        <v>6.3645610000000001</v>
      </c>
      <c r="K114" s="20">
        <v>6.3841510000000001</v>
      </c>
      <c r="L114" s="20">
        <v>6.4332000000000003</v>
      </c>
      <c r="M114" s="20">
        <v>6.5943870000000002</v>
      </c>
      <c r="N114" s="20">
        <v>6.6211159999999998</v>
      </c>
      <c r="O114" s="20">
        <v>6.663869</v>
      </c>
      <c r="P114" s="20">
        <v>6.7801600000000004</v>
      </c>
      <c r="Q114" s="20">
        <v>6.8024959999999997</v>
      </c>
      <c r="R114" s="20">
        <v>6.8436979999999998</v>
      </c>
      <c r="S114" s="20">
        <v>6.8848989999999999</v>
      </c>
      <c r="T114" s="20">
        <v>6.8697800000000004</v>
      </c>
      <c r="U114" s="20">
        <v>6.8273339999999996</v>
      </c>
      <c r="V114" s="20">
        <v>6.8836269999999997</v>
      </c>
      <c r="W114" s="20">
        <v>6.8388450000000001</v>
      </c>
      <c r="Y114" s="3">
        <f>AVERAGE(R114:V114)</f>
        <v>6.8618675999999992</v>
      </c>
      <c r="Z114" s="3"/>
      <c r="AC114" s="407" t="s">
        <v>598</v>
      </c>
      <c r="AD114" s="62">
        <v>9671</v>
      </c>
      <c r="AE114" s="62">
        <v>11037</v>
      </c>
      <c r="AF114" s="62">
        <v>10693</v>
      </c>
      <c r="AG114" s="62">
        <v>11044</v>
      </c>
      <c r="AH114" s="62">
        <v>11667</v>
      </c>
      <c r="AI114" s="62">
        <v>11742</v>
      </c>
      <c r="AJ114" s="62">
        <v>12881</v>
      </c>
      <c r="AK114" s="62">
        <v>11813</v>
      </c>
      <c r="AL114" s="62">
        <v>12263</v>
      </c>
      <c r="AM114" s="62"/>
      <c r="AN114" s="62"/>
      <c r="AO114" s="344"/>
      <c r="AP114" s="344"/>
      <c r="AQ114" s="324" t="s">
        <v>122</v>
      </c>
      <c r="AR114" s="408" t="s">
        <v>636</v>
      </c>
      <c r="AS114" s="408" t="s">
        <v>636</v>
      </c>
      <c r="AT114" s="408" t="s">
        <v>636</v>
      </c>
      <c r="AU114" s="408" t="s">
        <v>636</v>
      </c>
      <c r="AV114" s="408" t="s">
        <v>636</v>
      </c>
      <c r="AW114" s="408" t="s">
        <v>636</v>
      </c>
      <c r="AX114" s="738" t="s">
        <v>636</v>
      </c>
      <c r="BA114" s="367" t="s">
        <v>679</v>
      </c>
      <c r="BB114" s="344"/>
      <c r="BC114" s="344"/>
      <c r="BD114" s="344"/>
      <c r="BE114" s="344"/>
      <c r="BF114" s="344"/>
      <c r="BG114" s="344"/>
      <c r="BH114" s="344"/>
      <c r="BI114" s="344"/>
      <c r="BJ114" s="344"/>
      <c r="BK114" s="344"/>
      <c r="BL114" s="358"/>
    </row>
    <row r="115" spans="1:64" ht="15.75" thickBot="1" x14ac:dyDescent="0.3">
      <c r="A115" s="3" t="s">
        <v>2848</v>
      </c>
      <c r="B115" s="172" t="s">
        <v>17</v>
      </c>
      <c r="C115" s="3">
        <v>11.074306999999999</v>
      </c>
      <c r="D115" s="20">
        <v>11.133013999999999</v>
      </c>
      <c r="E115" s="20">
        <v>11.216759</v>
      </c>
      <c r="F115" s="20">
        <v>11.223629000000001</v>
      </c>
      <c r="G115" s="20">
        <v>11.039913</v>
      </c>
      <c r="H115" s="20">
        <v>10.829471</v>
      </c>
      <c r="I115" s="20">
        <v>11.148723</v>
      </c>
      <c r="J115" s="20">
        <v>10.603054999999999</v>
      </c>
      <c r="K115" s="20">
        <v>9.5880179999999999</v>
      </c>
      <c r="L115" s="20">
        <v>8.8616220000000006</v>
      </c>
      <c r="M115" s="20">
        <v>8.4785140000000006</v>
      </c>
      <c r="N115" s="20">
        <v>8.0831990000000005</v>
      </c>
      <c r="O115" s="20">
        <v>7.9048970000000001</v>
      </c>
      <c r="P115" s="20">
        <v>7.7275179999999999</v>
      </c>
      <c r="Q115" s="20">
        <v>7.7604449999999998</v>
      </c>
      <c r="R115" s="20">
        <v>7.8171410000000003</v>
      </c>
      <c r="S115" s="20">
        <v>7.9275310000000001</v>
      </c>
      <c r="T115" s="20">
        <v>8.0107330000000001</v>
      </c>
      <c r="U115" s="20">
        <v>8.0704139999999995</v>
      </c>
      <c r="V115" s="20">
        <v>8.0241330000000008</v>
      </c>
      <c r="W115" s="20">
        <v>8.0981699999999996</v>
      </c>
      <c r="Y115" s="3">
        <f>AVERAGE(R115:V115)</f>
        <v>7.9699904000000004</v>
      </c>
      <c r="Z115" s="3"/>
      <c r="AB115" s="81">
        <f>X85/X84</f>
        <v>4.473470077071883E-3</v>
      </c>
      <c r="AC115" s="407" t="s">
        <v>599</v>
      </c>
      <c r="AD115" s="62">
        <v>455</v>
      </c>
      <c r="AE115" s="62">
        <v>458</v>
      </c>
      <c r="AF115" s="62">
        <v>459</v>
      </c>
      <c r="AG115" s="62">
        <v>457</v>
      </c>
      <c r="AH115" s="62">
        <v>450</v>
      </c>
      <c r="AI115" s="62">
        <v>446</v>
      </c>
      <c r="AJ115" s="62">
        <v>451</v>
      </c>
      <c r="AK115" s="62">
        <v>418</v>
      </c>
      <c r="AL115" s="62">
        <v>427</v>
      </c>
      <c r="AM115" s="62"/>
      <c r="AN115" s="62"/>
      <c r="AO115" s="344"/>
      <c r="AP115" s="344"/>
      <c r="AQ115" s="182" t="s">
        <v>616</v>
      </c>
      <c r="AR115" s="183" t="s">
        <v>636</v>
      </c>
      <c r="AS115" s="183" t="s">
        <v>636</v>
      </c>
      <c r="AT115" s="183" t="s">
        <v>636</v>
      </c>
      <c r="AU115" s="183" t="s">
        <v>636</v>
      </c>
      <c r="AV115" s="183" t="s">
        <v>636</v>
      </c>
      <c r="AW115" s="183" t="s">
        <v>636</v>
      </c>
      <c r="AX115" s="738" t="s">
        <v>636</v>
      </c>
      <c r="BA115" s="382" t="s">
        <v>404</v>
      </c>
      <c r="BB115" s="19" t="s">
        <v>677</v>
      </c>
      <c r="BC115" s="19" t="s">
        <v>230</v>
      </c>
      <c r="BD115" s="19" t="s">
        <v>496</v>
      </c>
      <c r="BE115" s="19" t="s">
        <v>678</v>
      </c>
      <c r="BF115" s="19" t="s">
        <v>224</v>
      </c>
      <c r="BG115" s="344"/>
      <c r="BH115" s="344"/>
      <c r="BI115" s="344"/>
      <c r="BJ115" s="344"/>
      <c r="BK115" s="344"/>
      <c r="BL115" s="358"/>
    </row>
    <row r="116" spans="1:64" ht="15.75" thickTop="1" x14ac:dyDescent="0.25">
      <c r="A116" s="3" t="s">
        <v>2849</v>
      </c>
      <c r="B116" s="172" t="s">
        <v>18</v>
      </c>
      <c r="C116" s="3">
        <v>11.075118</v>
      </c>
      <c r="D116" s="20">
        <v>11.139199</v>
      </c>
      <c r="E116" s="20">
        <v>11.229827</v>
      </c>
      <c r="F116" s="20">
        <v>11.260097</v>
      </c>
      <c r="G116" s="20">
        <v>11.112513999999999</v>
      </c>
      <c r="H116" s="20">
        <v>10.940898000000001</v>
      </c>
      <c r="I116" s="20">
        <v>11.218559000000001</v>
      </c>
      <c r="J116" s="20">
        <v>10.750714</v>
      </c>
      <c r="K116" s="20">
        <v>9.8380670000000006</v>
      </c>
      <c r="L116" s="20">
        <v>9.1162600000000005</v>
      </c>
      <c r="M116" s="20">
        <v>8.7108460000000001</v>
      </c>
      <c r="N116" s="20">
        <v>8.2802120000000006</v>
      </c>
      <c r="O116" s="20">
        <v>8.0576050000000006</v>
      </c>
      <c r="P116" s="20">
        <v>7.8387500000000001</v>
      </c>
      <c r="Q116" s="20">
        <v>7.8461049999999997</v>
      </c>
      <c r="R116" s="20">
        <v>7.8804249999999998</v>
      </c>
      <c r="S116" s="20">
        <v>7.9805080000000004</v>
      </c>
      <c r="T116" s="20">
        <v>8.0562159999999992</v>
      </c>
      <c r="U116" s="20">
        <v>8.1144200000000009</v>
      </c>
      <c r="V116" s="20">
        <v>8.0672820000000005</v>
      </c>
      <c r="W116" s="20">
        <v>8.1417730000000006</v>
      </c>
      <c r="Y116" s="3">
        <f>AVERAGE(R116:V116)</f>
        <v>8.0197702</v>
      </c>
      <c r="Z116" s="3"/>
      <c r="AC116" s="406" t="s">
        <v>605</v>
      </c>
      <c r="AD116" s="62"/>
      <c r="AE116" s="62"/>
      <c r="AF116" s="62"/>
      <c r="AG116" s="62"/>
      <c r="AH116" s="62"/>
      <c r="AI116" s="62"/>
      <c r="AJ116" s="62"/>
      <c r="AK116" s="62"/>
      <c r="AL116" s="62"/>
      <c r="AM116" s="62"/>
      <c r="AN116" s="62"/>
      <c r="AO116" s="344"/>
      <c r="AP116" s="344"/>
      <c r="AQ116" s="409" t="s">
        <v>637</v>
      </c>
      <c r="AR116" s="344"/>
      <c r="AS116" s="344"/>
      <c r="AT116" s="344"/>
      <c r="AU116" s="344"/>
      <c r="AV116" s="344"/>
      <c r="AW116" s="344"/>
      <c r="AX116" s="739"/>
      <c r="BA116" s="456" t="s">
        <v>683</v>
      </c>
      <c r="BB116" s="344" t="s">
        <v>680</v>
      </c>
      <c r="BC116" s="457">
        <v>4.5999999999999999E-2</v>
      </c>
      <c r="BD116" s="457">
        <v>4.5999999999999999E-2</v>
      </c>
      <c r="BE116" s="457">
        <v>5.7000000000000002E-2</v>
      </c>
      <c r="BF116" s="457">
        <v>4.9000000000000002E-2</v>
      </c>
      <c r="BG116" s="344"/>
      <c r="BH116" s="344"/>
      <c r="BI116" s="344"/>
      <c r="BJ116" s="344"/>
      <c r="BK116" s="344"/>
      <c r="BL116" s="358"/>
    </row>
    <row r="117" spans="1:64" x14ac:dyDescent="0.25">
      <c r="A117" s="3" t="s">
        <v>2850</v>
      </c>
      <c r="B117" s="172" t="s">
        <v>19</v>
      </c>
      <c r="C117" s="3">
        <v>26.29</v>
      </c>
      <c r="D117" s="20">
        <v>26.24</v>
      </c>
      <c r="E117" s="20">
        <v>26.18</v>
      </c>
      <c r="F117" s="20">
        <v>26.1</v>
      </c>
      <c r="G117" s="20">
        <v>26.05</v>
      </c>
      <c r="H117" s="20">
        <v>25.98</v>
      </c>
      <c r="I117" s="20">
        <v>23.3</v>
      </c>
      <c r="J117" s="20">
        <v>23.59</v>
      </c>
      <c r="K117" s="20">
        <v>23.31</v>
      </c>
      <c r="L117" s="20">
        <v>24.35</v>
      </c>
      <c r="M117" s="20">
        <v>23.16</v>
      </c>
      <c r="N117" s="20">
        <v>22.8</v>
      </c>
      <c r="O117" s="20">
        <v>22.44</v>
      </c>
      <c r="P117" s="20">
        <v>22.08</v>
      </c>
      <c r="Q117" s="20">
        <v>21.72</v>
      </c>
      <c r="R117" s="20">
        <v>21.36</v>
      </c>
      <c r="S117" s="20">
        <v>21</v>
      </c>
      <c r="T117" s="20">
        <v>20.64</v>
      </c>
      <c r="U117" s="20">
        <v>20.28</v>
      </c>
      <c r="V117" s="20">
        <v>19.920000000000002</v>
      </c>
      <c r="W117" s="20">
        <v>19.559999999999999</v>
      </c>
      <c r="Y117" s="3">
        <f>AVERAGE(R117:V117)</f>
        <v>20.64</v>
      </c>
      <c r="Z117" s="3"/>
      <c r="AC117" s="407" t="s">
        <v>602</v>
      </c>
      <c r="AD117" s="62">
        <v>9273881</v>
      </c>
      <c r="AE117" s="62">
        <v>9301133</v>
      </c>
      <c r="AF117" s="62">
        <v>10849871</v>
      </c>
      <c r="AG117" s="62">
        <v>11328379</v>
      </c>
      <c r="AH117" s="62">
        <v>11772583</v>
      </c>
      <c r="AI117" s="62">
        <v>10835878</v>
      </c>
      <c r="AJ117" s="62">
        <v>10213139</v>
      </c>
      <c r="AK117" s="62">
        <v>10263342</v>
      </c>
      <c r="AL117" s="62">
        <v>10011859</v>
      </c>
      <c r="AM117" s="62"/>
      <c r="AN117" s="62"/>
      <c r="AO117" s="344"/>
      <c r="AP117" s="344"/>
      <c r="AQ117" s="409" t="s">
        <v>624</v>
      </c>
      <c r="AR117" s="344"/>
      <c r="AS117" s="344"/>
      <c r="AT117" s="344"/>
      <c r="AU117" s="344"/>
      <c r="AV117" s="344"/>
      <c r="AW117" s="344"/>
      <c r="AX117" s="358"/>
      <c r="BA117" s="458"/>
      <c r="BB117" s="344" t="s">
        <v>681</v>
      </c>
      <c r="BC117" s="457">
        <v>7.5999999999999998E-2</v>
      </c>
      <c r="BD117" s="457">
        <v>0.11799999999999999</v>
      </c>
      <c r="BE117" s="457">
        <v>0.11799999999999999</v>
      </c>
      <c r="BF117" s="457">
        <v>0.11700000000000001</v>
      </c>
      <c r="BG117" s="344"/>
      <c r="BH117" s="344"/>
      <c r="BI117" s="344"/>
      <c r="BJ117" s="344"/>
      <c r="BK117" s="344"/>
      <c r="BL117" s="358"/>
    </row>
    <row r="118" spans="1:64" x14ac:dyDescent="0.25">
      <c r="A118" s="3" t="s">
        <v>2851</v>
      </c>
      <c r="B118" s="172" t="s">
        <v>20</v>
      </c>
      <c r="C118" s="20">
        <v>37.299999999999997</v>
      </c>
      <c r="D118" s="20">
        <v>36.67</v>
      </c>
      <c r="E118" s="20">
        <v>36.03</v>
      </c>
      <c r="F118" s="20">
        <v>35.4</v>
      </c>
      <c r="G118" s="20">
        <v>34.76</v>
      </c>
      <c r="H118" s="20">
        <v>34.130000000000003</v>
      </c>
      <c r="I118" s="20">
        <v>34.590000000000003</v>
      </c>
      <c r="J118" s="20">
        <v>34.619999999999997</v>
      </c>
      <c r="K118" s="20">
        <v>34.97</v>
      </c>
      <c r="L118" s="20">
        <v>33.15</v>
      </c>
      <c r="M118" s="20">
        <v>33.18</v>
      </c>
      <c r="N118" s="20">
        <v>32.82</v>
      </c>
      <c r="O118" s="20">
        <v>32.46</v>
      </c>
      <c r="P118" s="20">
        <v>32.11</v>
      </c>
      <c r="Q118" s="20">
        <v>31.75</v>
      </c>
      <c r="R118" s="20">
        <v>31.39</v>
      </c>
      <c r="S118" s="20">
        <v>31.03</v>
      </c>
      <c r="T118" s="20">
        <v>30.67</v>
      </c>
      <c r="U118" s="20">
        <v>30.31</v>
      </c>
      <c r="V118" s="20">
        <v>29.95</v>
      </c>
      <c r="W118" s="20">
        <v>29.59</v>
      </c>
      <c r="Y118" s="3">
        <f>AVERAGE(R118:V118)</f>
        <v>30.669999999999998</v>
      </c>
      <c r="Z118" s="3"/>
      <c r="AC118" s="407" t="s">
        <v>600</v>
      </c>
      <c r="AD118" s="62">
        <v>77750015469</v>
      </c>
      <c r="AE118" s="62">
        <v>80448417537</v>
      </c>
      <c r="AF118" s="62">
        <v>89010510560</v>
      </c>
      <c r="AG118" s="62">
        <v>97847757013</v>
      </c>
      <c r="AH118" s="62">
        <v>102269714896</v>
      </c>
      <c r="AI118" s="62">
        <v>101996232389</v>
      </c>
      <c r="AJ118" s="62">
        <v>102505710028</v>
      </c>
      <c r="AK118" s="62">
        <v>97787003933</v>
      </c>
      <c r="AL118" s="62">
        <v>95629263432</v>
      </c>
      <c r="AM118" s="62"/>
      <c r="AN118" s="62"/>
      <c r="AO118" s="344"/>
      <c r="AP118" s="344"/>
      <c r="AQ118" s="409" t="s">
        <v>625</v>
      </c>
      <c r="AR118" s="344"/>
      <c r="AS118" s="344"/>
      <c r="AT118" s="344"/>
      <c r="AU118" s="344"/>
      <c r="AV118" s="344"/>
      <c r="AW118" s="344"/>
      <c r="AX118" s="358"/>
      <c r="BA118" s="458"/>
      <c r="BB118" s="344" t="s">
        <v>682</v>
      </c>
      <c r="BC118" s="457">
        <v>0.111</v>
      </c>
      <c r="BD118" s="457">
        <v>0.27</v>
      </c>
      <c r="BE118" s="457">
        <v>0.23300000000000001</v>
      </c>
      <c r="BF118" s="457">
        <v>0.23100000000000001</v>
      </c>
      <c r="BG118" s="344"/>
      <c r="BH118" s="344"/>
      <c r="BI118" s="344"/>
      <c r="BJ118" s="344"/>
      <c r="BK118" s="344"/>
      <c r="BL118" s="358"/>
    </row>
    <row r="119" spans="1:64" x14ac:dyDescent="0.25">
      <c r="B119" s="725"/>
      <c r="D119" s="20"/>
      <c r="E119" s="20"/>
      <c r="F119" s="20"/>
      <c r="G119" s="20"/>
      <c r="H119" s="20"/>
      <c r="I119" s="20"/>
      <c r="J119" s="20"/>
      <c r="K119" s="20"/>
      <c r="L119" s="20"/>
      <c r="M119" s="20"/>
      <c r="N119" s="20"/>
      <c r="O119" s="20"/>
      <c r="P119" s="20"/>
      <c r="Q119" s="20"/>
      <c r="R119" s="20"/>
      <c r="S119" s="20"/>
      <c r="T119" s="20"/>
      <c r="U119" s="20"/>
      <c r="V119" s="20"/>
      <c r="W119" s="20"/>
      <c r="AC119" s="407" t="s">
        <v>601</v>
      </c>
      <c r="AD119" s="62">
        <v>12601511806</v>
      </c>
      <c r="AE119" s="62">
        <v>13264095523</v>
      </c>
      <c r="AF119" s="62">
        <v>16119943819</v>
      </c>
      <c r="AG119" s="62">
        <v>16623309470</v>
      </c>
      <c r="AH119" s="62">
        <v>16844100920</v>
      </c>
      <c r="AI119" s="62">
        <v>15544621269</v>
      </c>
      <c r="AJ119" s="62">
        <v>15814578701</v>
      </c>
      <c r="AK119" s="62">
        <v>15183524820</v>
      </c>
      <c r="AL119" s="62">
        <v>15061436081</v>
      </c>
      <c r="AM119" s="62"/>
      <c r="AN119" s="62"/>
      <c r="AO119" s="344"/>
      <c r="AP119" s="344"/>
      <c r="AQ119" s="409" t="s">
        <v>626</v>
      </c>
      <c r="AR119" s="344"/>
      <c r="AS119" s="344"/>
      <c r="AT119" s="344"/>
      <c r="AU119" s="344"/>
      <c r="AV119" s="344"/>
      <c r="AW119" s="344"/>
      <c r="AX119" s="358"/>
      <c r="BA119" s="458" t="s">
        <v>684</v>
      </c>
      <c r="BB119" s="344" t="s">
        <v>680</v>
      </c>
      <c r="BC119" s="457">
        <v>0.06</v>
      </c>
      <c r="BD119" s="457">
        <v>0.06</v>
      </c>
      <c r="BE119" s="457">
        <v>7.4999999999999997E-2</v>
      </c>
      <c r="BF119" s="457">
        <v>6.4000000000000001E-2</v>
      </c>
      <c r="BG119" s="344"/>
      <c r="BH119" s="344"/>
      <c r="BI119" s="344"/>
      <c r="BJ119" s="344"/>
      <c r="BK119" s="344"/>
      <c r="BL119" s="358"/>
    </row>
    <row r="120" spans="1:64" ht="15.75" x14ac:dyDescent="0.25">
      <c r="B120" s="732" t="s">
        <v>261</v>
      </c>
      <c r="C120" s="732"/>
      <c r="D120" s="732"/>
      <c r="E120" s="732"/>
      <c r="F120" s="732"/>
      <c r="G120" s="732"/>
      <c r="H120" s="732"/>
      <c r="I120" s="732"/>
      <c r="J120" s="732"/>
      <c r="K120" s="732"/>
      <c r="L120" s="732"/>
      <c r="M120" s="732"/>
      <c r="N120" s="732"/>
      <c r="O120" s="732"/>
      <c r="P120" s="732"/>
      <c r="Q120" s="732"/>
      <c r="R120" s="732"/>
      <c r="S120" s="732"/>
      <c r="T120" s="732"/>
      <c r="U120" s="732"/>
      <c r="V120" s="732"/>
      <c r="W120" s="732"/>
      <c r="AC120" s="407" t="s">
        <v>591</v>
      </c>
      <c r="AD120" s="62">
        <v>86472301466</v>
      </c>
      <c r="AE120" s="62">
        <v>87931667944</v>
      </c>
      <c r="AF120" s="62">
        <v>98451682779</v>
      </c>
      <c r="AG120" s="62">
        <v>107466217914</v>
      </c>
      <c r="AH120" s="62">
        <v>108007667360</v>
      </c>
      <c r="AI120" s="62">
        <v>109214846964</v>
      </c>
      <c r="AJ120" s="62">
        <v>122342416922</v>
      </c>
      <c r="AK120" s="62">
        <v>112995962506</v>
      </c>
      <c r="AL120" s="62">
        <v>104261579472</v>
      </c>
      <c r="AM120" s="62"/>
      <c r="AN120" s="62"/>
      <c r="AO120" s="344"/>
      <c r="AP120" s="344"/>
      <c r="AQ120" s="409" t="s">
        <v>627</v>
      </c>
      <c r="AR120" s="344"/>
      <c r="AS120" s="344"/>
      <c r="AT120" s="344"/>
      <c r="AU120" s="344"/>
      <c r="AV120" s="344"/>
      <c r="AW120" s="344"/>
      <c r="AX120" s="358"/>
      <c r="BA120" s="458"/>
      <c r="BB120" s="344" t="s">
        <v>681</v>
      </c>
      <c r="BC120" s="457">
        <v>9.8000000000000004E-2</v>
      </c>
      <c r="BD120" s="457">
        <v>0.153</v>
      </c>
      <c r="BE120" s="457">
        <v>0.152</v>
      </c>
      <c r="BF120" s="457">
        <v>0.151</v>
      </c>
      <c r="BG120" s="344"/>
      <c r="BH120" s="344"/>
      <c r="BI120" s="344"/>
      <c r="BJ120" s="344"/>
      <c r="BK120" s="344"/>
      <c r="BL120" s="358"/>
    </row>
    <row r="121" spans="1:64" ht="15.75" thickBot="1" x14ac:dyDescent="0.3">
      <c r="B121" s="706"/>
      <c r="C121" s="707">
        <v>2000</v>
      </c>
      <c r="D121" s="708">
        <v>2001</v>
      </c>
      <c r="E121" s="708">
        <v>2002</v>
      </c>
      <c r="F121" s="708">
        <v>2003</v>
      </c>
      <c r="G121" s="708">
        <v>2004</v>
      </c>
      <c r="H121" s="708">
        <v>2005</v>
      </c>
      <c r="I121" s="708">
        <v>2006</v>
      </c>
      <c r="J121" s="708">
        <v>2007</v>
      </c>
      <c r="K121" s="708">
        <v>2008</v>
      </c>
      <c r="L121" s="708">
        <v>2009</v>
      </c>
      <c r="M121" s="708">
        <v>2010</v>
      </c>
      <c r="N121" s="708">
        <v>2011</v>
      </c>
      <c r="O121" s="708">
        <v>2012</v>
      </c>
      <c r="P121" s="708">
        <v>2013</v>
      </c>
      <c r="Q121" s="708">
        <v>2014</v>
      </c>
      <c r="R121" s="708">
        <v>2015</v>
      </c>
      <c r="S121" s="708">
        <v>2016</v>
      </c>
      <c r="T121" s="708">
        <v>2017</v>
      </c>
      <c r="U121" s="708">
        <v>2018</v>
      </c>
      <c r="V121" s="708">
        <v>2019</v>
      </c>
      <c r="W121" s="708">
        <v>2020</v>
      </c>
      <c r="X121" s="10">
        <v>2021</v>
      </c>
      <c r="AC121" s="407" t="s">
        <v>598</v>
      </c>
      <c r="AD121" s="62">
        <v>8384</v>
      </c>
      <c r="AE121" s="62">
        <v>8649</v>
      </c>
      <c r="AF121" s="62">
        <v>8204</v>
      </c>
      <c r="AG121" s="62">
        <v>8637</v>
      </c>
      <c r="AH121" s="62">
        <v>8687</v>
      </c>
      <c r="AI121" s="62">
        <v>9413</v>
      </c>
      <c r="AJ121" s="62">
        <v>10037</v>
      </c>
      <c r="AK121" s="62">
        <v>9528</v>
      </c>
      <c r="AL121" s="62">
        <v>9552</v>
      </c>
      <c r="AM121" s="62"/>
      <c r="AN121" s="62"/>
      <c r="AO121" s="344"/>
      <c r="AP121" s="344"/>
      <c r="AQ121" s="409" t="s">
        <v>628</v>
      </c>
      <c r="AR121" s="344"/>
      <c r="AS121" s="344"/>
      <c r="AT121" s="344"/>
      <c r="AU121" s="344"/>
      <c r="AV121" s="344"/>
      <c r="AW121" s="344"/>
      <c r="AX121" s="358"/>
      <c r="BA121" s="458"/>
      <c r="BB121" s="344" t="s">
        <v>682</v>
      </c>
      <c r="BC121" s="457">
        <v>0.14299999999999999</v>
      </c>
      <c r="BD121" s="457">
        <v>0.34899999999999998</v>
      </c>
      <c r="BE121" s="457">
        <v>0.30099999999999999</v>
      </c>
      <c r="BF121" s="457">
        <v>0.29799999999999999</v>
      </c>
      <c r="BG121" s="344"/>
      <c r="BH121" s="344"/>
      <c r="BI121" s="344"/>
      <c r="BJ121" s="344"/>
      <c r="BK121" s="344"/>
      <c r="BL121" s="358"/>
    </row>
    <row r="122" spans="1:64" ht="15.75" thickTop="1" x14ac:dyDescent="0.25">
      <c r="B122" s="161" t="s">
        <v>25</v>
      </c>
      <c r="C122" s="709"/>
      <c r="D122" s="709"/>
      <c r="E122" s="709"/>
      <c r="F122" s="709"/>
      <c r="G122" s="709"/>
      <c r="H122" s="709"/>
      <c r="I122" s="709"/>
      <c r="J122" s="709"/>
      <c r="K122" s="709"/>
      <c r="L122" s="709"/>
      <c r="M122" s="709"/>
      <c r="N122" s="709"/>
      <c r="O122" s="709"/>
      <c r="P122" s="709"/>
      <c r="Q122" s="709"/>
      <c r="R122" s="709"/>
      <c r="S122" s="709"/>
      <c r="T122" s="709"/>
      <c r="U122" s="709"/>
      <c r="V122" s="709"/>
      <c r="W122" s="709"/>
      <c r="AC122" s="407" t="s">
        <v>599</v>
      </c>
      <c r="AD122" s="62">
        <v>1359</v>
      </c>
      <c r="AE122" s="62">
        <v>1426</v>
      </c>
      <c r="AF122" s="62">
        <v>1486</v>
      </c>
      <c r="AG122" s="62">
        <v>1467</v>
      </c>
      <c r="AH122" s="62">
        <v>1431</v>
      </c>
      <c r="AI122" s="62">
        <v>1435</v>
      </c>
      <c r="AJ122" s="62">
        <v>1548</v>
      </c>
      <c r="AK122" s="62">
        <v>1479</v>
      </c>
      <c r="AL122" s="62">
        <v>1504</v>
      </c>
      <c r="AM122" s="62"/>
      <c r="AN122" s="62"/>
      <c r="AO122" s="344"/>
      <c r="AP122" s="344"/>
      <c r="AQ122" s="409" t="s">
        <v>629</v>
      </c>
      <c r="AR122" s="344"/>
      <c r="AS122" s="344"/>
      <c r="AT122" s="344"/>
      <c r="AU122" s="344"/>
      <c r="AV122" s="344"/>
      <c r="AW122" s="344"/>
      <c r="AX122" s="358"/>
      <c r="BA122" s="386"/>
      <c r="BB122" s="344"/>
      <c r="BC122" s="344"/>
      <c r="BD122" s="344"/>
      <c r="BE122" s="344"/>
      <c r="BF122" s="344"/>
      <c r="BG122" s="344"/>
      <c r="BH122" s="344"/>
      <c r="BI122" s="344"/>
      <c r="BJ122" s="344"/>
      <c r="BK122" s="344"/>
      <c r="BL122" s="358"/>
    </row>
    <row r="123" spans="1:64" ht="15.75" x14ac:dyDescent="0.25">
      <c r="B123" s="173" t="s">
        <v>267</v>
      </c>
      <c r="C123" s="710">
        <v>104881.671</v>
      </c>
      <c r="D123" s="710">
        <v>102534.77</v>
      </c>
      <c r="E123" s="710">
        <v>95094.45</v>
      </c>
      <c r="F123" s="710">
        <v>90326.455000000002</v>
      </c>
      <c r="G123" s="710">
        <v>101965.192</v>
      </c>
      <c r="H123" s="710">
        <v>109975.113</v>
      </c>
      <c r="I123" s="710">
        <v>118728.73136400001</v>
      </c>
      <c r="J123" s="710">
        <v>126333.878</v>
      </c>
      <c r="K123" s="710">
        <v>129600.466</v>
      </c>
      <c r="L123" s="710">
        <v>122682.87</v>
      </c>
      <c r="M123" s="710">
        <v>136286.48800000001</v>
      </c>
      <c r="N123" s="710">
        <v>147106.71299999999</v>
      </c>
      <c r="O123" s="710">
        <v>156022.96</v>
      </c>
      <c r="P123" s="710">
        <v>155927.079</v>
      </c>
      <c r="Q123" s="710">
        <v>166704.41399999999</v>
      </c>
      <c r="R123" s="710">
        <v>175656.71400000001</v>
      </c>
      <c r="S123" s="710">
        <v>192644.285</v>
      </c>
      <c r="T123" s="710">
        <v>210500.016</v>
      </c>
      <c r="U123" s="710">
        <v>228169.43400000001</v>
      </c>
      <c r="V123" s="710">
        <v>233217.78599999999</v>
      </c>
      <c r="W123" s="710">
        <v>62623.743000000002</v>
      </c>
      <c r="X123" s="3">
        <v>52363.94</v>
      </c>
      <c r="AC123" s="406" t="s">
        <v>606</v>
      </c>
      <c r="AD123" s="62"/>
      <c r="AE123" s="62"/>
      <c r="AF123" s="62"/>
      <c r="AG123" s="62"/>
      <c r="AH123" s="62"/>
      <c r="AI123" s="62"/>
      <c r="AJ123" s="62"/>
      <c r="AK123" s="62"/>
      <c r="AL123" s="62"/>
      <c r="AM123" s="62"/>
      <c r="AN123" s="62"/>
      <c r="AO123" s="344"/>
      <c r="AP123" s="344"/>
      <c r="AQ123" s="409" t="s">
        <v>630</v>
      </c>
      <c r="AR123" s="344"/>
      <c r="AS123" s="344"/>
      <c r="AT123" s="344"/>
      <c r="AU123" s="344"/>
      <c r="AV123" s="344"/>
      <c r="AW123" s="344"/>
      <c r="AX123" s="358"/>
      <c r="BA123" s="367" t="s">
        <v>1074</v>
      </c>
      <c r="BB123" s="344"/>
      <c r="BC123" s="344"/>
      <c r="BD123" s="344"/>
      <c r="BE123" s="344"/>
      <c r="BF123" s="344"/>
      <c r="BG123" s="344"/>
      <c r="BH123" s="344"/>
      <c r="BI123" s="344"/>
      <c r="BJ123" s="344"/>
      <c r="BK123" s="344"/>
      <c r="BL123" s="358"/>
    </row>
    <row r="124" spans="1:64" ht="15.75" thickBot="1" x14ac:dyDescent="0.3">
      <c r="B124" s="173" t="s">
        <v>69</v>
      </c>
      <c r="C124" s="710">
        <v>2327.3020000000001</v>
      </c>
      <c r="D124" s="710">
        <v>2172.424</v>
      </c>
      <c r="E124" s="710">
        <v>2150.9140000000002</v>
      </c>
      <c r="F124" s="710">
        <v>1855.077</v>
      </c>
      <c r="G124" s="710">
        <v>2012.9390000000001</v>
      </c>
      <c r="H124" s="710">
        <v>2235.549</v>
      </c>
      <c r="I124" s="710">
        <v>2226.9948890000001</v>
      </c>
      <c r="J124" s="710">
        <v>1997.175</v>
      </c>
      <c r="K124" s="710">
        <v>1809.4960000000001</v>
      </c>
      <c r="L124" s="710">
        <v>1628.107</v>
      </c>
      <c r="M124" s="710">
        <v>2085.2240000000002</v>
      </c>
      <c r="N124" s="710">
        <v>2211.8530000000001</v>
      </c>
      <c r="O124" s="710">
        <v>2282.826</v>
      </c>
      <c r="P124" s="710">
        <v>2273.0610000000001</v>
      </c>
      <c r="Q124" s="710">
        <v>2376.0839999999998</v>
      </c>
      <c r="R124" s="710">
        <v>2283.7669999999998</v>
      </c>
      <c r="S124" s="710">
        <v>2546.3409999999999</v>
      </c>
      <c r="T124" s="710">
        <v>3089.5149999999999</v>
      </c>
      <c r="U124" s="710">
        <v>3351.6489999999999</v>
      </c>
      <c r="V124" s="710">
        <v>3256.5459999999998</v>
      </c>
      <c r="W124" s="710">
        <v>2516.5949999999998</v>
      </c>
      <c r="X124" s="3">
        <v>3298.4830000000002</v>
      </c>
      <c r="AC124" s="407" t="s">
        <v>602</v>
      </c>
      <c r="AD124" s="62">
        <v>11501320</v>
      </c>
      <c r="AE124" s="62">
        <v>10201292</v>
      </c>
      <c r="AF124" s="62">
        <v>12609006</v>
      </c>
      <c r="AG124" s="62">
        <v>11766415</v>
      </c>
      <c r="AH124" s="62">
        <v>10893015</v>
      </c>
      <c r="AI124" s="62">
        <v>9964001</v>
      </c>
      <c r="AJ124" s="62">
        <v>10022426</v>
      </c>
      <c r="AK124" s="62">
        <v>11713254</v>
      </c>
      <c r="AL124" s="193">
        <v>11635856</v>
      </c>
      <c r="AM124" s="62"/>
      <c r="AN124" s="62"/>
      <c r="AO124" s="344"/>
      <c r="AP124" s="344"/>
      <c r="AQ124" s="409" t="s">
        <v>631</v>
      </c>
      <c r="AR124" s="344"/>
      <c r="AS124" s="344"/>
      <c r="AT124" s="344"/>
      <c r="AU124" s="344"/>
      <c r="AV124" s="344"/>
      <c r="AW124" s="344"/>
      <c r="AX124" s="358"/>
      <c r="BA124" s="382" t="s">
        <v>119</v>
      </c>
      <c r="BB124" s="19" t="s">
        <v>894</v>
      </c>
      <c r="BC124" s="19" t="s">
        <v>1076</v>
      </c>
      <c r="BD124" s="19" t="s">
        <v>1079</v>
      </c>
      <c r="BE124" s="19" t="s">
        <v>1080</v>
      </c>
      <c r="BF124" s="19" t="s">
        <v>1092</v>
      </c>
      <c r="BG124" s="19" t="s">
        <v>1081</v>
      </c>
      <c r="BH124" s="19" t="s">
        <v>1082</v>
      </c>
      <c r="BI124" s="19" t="s">
        <v>1083</v>
      </c>
      <c r="BJ124" s="19" t="s">
        <v>1084</v>
      </c>
      <c r="BK124" s="19" t="s">
        <v>1085</v>
      </c>
      <c r="BL124" s="459" t="s">
        <v>1086</v>
      </c>
    </row>
    <row r="125" spans="1:64" ht="15.75" thickTop="1" x14ac:dyDescent="0.25">
      <c r="B125" s="173" t="s">
        <v>79</v>
      </c>
      <c r="C125" s="20">
        <v>1548.5070000000001</v>
      </c>
      <c r="D125" s="20">
        <v>1553.059</v>
      </c>
      <c r="E125" s="20">
        <v>1596.9469999999999</v>
      </c>
      <c r="F125" s="20">
        <v>1433.643</v>
      </c>
      <c r="G125" s="20">
        <v>1420.8040000000001</v>
      </c>
      <c r="H125" s="20">
        <v>1478.454</v>
      </c>
      <c r="I125" s="20">
        <v>1450.481</v>
      </c>
      <c r="J125" s="20">
        <v>1453.0050000000001</v>
      </c>
      <c r="K125" s="20">
        <v>1574.2929999999999</v>
      </c>
      <c r="L125" s="20">
        <v>1413.3520000000001</v>
      </c>
      <c r="M125" s="20">
        <v>1403.8530000000001</v>
      </c>
      <c r="N125" s="20">
        <v>1404.39</v>
      </c>
      <c r="O125" s="20">
        <v>1373.8009999999999</v>
      </c>
      <c r="P125" s="20">
        <v>1365.414</v>
      </c>
      <c r="Q125" s="20">
        <v>1327.2170000000001</v>
      </c>
      <c r="R125" s="20">
        <v>1349.3710000000001</v>
      </c>
      <c r="S125" s="20">
        <v>1408.145</v>
      </c>
      <c r="T125" s="20">
        <v>1528.6289999999999</v>
      </c>
      <c r="U125" s="20">
        <v>1529.5309999999999</v>
      </c>
      <c r="V125" s="20">
        <v>1729.2650000000001</v>
      </c>
      <c r="W125" s="20">
        <v>235.4</v>
      </c>
      <c r="X125" s="3">
        <v>542.048</v>
      </c>
      <c r="AC125" s="407" t="s">
        <v>600</v>
      </c>
      <c r="AD125" s="62">
        <v>149969389620</v>
      </c>
      <c r="AE125" s="62">
        <v>164319927207</v>
      </c>
      <c r="AF125" s="62">
        <v>189355401558</v>
      </c>
      <c r="AG125" s="62">
        <v>193594108689</v>
      </c>
      <c r="AH125" s="62">
        <v>168774374018</v>
      </c>
      <c r="AI125" s="62">
        <v>161766800855</v>
      </c>
      <c r="AJ125" s="62">
        <v>169585733450</v>
      </c>
      <c r="AK125" s="62">
        <v>183638353407</v>
      </c>
      <c r="AL125" s="62">
        <v>185218374390</v>
      </c>
      <c r="AM125" s="62"/>
      <c r="AN125" s="62"/>
      <c r="AO125" s="344"/>
      <c r="AP125" s="344"/>
      <c r="AQ125" s="409" t="s">
        <v>632</v>
      </c>
      <c r="AR125" s="344"/>
      <c r="AS125" s="344"/>
      <c r="AT125" s="344"/>
      <c r="AU125" s="344"/>
      <c r="AV125" s="344"/>
      <c r="AW125" s="344"/>
      <c r="AX125" s="358"/>
      <c r="BA125" s="406" t="s">
        <v>1078</v>
      </c>
      <c r="BB125" s="344"/>
      <c r="BC125" s="344"/>
      <c r="BD125" s="344"/>
      <c r="BE125" s="344"/>
      <c r="BF125" s="344"/>
      <c r="BG125" s="344"/>
      <c r="BH125" s="344"/>
      <c r="BI125" s="344"/>
      <c r="BJ125" s="344"/>
      <c r="BK125" s="344"/>
      <c r="BL125" s="358"/>
    </row>
    <row r="126" spans="1:64" x14ac:dyDescent="0.25">
      <c r="B126" s="173" t="s">
        <v>80</v>
      </c>
      <c r="C126" s="20">
        <v>322511</v>
      </c>
      <c r="D126" s="20">
        <v>323211</v>
      </c>
      <c r="E126" s="20">
        <v>317807</v>
      </c>
      <c r="F126" s="20">
        <v>318263</v>
      </c>
      <c r="G126" s="20">
        <v>338898</v>
      </c>
      <c r="H126" s="20">
        <v>352140</v>
      </c>
      <c r="I126" s="20">
        <v>352477</v>
      </c>
      <c r="J126" s="20">
        <v>358832</v>
      </c>
      <c r="K126" s="20">
        <v>340092</v>
      </c>
      <c r="L126" s="20">
        <v>299829</v>
      </c>
      <c r="M126" s="20">
        <v>341325</v>
      </c>
      <c r="N126" s="20">
        <v>352091</v>
      </c>
      <c r="O126" s="20">
        <v>371074</v>
      </c>
      <c r="P126" s="20">
        <v>386132</v>
      </c>
      <c r="Q126" s="20">
        <v>415462</v>
      </c>
      <c r="R126" s="20">
        <v>411813</v>
      </c>
      <c r="S126" s="20">
        <v>395889</v>
      </c>
      <c r="T126" s="20">
        <v>423664</v>
      </c>
      <c r="U126" s="20">
        <v>448319</v>
      </c>
      <c r="V126" s="20">
        <v>451277</v>
      </c>
      <c r="W126" s="20">
        <v>420233</v>
      </c>
      <c r="X126" s="3">
        <v>423865</v>
      </c>
      <c r="AC126" s="407" t="s">
        <v>601</v>
      </c>
      <c r="AD126" s="62">
        <v>107012324</v>
      </c>
      <c r="AE126" s="62">
        <v>98748618</v>
      </c>
      <c r="AF126" s="62">
        <v>128092598</v>
      </c>
      <c r="AG126" s="62">
        <v>131898446</v>
      </c>
      <c r="AH126" s="62">
        <v>127282618</v>
      </c>
      <c r="AI126" s="62">
        <v>112441675</v>
      </c>
      <c r="AJ126" s="62">
        <v>101451091</v>
      </c>
      <c r="AK126" s="62">
        <v>126527053</v>
      </c>
      <c r="AL126" s="62">
        <v>126820402</v>
      </c>
      <c r="AM126" s="62"/>
      <c r="AN126" s="62"/>
      <c r="AO126" s="344"/>
      <c r="AP126" s="344"/>
      <c r="AQ126" s="409" t="s">
        <v>633</v>
      </c>
      <c r="AR126" s="344"/>
      <c r="AS126" s="344"/>
      <c r="AT126" s="344"/>
      <c r="AU126" s="344"/>
      <c r="AV126" s="344"/>
      <c r="AW126" s="344"/>
      <c r="AX126" s="358"/>
      <c r="BA126" s="319" t="s">
        <v>230</v>
      </c>
      <c r="BB126">
        <v>2030</v>
      </c>
      <c r="BC126" s="460">
        <v>150</v>
      </c>
      <c r="BD126" s="67">
        <v>233</v>
      </c>
      <c r="BE126" s="328">
        <v>102382</v>
      </c>
      <c r="BF126" s="69">
        <v>0.83</v>
      </c>
      <c r="BG126" s="67">
        <v>0.1</v>
      </c>
      <c r="BH126" s="69">
        <v>0.11</v>
      </c>
      <c r="BI126" s="328">
        <v>67488</v>
      </c>
      <c r="BJ126" s="457">
        <v>0.156</v>
      </c>
      <c r="BK126" s="62">
        <v>100000</v>
      </c>
      <c r="BL126" s="331">
        <v>0.94</v>
      </c>
    </row>
    <row r="127" spans="1:64" x14ac:dyDescent="0.25">
      <c r="B127" s="173" t="s">
        <v>81</v>
      </c>
      <c r="C127" s="20">
        <v>210499</v>
      </c>
      <c r="D127" s="20">
        <v>201195</v>
      </c>
      <c r="E127" s="20">
        <v>231463</v>
      </c>
      <c r="F127" s="20">
        <v>243293</v>
      </c>
      <c r="G127" s="20">
        <v>240537</v>
      </c>
      <c r="H127" s="20">
        <v>259113</v>
      </c>
      <c r="I127" s="20">
        <v>259640</v>
      </c>
      <c r="J127" s="20">
        <v>251637</v>
      </c>
      <c r="K127" s="20">
        <v>242848</v>
      </c>
      <c r="L127" s="20">
        <v>211653</v>
      </c>
      <c r="M127" s="20">
        <v>214839</v>
      </c>
      <c r="N127" s="20">
        <v>195675</v>
      </c>
      <c r="O127" s="20">
        <v>199380</v>
      </c>
      <c r="P127" s="20">
        <v>201080</v>
      </c>
      <c r="Q127" s="20">
        <v>199935</v>
      </c>
      <c r="R127" s="20">
        <v>202637</v>
      </c>
      <c r="S127" s="20">
        <v>204085</v>
      </c>
      <c r="T127" s="20">
        <v>205533</v>
      </c>
      <c r="U127" s="20">
        <v>206981</v>
      </c>
      <c r="V127" s="20">
        <v>208429</v>
      </c>
      <c r="W127" s="20">
        <v>209877</v>
      </c>
      <c r="X127" s="3">
        <v>211325</v>
      </c>
      <c r="AC127" s="407" t="s">
        <v>591</v>
      </c>
      <c r="AD127" s="62">
        <v>1282925927</v>
      </c>
      <c r="AE127" s="62">
        <v>1305607420</v>
      </c>
      <c r="AF127" s="62">
        <v>1715303709</v>
      </c>
      <c r="AG127" s="62">
        <v>2135545813</v>
      </c>
      <c r="AH127" s="62">
        <v>1850342647</v>
      </c>
      <c r="AI127" s="62">
        <v>1580201482</v>
      </c>
      <c r="AJ127" s="62">
        <v>1525899776</v>
      </c>
      <c r="AK127" s="62">
        <v>1731311752</v>
      </c>
      <c r="AL127" s="62">
        <v>1753827645</v>
      </c>
      <c r="AM127" s="62"/>
      <c r="AN127" s="62"/>
      <c r="AO127" s="344"/>
      <c r="AP127" s="344"/>
      <c r="AQ127" s="409" t="s">
        <v>634</v>
      </c>
      <c r="AR127" s="344"/>
      <c r="AS127" s="344"/>
      <c r="AT127" s="344"/>
      <c r="AU127" s="344"/>
      <c r="AV127" s="344"/>
      <c r="AW127" s="344"/>
      <c r="AX127" s="358"/>
      <c r="BA127" s="319"/>
      <c r="BB127">
        <v>2050</v>
      </c>
      <c r="BC127" s="460">
        <v>150</v>
      </c>
      <c r="BD127" s="67">
        <v>202</v>
      </c>
      <c r="BE127" s="328">
        <v>55707.78</v>
      </c>
      <c r="BF127" s="69">
        <v>0.72</v>
      </c>
      <c r="BG127" s="67">
        <v>0.1</v>
      </c>
      <c r="BH127" s="69">
        <v>0.09</v>
      </c>
      <c r="BI127" s="328">
        <v>32802</v>
      </c>
      <c r="BJ127" s="457">
        <v>0.156</v>
      </c>
      <c r="BK127" s="62">
        <v>100000</v>
      </c>
      <c r="BL127" s="331">
        <v>0.57999999999999996</v>
      </c>
    </row>
    <row r="128" spans="1:64" x14ac:dyDescent="0.25">
      <c r="B128" s="711" t="s">
        <v>268</v>
      </c>
      <c r="C128" s="20"/>
      <c r="D128" s="20"/>
      <c r="E128" s="20"/>
      <c r="F128" s="20"/>
      <c r="G128" s="20"/>
      <c r="H128" s="20"/>
      <c r="I128" s="20"/>
      <c r="J128" s="20"/>
      <c r="K128" s="20"/>
      <c r="L128" s="20"/>
      <c r="M128" s="20"/>
      <c r="N128" s="20"/>
      <c r="O128" s="20"/>
      <c r="P128" s="20"/>
      <c r="Q128" s="20"/>
      <c r="R128" s="20"/>
      <c r="S128" s="20"/>
      <c r="T128" s="20"/>
      <c r="U128" s="20"/>
      <c r="V128" s="20"/>
      <c r="W128" s="20"/>
      <c r="AC128" s="407" t="s">
        <v>598</v>
      </c>
      <c r="AD128" s="62">
        <v>13039</v>
      </c>
      <c r="AE128" s="62">
        <v>16108</v>
      </c>
      <c r="AF128" s="62">
        <v>15017</v>
      </c>
      <c r="AG128" s="62">
        <v>16453</v>
      </c>
      <c r="AH128" s="62">
        <v>15494</v>
      </c>
      <c r="AI128" s="62">
        <v>16235</v>
      </c>
      <c r="AJ128" s="62">
        <v>16921</v>
      </c>
      <c r="AK128" s="62">
        <v>15678</v>
      </c>
      <c r="AL128" s="62">
        <v>15918</v>
      </c>
      <c r="AM128" s="62"/>
      <c r="AN128" s="62"/>
      <c r="AO128" s="344"/>
      <c r="AP128" s="344"/>
      <c r="AQ128" s="409" t="s">
        <v>635</v>
      </c>
      <c r="AR128" s="344"/>
      <c r="AS128" s="344"/>
      <c r="AT128" s="344"/>
      <c r="AU128" s="344"/>
      <c r="AV128" s="344"/>
      <c r="AW128" s="344"/>
      <c r="AX128" s="358"/>
      <c r="BA128" s="319" t="s">
        <v>496</v>
      </c>
      <c r="BB128">
        <v>2030</v>
      </c>
      <c r="BC128" s="460">
        <v>150</v>
      </c>
      <c r="BD128" s="67">
        <v>13.44</v>
      </c>
      <c r="BE128" s="328">
        <v>77386</v>
      </c>
      <c r="BF128" s="69">
        <v>5.6000000000000001E-2</v>
      </c>
      <c r="BG128" s="67">
        <v>5</v>
      </c>
      <c r="BH128" s="69">
        <v>0.36</v>
      </c>
      <c r="BI128" s="328">
        <v>38693</v>
      </c>
      <c r="BJ128" s="457">
        <v>0.156</v>
      </c>
      <c r="BK128" s="62">
        <v>100000</v>
      </c>
      <c r="BL128" s="331">
        <v>0.91</v>
      </c>
    </row>
    <row r="129" spans="2:69" x14ac:dyDescent="0.25">
      <c r="AC129" s="407" t="s">
        <v>599</v>
      </c>
      <c r="AD129" s="62">
        <v>9</v>
      </c>
      <c r="AE129" s="62">
        <v>10</v>
      </c>
      <c r="AF129" s="62">
        <v>10</v>
      </c>
      <c r="AG129" s="62">
        <v>11</v>
      </c>
      <c r="AH129" s="62">
        <v>12</v>
      </c>
      <c r="AI129" s="62">
        <v>11</v>
      </c>
      <c r="AJ129" s="62">
        <v>10</v>
      </c>
      <c r="AK129" s="62">
        <v>11</v>
      </c>
      <c r="AL129" s="62">
        <v>11</v>
      </c>
      <c r="AM129" s="62"/>
      <c r="AN129" s="62"/>
      <c r="AO129" s="344"/>
      <c r="AP129" s="344"/>
      <c r="AQ129" s="344"/>
      <c r="AR129" s="344"/>
      <c r="AS129"/>
      <c r="AT129"/>
      <c r="AU129"/>
      <c r="AV129" s="344"/>
      <c r="AW129" s="344"/>
      <c r="AX129" s="358"/>
      <c r="BA129" s="319"/>
      <c r="BB129">
        <v>2050</v>
      </c>
      <c r="BC129" s="460">
        <v>150</v>
      </c>
      <c r="BD129" s="67">
        <v>12.48</v>
      </c>
      <c r="BE129" s="328">
        <v>54855</v>
      </c>
      <c r="BF129" s="69">
        <v>5.1999999999999998E-2</v>
      </c>
      <c r="BG129" s="67">
        <v>5</v>
      </c>
      <c r="BH129" s="69">
        <v>0.34</v>
      </c>
      <c r="BI129" s="328">
        <v>27428</v>
      </c>
      <c r="BJ129" s="457">
        <v>0.156</v>
      </c>
      <c r="BK129" s="62">
        <v>100000</v>
      </c>
      <c r="BL129" s="331">
        <v>0.77</v>
      </c>
    </row>
    <row r="130" spans="2:69" ht="15.75" x14ac:dyDescent="0.25">
      <c r="B130" s="177" t="s">
        <v>172</v>
      </c>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726"/>
      <c r="AC130" s="406" t="s">
        <v>607</v>
      </c>
      <c r="AD130" s="62"/>
      <c r="AE130" s="62"/>
      <c r="AF130" s="62"/>
      <c r="AG130" s="62"/>
      <c r="AH130" s="62"/>
      <c r="AI130" s="62"/>
      <c r="AJ130" s="62"/>
      <c r="AK130" s="62"/>
      <c r="AL130" s="62"/>
      <c r="AM130" s="62"/>
      <c r="AN130" s="62"/>
      <c r="AO130" s="344"/>
      <c r="AP130" s="344"/>
      <c r="AQ130" s="344"/>
      <c r="AR130" s="344"/>
      <c r="AS130"/>
      <c r="AT130"/>
      <c r="AU130"/>
      <c r="AV130" s="344"/>
      <c r="AW130" s="344"/>
      <c r="AX130" s="358"/>
      <c r="BA130" s="319" t="s">
        <v>1077</v>
      </c>
      <c r="BB130"/>
      <c r="BC130" s="460"/>
      <c r="BD130" s="67"/>
      <c r="BE130" s="328">
        <v>55000</v>
      </c>
      <c r="BF130" s="69">
        <v>10.5</v>
      </c>
      <c r="BG130" s="67">
        <v>4</v>
      </c>
      <c r="BH130" s="69">
        <v>0.38</v>
      </c>
      <c r="BI130" s="328">
        <v>27500</v>
      </c>
      <c r="BJ130" s="457">
        <v>0.311</v>
      </c>
      <c r="BK130" s="62">
        <v>100000</v>
      </c>
      <c r="BL130" s="331">
        <v>0.97</v>
      </c>
    </row>
    <row r="131" spans="2:69" ht="15.75" thickBot="1" x14ac:dyDescent="0.3">
      <c r="B131" s="155"/>
      <c r="C131" s="9">
        <v>2000</v>
      </c>
      <c r="D131" s="10">
        <v>2001</v>
      </c>
      <c r="E131" s="10">
        <v>2002</v>
      </c>
      <c r="F131" s="10">
        <v>2003</v>
      </c>
      <c r="G131" s="10">
        <v>2004</v>
      </c>
      <c r="H131" s="10">
        <v>2005</v>
      </c>
      <c r="I131" s="10">
        <v>2006</v>
      </c>
      <c r="J131" s="10">
        <v>2007</v>
      </c>
      <c r="K131" s="10">
        <v>2008</v>
      </c>
      <c r="L131" s="10">
        <v>2009</v>
      </c>
      <c r="M131" s="10">
        <v>2010</v>
      </c>
      <c r="N131" s="10">
        <v>2011</v>
      </c>
      <c r="O131" s="10">
        <v>2012</v>
      </c>
      <c r="P131" s="10">
        <v>2013</v>
      </c>
      <c r="Q131" s="10">
        <v>2014</v>
      </c>
      <c r="R131" s="10">
        <v>2015</v>
      </c>
      <c r="S131" s="10">
        <v>2016</v>
      </c>
      <c r="T131" s="10">
        <v>2017</v>
      </c>
      <c r="U131" s="10">
        <v>2018</v>
      </c>
      <c r="V131" s="10">
        <v>2019</v>
      </c>
      <c r="W131" s="10">
        <v>2020</v>
      </c>
      <c r="X131" s="10"/>
      <c r="Y131" s="10" t="s">
        <v>2674</v>
      </c>
      <c r="AC131" s="407" t="s">
        <v>602</v>
      </c>
      <c r="AD131" s="62">
        <v>48970153</v>
      </c>
      <c r="AE131" s="62">
        <v>46232068</v>
      </c>
      <c r="AF131" s="62">
        <v>51817713</v>
      </c>
      <c r="AG131" s="62">
        <v>53249959</v>
      </c>
      <c r="AH131" s="62">
        <v>54731072</v>
      </c>
      <c r="AI131" s="62">
        <v>54290140</v>
      </c>
      <c r="AJ131" s="62">
        <v>50885237</v>
      </c>
      <c r="AK131" s="62">
        <v>53927116</v>
      </c>
      <c r="AL131" s="193">
        <v>52042502</v>
      </c>
      <c r="AM131" s="62"/>
      <c r="AN131" s="62"/>
      <c r="AO131" s="344"/>
      <c r="AP131" s="344"/>
      <c r="AQ131" s="344"/>
      <c r="AR131" s="344"/>
      <c r="AS131" s="344"/>
      <c r="AT131" s="344"/>
      <c r="AU131" s="344"/>
      <c r="AV131" s="344"/>
      <c r="AW131" s="344"/>
      <c r="AX131" s="358"/>
      <c r="BA131" s="406" t="s">
        <v>1087</v>
      </c>
      <c r="BB131" s="344"/>
      <c r="BC131" s="344"/>
      <c r="BD131" s="344"/>
      <c r="BE131" s="344"/>
      <c r="BF131" s="344"/>
      <c r="BG131" s="344"/>
      <c r="BH131" s="344"/>
      <c r="BI131" s="344"/>
      <c r="BJ131" s="344"/>
      <c r="BK131" s="344"/>
      <c r="BL131" s="331"/>
    </row>
    <row r="132" spans="2:69" ht="15.75" thickTop="1" x14ac:dyDescent="0.25">
      <c r="B132" s="162" t="s">
        <v>46</v>
      </c>
      <c r="Y132" s="3"/>
      <c r="AC132" s="407" t="s">
        <v>600</v>
      </c>
      <c r="AD132" s="62">
        <v>422913668283</v>
      </c>
      <c r="AE132" s="62">
        <v>436323706975</v>
      </c>
      <c r="AF132" s="62">
        <v>472574460261</v>
      </c>
      <c r="AG132" s="62">
        <v>497198407394</v>
      </c>
      <c r="AH132" s="62">
        <v>561776210232</v>
      </c>
      <c r="AI132" s="62">
        <v>567448632738</v>
      </c>
      <c r="AJ132" s="62">
        <v>585930044229</v>
      </c>
      <c r="AK132" s="62">
        <v>568309868306</v>
      </c>
      <c r="AL132" s="62">
        <v>568496847047</v>
      </c>
      <c r="AM132" s="62"/>
      <c r="AN132" s="62"/>
      <c r="AO132" s="344"/>
      <c r="AP132" s="344"/>
      <c r="AQ132" s="344"/>
      <c r="AR132" s="344"/>
      <c r="AS132" s="344"/>
      <c r="AT132" s="344"/>
      <c r="AU132" s="344"/>
      <c r="AV132" s="344"/>
      <c r="AW132" s="344"/>
      <c r="AX132" s="358"/>
      <c r="BA132" s="319" t="s">
        <v>230</v>
      </c>
      <c r="BB132">
        <v>2030</v>
      </c>
      <c r="BC132" s="460">
        <v>150</v>
      </c>
      <c r="BD132" s="67">
        <v>617</v>
      </c>
      <c r="BE132" s="328">
        <v>539453</v>
      </c>
      <c r="BF132" s="69">
        <v>2.2000000000000002</v>
      </c>
      <c r="BG132" s="67">
        <v>0.1</v>
      </c>
      <c r="BH132" s="69">
        <v>0.28999999999999998</v>
      </c>
      <c r="BI132" s="328">
        <v>329122</v>
      </c>
      <c r="BJ132" s="457">
        <v>0.5</v>
      </c>
      <c r="BK132" s="62">
        <v>250000</v>
      </c>
      <c r="BL132" s="331">
        <v>2.1</v>
      </c>
    </row>
    <row r="133" spans="2:69" ht="15.75" customHeight="1" x14ac:dyDescent="0.25">
      <c r="B133" s="172" t="s">
        <v>70</v>
      </c>
      <c r="C133" s="3">
        <v>1.954871</v>
      </c>
      <c r="D133" s="3">
        <v>1.7900910000000001</v>
      </c>
      <c r="E133" s="3">
        <v>1.9488259999999999</v>
      </c>
      <c r="F133" s="3">
        <v>2.0762360000000002</v>
      </c>
      <c r="G133" s="3">
        <v>2.0183409999999999</v>
      </c>
      <c r="H133" s="3">
        <v>1.9744159999999999</v>
      </c>
      <c r="I133" s="3">
        <v>1.836293</v>
      </c>
      <c r="J133" s="3">
        <v>1.6840790000000001</v>
      </c>
      <c r="K133" s="3">
        <v>1.5497559999999999</v>
      </c>
      <c r="L133" s="3">
        <v>1.5411360000000001</v>
      </c>
      <c r="M133" s="3">
        <v>1.4540120000000001</v>
      </c>
      <c r="N133" s="3">
        <v>1.388625</v>
      </c>
      <c r="O133" s="3">
        <v>1.5304869999999999</v>
      </c>
      <c r="P133" s="3">
        <v>1.581245</v>
      </c>
      <c r="Q133" s="3">
        <v>1.461625</v>
      </c>
      <c r="R133" s="3">
        <v>1.4145799999999999</v>
      </c>
      <c r="S133" s="3">
        <v>1.3164</v>
      </c>
      <c r="T133" s="3">
        <v>1.309293</v>
      </c>
      <c r="U133" s="3">
        <v>1.359162</v>
      </c>
      <c r="V133" s="3">
        <v>1.335917</v>
      </c>
      <c r="W133" s="3">
        <v>2.139332</v>
      </c>
      <c r="Y133" s="3">
        <f>AVERAGE(R133:V133)</f>
        <v>1.3470704000000002</v>
      </c>
      <c r="AC133" s="407" t="s">
        <v>601</v>
      </c>
      <c r="AD133" s="62">
        <v>35766075517</v>
      </c>
      <c r="AE133" s="62">
        <v>34736479879</v>
      </c>
      <c r="AF133" s="62">
        <v>40563430379</v>
      </c>
      <c r="AG133" s="62">
        <v>41052513598</v>
      </c>
      <c r="AH133" s="62">
        <v>40954798254</v>
      </c>
      <c r="AI133" s="62">
        <v>39275617383</v>
      </c>
      <c r="AJ133" s="62">
        <v>38590703570</v>
      </c>
      <c r="AK133" s="62">
        <v>38216420153</v>
      </c>
      <c r="AL133" s="62">
        <v>37864450588</v>
      </c>
      <c r="AM133" s="62"/>
      <c r="AN133" s="62"/>
      <c r="AO133" s="344"/>
      <c r="AP133" s="344"/>
      <c r="AQ133" s="344"/>
      <c r="AR133" s="344"/>
      <c r="AS133" s="344"/>
      <c r="AT133" s="344"/>
      <c r="AU133" s="344"/>
      <c r="AV133" s="344"/>
      <c r="AW133" s="344"/>
      <c r="AX133" s="358"/>
      <c r="BA133" s="319"/>
      <c r="BB133">
        <v>2050</v>
      </c>
      <c r="BC133" s="460">
        <v>150</v>
      </c>
      <c r="BD133" s="67">
        <v>513</v>
      </c>
      <c r="BE133" s="328">
        <v>417082</v>
      </c>
      <c r="BF133" s="69">
        <v>1.83</v>
      </c>
      <c r="BG133" s="67">
        <v>0.1</v>
      </c>
      <c r="BH133" s="69">
        <v>0.24</v>
      </c>
      <c r="BI133" s="328">
        <v>226507</v>
      </c>
      <c r="BJ133" s="457">
        <v>0.5</v>
      </c>
      <c r="BK133" s="62">
        <v>250000</v>
      </c>
      <c r="BL133" s="331">
        <v>1.64</v>
      </c>
    </row>
    <row r="134" spans="2:69" x14ac:dyDescent="0.25">
      <c r="B134" s="172" t="s">
        <v>71</v>
      </c>
      <c r="C134" s="3">
        <v>3.4799530000000001</v>
      </c>
      <c r="D134" s="3">
        <v>3.1552020000000001</v>
      </c>
      <c r="E134" s="3">
        <v>3.4034059999999999</v>
      </c>
      <c r="F134" s="3">
        <v>3.6666590000000001</v>
      </c>
      <c r="G134" s="3">
        <v>3.598468</v>
      </c>
      <c r="H134" s="3">
        <v>3.5228130000000002</v>
      </c>
      <c r="I134" s="3">
        <v>3.2363330000000001</v>
      </c>
      <c r="J134" s="3">
        <v>2.9560849999999999</v>
      </c>
      <c r="K134" s="3">
        <v>2.729441</v>
      </c>
      <c r="L134" s="3">
        <v>2.7338529999999999</v>
      </c>
      <c r="M134" s="3">
        <v>2.5367790000000001</v>
      </c>
      <c r="N134" s="3">
        <v>2.4653330000000002</v>
      </c>
      <c r="O134" s="3">
        <v>2.6821359999999999</v>
      </c>
      <c r="P134" s="3">
        <v>2.7812830000000002</v>
      </c>
      <c r="Q134" s="3">
        <v>2.6294</v>
      </c>
      <c r="R134" s="3">
        <v>2.4475090000000002</v>
      </c>
      <c r="S134" s="3">
        <v>2.344557</v>
      </c>
      <c r="T134" s="3">
        <v>2.2873570000000001</v>
      </c>
      <c r="U134" s="3">
        <v>2.3724959999999999</v>
      </c>
      <c r="V134" s="3">
        <v>2.3525860000000001</v>
      </c>
      <c r="W134" s="3">
        <v>3.7618450000000001</v>
      </c>
      <c r="Y134" s="3">
        <f>AVERAGE(R134:V134)</f>
        <v>2.3609010000000001</v>
      </c>
      <c r="AC134" s="407" t="s">
        <v>591</v>
      </c>
      <c r="AD134" s="62">
        <v>220483571359</v>
      </c>
      <c r="AE134" s="62">
        <v>223019543546</v>
      </c>
      <c r="AF134" s="62">
        <v>239779668023</v>
      </c>
      <c r="AG134" s="62">
        <v>249251810747</v>
      </c>
      <c r="AH134" s="62">
        <v>266717835276</v>
      </c>
      <c r="AI134" s="62">
        <v>275815627185</v>
      </c>
      <c r="AJ134" s="62">
        <v>293189752420</v>
      </c>
      <c r="AK134" s="62">
        <v>276124381332</v>
      </c>
      <c r="AL134" s="62">
        <v>267339680523</v>
      </c>
      <c r="AM134" s="62"/>
      <c r="AN134" s="62"/>
      <c r="AO134" s="344"/>
      <c r="AP134" s="344"/>
      <c r="AQ134" s="344"/>
      <c r="AR134" s="344"/>
      <c r="AS134" s="344"/>
      <c r="AT134" s="344"/>
      <c r="AU134" s="344"/>
      <c r="AV134" s="344"/>
      <c r="AW134" s="344"/>
      <c r="AX134" s="358"/>
      <c r="BA134" s="319" t="s">
        <v>496</v>
      </c>
      <c r="BB134">
        <v>2030</v>
      </c>
      <c r="BC134" s="460">
        <v>300</v>
      </c>
      <c r="BD134" s="67">
        <v>46.08</v>
      </c>
      <c r="BE134" s="328">
        <v>456551</v>
      </c>
      <c r="BF134" s="69">
        <v>9.6000000000000002E-2</v>
      </c>
      <c r="BG134" s="67">
        <v>5</v>
      </c>
      <c r="BH134" s="69">
        <v>0.62</v>
      </c>
      <c r="BI134" s="328">
        <v>228276</v>
      </c>
      <c r="BJ134" s="457">
        <v>0.5</v>
      </c>
      <c r="BK134" s="62">
        <v>250000</v>
      </c>
      <c r="BL134" s="331">
        <v>2.04</v>
      </c>
      <c r="BM134" s="16"/>
      <c r="BN134" s="16"/>
      <c r="BO134" s="16"/>
      <c r="BP134" s="16"/>
      <c r="BQ134" s="16"/>
    </row>
    <row r="135" spans="2:69" x14ac:dyDescent="0.25">
      <c r="B135" s="172" t="s">
        <v>56</v>
      </c>
      <c r="C135" s="3">
        <v>1.920482</v>
      </c>
      <c r="D135" s="3">
        <v>1.906296</v>
      </c>
      <c r="E135" s="3">
        <v>1.722966</v>
      </c>
      <c r="F135" s="3">
        <v>1.8189690000000001</v>
      </c>
      <c r="G135" s="3">
        <v>1.7892429999999999</v>
      </c>
      <c r="H135" s="3">
        <v>1.804522</v>
      </c>
      <c r="I135" s="3">
        <v>1.8603179999999999</v>
      </c>
      <c r="J135" s="3">
        <v>1.9299980000000001</v>
      </c>
      <c r="K135" s="3">
        <v>2.0024039999999999</v>
      </c>
      <c r="L135" s="3">
        <v>2.1184620000000001</v>
      </c>
      <c r="M135" s="3">
        <v>1.760734</v>
      </c>
      <c r="N135" s="3">
        <v>1.967476</v>
      </c>
      <c r="O135" s="3">
        <v>1.731557</v>
      </c>
      <c r="P135" s="3">
        <v>1.537698</v>
      </c>
      <c r="Q135" s="3">
        <v>1.494359</v>
      </c>
      <c r="R135" s="3">
        <v>1.4819530000000001</v>
      </c>
      <c r="S135" s="3">
        <v>1.4353419999999999</v>
      </c>
      <c r="T135" s="3">
        <v>1.495185</v>
      </c>
      <c r="U135" s="3">
        <v>1.460208</v>
      </c>
      <c r="V135" s="3">
        <v>1.3236019999999999</v>
      </c>
      <c r="W135" s="3">
        <v>4.6258730000000003</v>
      </c>
      <c r="Y135" s="3">
        <f>AVERAGE(R135:V135)</f>
        <v>1.4392580000000001</v>
      </c>
      <c r="AC135" s="407" t="s">
        <v>598</v>
      </c>
      <c r="AD135" s="62">
        <v>8636</v>
      </c>
      <c r="AE135" s="62">
        <v>9438</v>
      </c>
      <c r="AF135" s="62">
        <v>9120</v>
      </c>
      <c r="AG135" s="62">
        <v>9337</v>
      </c>
      <c r="AH135" s="62">
        <v>10264</v>
      </c>
      <c r="AI135" s="62">
        <v>10452</v>
      </c>
      <c r="AJ135" s="62">
        <v>11515</v>
      </c>
      <c r="AK135" s="62">
        <v>10538</v>
      </c>
      <c r="AL135" s="62">
        <v>10924</v>
      </c>
      <c r="AM135" s="62"/>
      <c r="AN135" s="62"/>
      <c r="AO135" s="344"/>
      <c r="AP135" s="344"/>
      <c r="AQ135" s="344"/>
      <c r="AR135" s="344"/>
      <c r="AS135" s="344"/>
      <c r="AT135" s="344"/>
      <c r="AU135" s="344"/>
      <c r="AV135" s="344"/>
      <c r="AW135" s="344"/>
      <c r="AX135" s="358"/>
      <c r="BA135" s="319"/>
      <c r="BB135">
        <v>2050</v>
      </c>
      <c r="BC135" s="460">
        <v>300</v>
      </c>
      <c r="BD135" s="67">
        <v>43.2</v>
      </c>
      <c r="BE135" s="328">
        <v>400842</v>
      </c>
      <c r="BF135" s="69">
        <v>0.09</v>
      </c>
      <c r="BG135" s="67">
        <v>5</v>
      </c>
      <c r="BH135" s="69">
        <v>0.59</v>
      </c>
      <c r="BI135" s="328">
        <v>200421</v>
      </c>
      <c r="BJ135" s="457">
        <v>0.5</v>
      </c>
      <c r="BK135" s="62">
        <v>250000</v>
      </c>
      <c r="BL135" s="331">
        <v>1.89</v>
      </c>
    </row>
    <row r="136" spans="2:69" x14ac:dyDescent="0.25">
      <c r="B136" s="172" t="s">
        <v>57</v>
      </c>
      <c r="C136" s="3">
        <v>0.252724</v>
      </c>
      <c r="D136" s="3">
        <v>0.24981</v>
      </c>
      <c r="E136" s="3">
        <v>0.23120499999999999</v>
      </c>
      <c r="F136" s="3">
        <v>0.233622</v>
      </c>
      <c r="G136" s="3">
        <v>0.226017</v>
      </c>
      <c r="H136" s="3">
        <v>0.231735</v>
      </c>
      <c r="I136" s="3">
        <v>0.242696</v>
      </c>
      <c r="J136" s="3">
        <v>0.25548900000000002</v>
      </c>
      <c r="K136" s="3">
        <v>0.28398699999999999</v>
      </c>
      <c r="L136" s="3">
        <v>0.27435599999999999</v>
      </c>
      <c r="M136" s="3">
        <v>0.23774200000000001</v>
      </c>
      <c r="N136" s="3">
        <v>0.25981300000000002</v>
      </c>
      <c r="O136" s="3">
        <v>0.25355899999999998</v>
      </c>
      <c r="P136" s="3">
        <v>0.235203</v>
      </c>
      <c r="Q136" s="3">
        <v>0.22431599999999999</v>
      </c>
      <c r="R136" s="3">
        <v>0.215305</v>
      </c>
      <c r="S136" s="3">
        <v>0.20533499999999999</v>
      </c>
      <c r="T136" s="3">
        <v>0.21967</v>
      </c>
      <c r="U136" s="3">
        <v>0.21226500000000001</v>
      </c>
      <c r="V136" s="3">
        <v>0.21234700000000001</v>
      </c>
      <c r="W136" s="3">
        <v>0.21438399999999999</v>
      </c>
      <c r="Y136" s="3">
        <f>AVERAGE(R136:V136)</f>
        <v>0.21298440000000002</v>
      </c>
      <c r="AC136" s="410" t="s">
        <v>599</v>
      </c>
      <c r="AD136" s="18">
        <v>730</v>
      </c>
      <c r="AE136" s="18">
        <v>751</v>
      </c>
      <c r="AF136" s="18">
        <v>783</v>
      </c>
      <c r="AG136" s="18">
        <v>771</v>
      </c>
      <c r="AH136" s="18">
        <v>748</v>
      </c>
      <c r="AI136" s="18">
        <v>723</v>
      </c>
      <c r="AJ136" s="18">
        <v>758</v>
      </c>
      <c r="AK136" s="18">
        <v>709</v>
      </c>
      <c r="AL136" s="18">
        <v>728</v>
      </c>
      <c r="AM136" s="62"/>
      <c r="AN136" s="62"/>
      <c r="AO136" s="344"/>
      <c r="AP136" s="344"/>
      <c r="AQ136" s="344"/>
      <c r="AR136" s="344"/>
      <c r="AS136" s="344"/>
      <c r="AT136" s="344"/>
      <c r="AU136" s="344"/>
      <c r="AV136" s="344"/>
      <c r="AW136" s="344"/>
      <c r="AX136" s="358"/>
      <c r="BA136" s="319" t="s">
        <v>1077</v>
      </c>
      <c r="BB136"/>
      <c r="BC136" s="460"/>
      <c r="BD136" s="67"/>
      <c r="BE136" s="328">
        <v>400000</v>
      </c>
      <c r="BF136" s="69">
        <v>6.5</v>
      </c>
      <c r="BG136" s="67">
        <v>4</v>
      </c>
      <c r="BH136" s="69">
        <v>0.62</v>
      </c>
      <c r="BI136" s="328">
        <v>200000</v>
      </c>
      <c r="BJ136" s="457">
        <v>1</v>
      </c>
      <c r="BK136" s="62">
        <v>250000</v>
      </c>
      <c r="BL136" s="331">
        <v>2.42</v>
      </c>
      <c r="BM136" s="301"/>
      <c r="BN136" s="20"/>
      <c r="BO136" s="20"/>
      <c r="BP136" s="20"/>
      <c r="BQ136" s="20"/>
    </row>
    <row r="137" spans="2:69" x14ac:dyDescent="0.25">
      <c r="B137" s="172" t="s">
        <v>59</v>
      </c>
      <c r="C137" s="3">
        <v>0.51415</v>
      </c>
      <c r="D137" s="3">
        <v>0.579816</v>
      </c>
      <c r="E137" s="3">
        <v>0.483991</v>
      </c>
      <c r="F137" s="3">
        <v>0.46338800000000002</v>
      </c>
      <c r="G137" s="3">
        <v>0.519895</v>
      </c>
      <c r="H137" s="3">
        <v>0.49431700000000001</v>
      </c>
      <c r="I137" s="3">
        <v>0.43526399999999998</v>
      </c>
      <c r="J137" s="3">
        <v>0.49945800000000001</v>
      </c>
      <c r="K137" s="3">
        <v>0.50319999999999998</v>
      </c>
      <c r="L137" s="3">
        <v>0.55735599999999996</v>
      </c>
      <c r="M137" s="3">
        <v>0.56931500000000002</v>
      </c>
      <c r="N137" s="3">
        <v>0.50362600000000002</v>
      </c>
      <c r="O137" s="3">
        <v>0.47357300000000002</v>
      </c>
      <c r="P137" s="3">
        <v>0.44252999999999998</v>
      </c>
      <c r="Q137" s="3">
        <v>0.40067999999999998</v>
      </c>
      <c r="R137" s="3">
        <v>0.36180000000000001</v>
      </c>
      <c r="S137" s="3">
        <v>0.31709799999999999</v>
      </c>
      <c r="T137" s="3">
        <v>0.33952700000000002</v>
      </c>
      <c r="U137" s="3">
        <v>0.349356</v>
      </c>
      <c r="V137" s="3">
        <v>0.39665800000000001</v>
      </c>
      <c r="W137" s="3">
        <v>0.32893099999999997</v>
      </c>
      <c r="Y137" s="3">
        <f>AVERAGE(R137:V137)</f>
        <v>0.35288780000000003</v>
      </c>
      <c r="AC137" s="396" t="s">
        <v>592</v>
      </c>
      <c r="AD137" s="62"/>
      <c r="AE137" s="62"/>
      <c r="AF137" s="62"/>
      <c r="AG137" s="62"/>
      <c r="AH137" s="62"/>
      <c r="AI137" s="62"/>
      <c r="AJ137" s="62"/>
      <c r="AK137" s="62"/>
      <c r="AL137" s="62"/>
      <c r="AM137" s="62"/>
      <c r="AN137" s="62"/>
      <c r="AO137" s="344"/>
      <c r="AP137" s="344"/>
      <c r="AQ137" s="344"/>
      <c r="AR137" s="344"/>
      <c r="AS137" s="344"/>
      <c r="AT137" s="344"/>
      <c r="AU137" s="344"/>
      <c r="AV137" s="344"/>
      <c r="AW137" s="344"/>
      <c r="AX137" s="358"/>
      <c r="BA137" s="406" t="s">
        <v>1088</v>
      </c>
      <c r="BB137" s="402"/>
      <c r="BC137" s="402"/>
      <c r="BD137" s="402"/>
      <c r="BE137" s="402"/>
      <c r="BF137" s="402"/>
      <c r="BG137" s="402"/>
      <c r="BH137" s="402"/>
      <c r="BI137" s="402"/>
      <c r="BJ137" s="402"/>
      <c r="BK137" s="402"/>
      <c r="BL137" s="461"/>
    </row>
    <row r="138" spans="2:69" x14ac:dyDescent="0.25">
      <c r="AC138" s="396" t="s">
        <v>597</v>
      </c>
      <c r="AD138" s="62"/>
      <c r="AE138" s="62"/>
      <c r="AF138" s="62"/>
      <c r="AG138" s="62"/>
      <c r="AH138" s="62"/>
      <c r="AI138" s="62"/>
      <c r="AJ138" s="62"/>
      <c r="AK138" s="62"/>
      <c r="AL138" s="62"/>
      <c r="AM138" s="62"/>
      <c r="AN138" s="62"/>
      <c r="AO138" s="344"/>
      <c r="AP138" s="344"/>
      <c r="AQ138" s="344"/>
      <c r="AR138" s="344"/>
      <c r="AS138" s="344"/>
      <c r="AT138" s="344"/>
      <c r="AU138" s="344"/>
      <c r="AV138" s="344"/>
      <c r="AW138" s="344"/>
      <c r="AX138" s="358"/>
      <c r="BA138" s="319" t="s">
        <v>230</v>
      </c>
      <c r="BB138">
        <v>2030</v>
      </c>
      <c r="BC138" s="460">
        <v>350</v>
      </c>
      <c r="BD138" s="67">
        <v>805</v>
      </c>
      <c r="BE138" s="328">
        <v>657550</v>
      </c>
      <c r="BF138" s="69">
        <v>1.23</v>
      </c>
      <c r="BG138" s="67">
        <v>0.1</v>
      </c>
      <c r="BH138" s="69">
        <v>0.16</v>
      </c>
      <c r="BI138" s="328">
        <v>406260</v>
      </c>
      <c r="BJ138" s="457">
        <v>0.5</v>
      </c>
      <c r="BK138" s="62">
        <v>300000</v>
      </c>
      <c r="BL138" s="331">
        <v>2.0099999999999998</v>
      </c>
    </row>
    <row r="139" spans="2:69" ht="15.75" x14ac:dyDescent="0.25">
      <c r="B139" s="177" t="s">
        <v>269</v>
      </c>
      <c r="C139" s="177"/>
      <c r="D139" s="177"/>
      <c r="E139" s="177"/>
      <c r="F139" s="177"/>
      <c r="G139" s="177"/>
      <c r="H139" s="177"/>
      <c r="I139" s="177"/>
      <c r="J139" s="177"/>
      <c r="K139" s="177"/>
      <c r="L139" s="177"/>
      <c r="M139" s="177"/>
      <c r="N139" s="177"/>
      <c r="O139" s="177"/>
      <c r="P139" s="177"/>
      <c r="Q139" s="177"/>
      <c r="R139" s="177"/>
      <c r="S139" s="177"/>
      <c r="T139" s="177"/>
      <c r="U139" s="177"/>
      <c r="V139" s="177"/>
      <c r="W139" s="177"/>
      <c r="AC139" s="396" t="s">
        <v>593</v>
      </c>
      <c r="AD139" s="62"/>
      <c r="AE139" s="62"/>
      <c r="AF139" s="62"/>
      <c r="AG139" s="62"/>
      <c r="AH139" s="62"/>
      <c r="AI139" s="62"/>
      <c r="AJ139" s="62"/>
      <c r="AK139" s="62"/>
      <c r="AL139" s="62"/>
      <c r="AM139" s="62"/>
      <c r="AN139" s="62"/>
      <c r="AO139" s="344"/>
      <c r="AP139" s="344"/>
      <c r="AQ139" s="344"/>
      <c r="AR139" s="344"/>
      <c r="AS139" s="344"/>
      <c r="AT139" s="344"/>
      <c r="AU139" s="344"/>
      <c r="AV139" s="344"/>
      <c r="AW139" s="344"/>
      <c r="AX139" s="358"/>
      <c r="BA139" s="319"/>
      <c r="BB139">
        <v>2050</v>
      </c>
      <c r="BC139" s="460">
        <v>350</v>
      </c>
      <c r="BD139" s="67">
        <v>622</v>
      </c>
      <c r="BE139" s="328">
        <v>437254</v>
      </c>
      <c r="BF139" s="69">
        <v>0.95</v>
      </c>
      <c r="BG139" s="67">
        <v>0.1</v>
      </c>
      <c r="BH139" s="69">
        <v>0.12</v>
      </c>
      <c r="BI139" s="462">
        <v>240389</v>
      </c>
      <c r="BJ139" s="463">
        <v>0.5</v>
      </c>
      <c r="BK139" s="389">
        <v>300000</v>
      </c>
      <c r="BL139" s="461">
        <v>1.42</v>
      </c>
    </row>
    <row r="140" spans="2:69" ht="15.75" thickBot="1" x14ac:dyDescent="0.3">
      <c r="B140" s="155"/>
      <c r="C140" s="9">
        <v>2000</v>
      </c>
      <c r="D140" s="10">
        <v>2001</v>
      </c>
      <c r="E140" s="10">
        <v>2002</v>
      </c>
      <c r="F140" s="10">
        <v>2003</v>
      </c>
      <c r="G140" s="10">
        <v>2004</v>
      </c>
      <c r="H140" s="10">
        <v>2005</v>
      </c>
      <c r="I140" s="10">
        <v>2006</v>
      </c>
      <c r="J140" s="10">
        <v>2007</v>
      </c>
      <c r="K140" s="10">
        <v>2008</v>
      </c>
      <c r="L140" s="10">
        <v>2009</v>
      </c>
      <c r="M140" s="10">
        <v>2010</v>
      </c>
      <c r="N140" s="10">
        <v>2011</v>
      </c>
      <c r="O140" s="10">
        <v>2012</v>
      </c>
      <c r="P140" s="10">
        <v>2013</v>
      </c>
      <c r="Q140" s="10">
        <v>2014</v>
      </c>
      <c r="R140" s="10">
        <v>2015</v>
      </c>
      <c r="S140" s="10">
        <v>2016</v>
      </c>
      <c r="T140" s="10">
        <v>2017</v>
      </c>
      <c r="U140" s="10">
        <v>2018</v>
      </c>
      <c r="V140" s="10">
        <v>2019</v>
      </c>
      <c r="W140" s="10">
        <v>2020</v>
      </c>
      <c r="AC140" s="396" t="s">
        <v>594</v>
      </c>
      <c r="AD140" s="62"/>
      <c r="AE140" s="62"/>
      <c r="AF140" s="62"/>
      <c r="AG140" s="62"/>
      <c r="AH140" s="62"/>
      <c r="AI140" s="62"/>
      <c r="AJ140" s="62"/>
      <c r="AK140" s="62"/>
      <c r="AL140" s="62"/>
      <c r="AM140" s="62"/>
      <c r="AN140" s="62"/>
      <c r="AO140" s="344"/>
      <c r="AP140" s="344"/>
      <c r="AQ140" s="344"/>
      <c r="AR140" s="344"/>
      <c r="AS140" s="344"/>
      <c r="AT140" s="344"/>
      <c r="AU140" s="344"/>
      <c r="AV140" s="344"/>
      <c r="AW140" s="344"/>
      <c r="AX140" s="358"/>
      <c r="BA140" s="319" t="s">
        <v>496</v>
      </c>
      <c r="BB140">
        <v>2030</v>
      </c>
      <c r="BC140" s="460">
        <v>500</v>
      </c>
      <c r="BD140" s="67">
        <v>132.80000000000001</v>
      </c>
      <c r="BE140" s="328">
        <v>484735</v>
      </c>
      <c r="BF140" s="69">
        <v>0.16600000000000001</v>
      </c>
      <c r="BG140" s="67">
        <v>5</v>
      </c>
      <c r="BH140" s="69">
        <v>1.08</v>
      </c>
      <c r="BI140" s="328">
        <v>242368</v>
      </c>
      <c r="BJ140" s="457">
        <v>0.5</v>
      </c>
      <c r="BK140" s="62">
        <v>300000</v>
      </c>
      <c r="BL140" s="331">
        <v>2.39</v>
      </c>
    </row>
    <row r="141" spans="2:69" ht="15.75" thickTop="1" x14ac:dyDescent="0.25">
      <c r="B141" s="164" t="s">
        <v>50</v>
      </c>
      <c r="C141" s="111">
        <v>231.97009800000001</v>
      </c>
      <c r="D141" s="111">
        <v>211.929564</v>
      </c>
      <c r="E141" s="111">
        <v>212.78656599999999</v>
      </c>
      <c r="F141" s="111">
        <v>211.12206499999999</v>
      </c>
      <c r="G141" s="111">
        <v>235.61450400000001</v>
      </c>
      <c r="H141" s="111">
        <v>250.18657999999999</v>
      </c>
      <c r="I141" s="111">
        <v>249.24470400000001</v>
      </c>
      <c r="J141" s="111">
        <v>253.92617999999999</v>
      </c>
      <c r="K141" s="111">
        <v>239.39608799999999</v>
      </c>
      <c r="L141" s="111">
        <v>216.37399400000001</v>
      </c>
      <c r="M141" s="111">
        <v>223.65824799999999</v>
      </c>
      <c r="N141" s="111">
        <v>226.739046</v>
      </c>
      <c r="O141" s="111">
        <v>258.36615</v>
      </c>
      <c r="P141" s="111">
        <v>268.985975</v>
      </c>
      <c r="Q141" s="111">
        <v>263.55732499999999</v>
      </c>
      <c r="R141" s="111">
        <v>269.80745999999999</v>
      </c>
      <c r="S141" s="111">
        <v>277.13095900000002</v>
      </c>
      <c r="T141" s="111">
        <v>298.479175</v>
      </c>
      <c r="U141" s="111">
        <v>334.50322499999999</v>
      </c>
      <c r="V141" s="111">
        <v>336.53069599999998</v>
      </c>
      <c r="W141" s="111">
        <v>156.709622</v>
      </c>
      <c r="AC141" s="396" t="s">
        <v>595</v>
      </c>
      <c r="AD141" s="62"/>
      <c r="AE141" s="62"/>
      <c r="AF141" s="62"/>
      <c r="AG141" s="62"/>
      <c r="AH141" s="62"/>
      <c r="AI141" s="62"/>
      <c r="AJ141" s="62"/>
      <c r="AK141" s="62"/>
      <c r="AL141" s="62"/>
      <c r="AM141" s="62"/>
      <c r="AN141" s="62"/>
      <c r="AO141" s="344"/>
      <c r="AP141" s="344"/>
      <c r="AQ141" s="344"/>
      <c r="AR141" s="344"/>
      <c r="AS141" s="344"/>
      <c r="AT141" s="344"/>
      <c r="AU141" s="344"/>
      <c r="AV141" s="344"/>
      <c r="AW141" s="344"/>
      <c r="AX141" s="358"/>
      <c r="BA141" s="319"/>
      <c r="BB141">
        <v>2050</v>
      </c>
      <c r="BC141" s="460">
        <v>500</v>
      </c>
      <c r="BD141" s="67">
        <v>104</v>
      </c>
      <c r="BE141" s="328">
        <v>415258</v>
      </c>
      <c r="BF141" s="69">
        <v>0.13</v>
      </c>
      <c r="BG141" s="67">
        <v>5</v>
      </c>
      <c r="BH141" s="69">
        <v>0.85</v>
      </c>
      <c r="BI141" s="328">
        <v>207629</v>
      </c>
      <c r="BJ141" s="457">
        <v>0.5</v>
      </c>
      <c r="BK141" s="62">
        <v>300000</v>
      </c>
      <c r="BL141" s="331">
        <v>2.04</v>
      </c>
    </row>
    <row r="142" spans="2:69" x14ac:dyDescent="0.25">
      <c r="B142" s="176" t="s">
        <v>51</v>
      </c>
      <c r="C142" s="110">
        <v>3.539056</v>
      </c>
      <c r="D142" s="110">
        <v>3.4526479999999999</v>
      </c>
      <c r="E142" s="110">
        <v>3.388862</v>
      </c>
      <c r="F142" s="110">
        <v>3.1113650000000002</v>
      </c>
      <c r="G142" s="110">
        <v>2.840652</v>
      </c>
      <c r="H142" s="110">
        <v>3.2858800000000001</v>
      </c>
      <c r="I142" s="110">
        <v>2.9421599999999999</v>
      </c>
      <c r="J142" s="110">
        <v>3.0545779999999998</v>
      </c>
      <c r="K142" s="110">
        <v>2.9771999999999998</v>
      </c>
      <c r="L142" s="110">
        <v>2.83555</v>
      </c>
      <c r="M142" s="110">
        <v>2.5631940000000002</v>
      </c>
      <c r="N142" s="110">
        <v>2.1029840000000002</v>
      </c>
      <c r="O142" s="110">
        <v>2.5764749999999998</v>
      </c>
      <c r="P142" s="110">
        <v>2.1890999999999998</v>
      </c>
      <c r="Q142" s="110">
        <v>1.9053249999999999</v>
      </c>
      <c r="R142" s="110">
        <v>2.1699739999999998</v>
      </c>
      <c r="S142" s="110">
        <v>2.2719800000000001</v>
      </c>
      <c r="T142" s="110">
        <v>2.1977000000000002</v>
      </c>
      <c r="U142" s="110">
        <v>1.821275</v>
      </c>
      <c r="V142" s="110">
        <v>2.1741440000000001</v>
      </c>
      <c r="W142" s="110">
        <v>1.6736759999999999</v>
      </c>
      <c r="X142" s="27"/>
      <c r="AC142" s="396" t="s">
        <v>596</v>
      </c>
      <c r="AD142" s="62"/>
      <c r="AE142" s="62"/>
      <c r="AF142" s="62"/>
      <c r="AG142" s="62"/>
      <c r="AH142" s="62"/>
      <c r="AI142" s="62"/>
      <c r="AJ142" s="62"/>
      <c r="AK142" s="62"/>
      <c r="AL142" s="62"/>
      <c r="AM142" s="62"/>
      <c r="AN142" s="62"/>
      <c r="AO142" s="344"/>
      <c r="AP142" s="344"/>
      <c r="AQ142" s="344"/>
      <c r="AR142" s="344"/>
      <c r="AS142" s="344"/>
      <c r="AT142" s="344"/>
      <c r="AU142" s="344"/>
      <c r="AV142" s="344"/>
      <c r="AW142" s="344"/>
      <c r="AX142" s="358"/>
      <c r="BA142" s="319" t="s">
        <v>1077</v>
      </c>
      <c r="BB142"/>
      <c r="BC142" s="460"/>
      <c r="BD142" s="67"/>
      <c r="BE142" s="328">
        <v>400000</v>
      </c>
      <c r="BF142" s="69">
        <v>8.5</v>
      </c>
      <c r="BG142" s="67">
        <v>4</v>
      </c>
      <c r="BH142" s="69">
        <v>0.47</v>
      </c>
      <c r="BI142" s="328">
        <v>200000</v>
      </c>
      <c r="BJ142" s="457">
        <v>1</v>
      </c>
      <c r="BK142" s="62">
        <v>300000</v>
      </c>
      <c r="BL142" s="331">
        <v>2.14</v>
      </c>
    </row>
    <row r="143" spans="2:69" x14ac:dyDescent="0.25">
      <c r="B143" s="174" t="s">
        <v>52</v>
      </c>
      <c r="C143" s="110">
        <v>228.43104199999999</v>
      </c>
      <c r="D143" s="110">
        <v>208.47691599999999</v>
      </c>
      <c r="E143" s="110">
        <v>209.397704</v>
      </c>
      <c r="F143" s="110">
        <v>208.01070000000001</v>
      </c>
      <c r="G143" s="110">
        <v>232.77385200000001</v>
      </c>
      <c r="H143" s="110">
        <v>246.9007</v>
      </c>
      <c r="I143" s="110">
        <v>246.30254400000001</v>
      </c>
      <c r="J143" s="110">
        <v>250.871602</v>
      </c>
      <c r="K143" s="110">
        <v>236.41888800000001</v>
      </c>
      <c r="L143" s="110">
        <v>213.538444</v>
      </c>
      <c r="M143" s="110">
        <v>221.095054</v>
      </c>
      <c r="N143" s="110">
        <v>224.63606200000001</v>
      </c>
      <c r="O143" s="110">
        <v>255.78967499999999</v>
      </c>
      <c r="P143" s="110">
        <v>266.796875</v>
      </c>
      <c r="Q143" s="110">
        <v>261.65199999999999</v>
      </c>
      <c r="R143" s="110">
        <v>267.63748600000002</v>
      </c>
      <c r="S143" s="110">
        <v>274.85897899999998</v>
      </c>
      <c r="T143" s="110">
        <v>296.281475</v>
      </c>
      <c r="U143" s="110">
        <v>332.68194999999997</v>
      </c>
      <c r="V143" s="110">
        <v>334.35655200000002</v>
      </c>
      <c r="W143" s="110">
        <v>155.035946</v>
      </c>
      <c r="AC143" s="386"/>
      <c r="AD143" s="62"/>
      <c r="AE143" s="62"/>
      <c r="AF143" s="62"/>
      <c r="AG143" s="62"/>
      <c r="AH143" s="62"/>
      <c r="AI143" s="62"/>
      <c r="AJ143" s="62"/>
      <c r="AK143" s="62"/>
      <c r="AL143" s="62"/>
      <c r="AM143" s="62"/>
      <c r="AN143" s="62"/>
      <c r="AO143" s="344"/>
      <c r="AP143" s="344"/>
      <c r="AQ143" s="344"/>
      <c r="AR143" s="344"/>
      <c r="AS143" s="344"/>
      <c r="AT143" s="344"/>
      <c r="AU143" s="344"/>
      <c r="AV143" s="344"/>
      <c r="AW143" s="344"/>
      <c r="AX143" s="358"/>
      <c r="BA143" s="406" t="s">
        <v>1089</v>
      </c>
      <c r="BB143" s="344"/>
      <c r="BC143" s="344"/>
      <c r="BD143" s="344"/>
      <c r="BE143" s="344"/>
      <c r="BF143" s="344"/>
      <c r="BG143" s="344"/>
      <c r="BH143" s="344"/>
      <c r="BI143" s="344"/>
      <c r="BJ143" s="344"/>
      <c r="BK143" s="344"/>
      <c r="BL143" s="331"/>
    </row>
    <row r="144" spans="2:69" ht="15.75" x14ac:dyDescent="0.25">
      <c r="B144" s="164" t="s">
        <v>504</v>
      </c>
      <c r="C144" s="111">
        <v>8.0989020000000007</v>
      </c>
      <c r="D144" s="111">
        <v>6.8544359999999998</v>
      </c>
      <c r="E144" s="111">
        <v>7.3204339999999997</v>
      </c>
      <c r="F144" s="111">
        <v>6.8019350000000003</v>
      </c>
      <c r="G144" s="111">
        <v>7.2434960000000004</v>
      </c>
      <c r="H144" s="111">
        <v>7.8754200000000001</v>
      </c>
      <c r="I144" s="111">
        <v>7.2072960000000004</v>
      </c>
      <c r="J144" s="111">
        <v>5.9038199999999996</v>
      </c>
      <c r="K144" s="111">
        <v>4.9389120000000002</v>
      </c>
      <c r="L144" s="111">
        <v>4.4510059999999996</v>
      </c>
      <c r="M144" s="111">
        <v>5.289752</v>
      </c>
      <c r="N144" s="111">
        <v>5.4529540000000001</v>
      </c>
      <c r="O144" s="111">
        <v>6.1228499999999997</v>
      </c>
      <c r="P144" s="111">
        <v>6.322025</v>
      </c>
      <c r="Q144" s="111">
        <v>6.2476750000000001</v>
      </c>
      <c r="R144" s="111">
        <v>5.5895400000000004</v>
      </c>
      <c r="S144" s="111">
        <v>5.9700410000000002</v>
      </c>
      <c r="T144" s="111">
        <v>7.0668249999999997</v>
      </c>
      <c r="U144" s="111">
        <v>7.9517749999999996</v>
      </c>
      <c r="V144" s="111">
        <v>7.6613040000000003</v>
      </c>
      <c r="W144" s="111">
        <v>9.4533780000000007</v>
      </c>
      <c r="AC144" s="411" t="s">
        <v>966</v>
      </c>
      <c r="AD144" s="62"/>
      <c r="AE144" s="62"/>
      <c r="AF144" s="62"/>
      <c r="AG144" s="344"/>
      <c r="AH144" s="344"/>
      <c r="AI144" s="344"/>
      <c r="AJ144" s="344"/>
      <c r="AK144" s="344"/>
      <c r="AL144" s="412" t="s">
        <v>1146</v>
      </c>
      <c r="AM144" s="344"/>
      <c r="AN144" s="344"/>
      <c r="AO144" s="344"/>
      <c r="AP144" s="344"/>
      <c r="AQ144" s="344"/>
      <c r="AR144" s="344"/>
      <c r="AS144" s="344"/>
      <c r="AT144" s="344"/>
      <c r="AU144" s="344"/>
      <c r="AV144" s="344"/>
      <c r="AW144" s="344"/>
      <c r="AX144" s="358"/>
      <c r="BA144" s="319" t="s">
        <v>230</v>
      </c>
      <c r="BB144">
        <v>2030</v>
      </c>
      <c r="BC144" s="460">
        <v>300</v>
      </c>
      <c r="BD144" s="67">
        <v>2244</v>
      </c>
      <c r="BE144" s="328">
        <v>584988</v>
      </c>
      <c r="BF144" s="69">
        <v>2.4</v>
      </c>
      <c r="BG144" s="67">
        <v>0.1</v>
      </c>
      <c r="BH144" s="69">
        <v>0.31</v>
      </c>
      <c r="BI144" s="328">
        <v>508479</v>
      </c>
      <c r="BJ144" s="457">
        <v>9.5000000000000001E-2</v>
      </c>
      <c r="BK144" s="62">
        <v>500000</v>
      </c>
      <c r="BL144" s="331">
        <v>1.42</v>
      </c>
    </row>
    <row r="145" spans="2:64" ht="15.75" thickBot="1" x14ac:dyDescent="0.3">
      <c r="B145" s="176" t="s">
        <v>51</v>
      </c>
      <c r="C145" s="110">
        <v>2.9943999999999998E-2</v>
      </c>
      <c r="D145" s="110">
        <v>3.5352000000000001E-2</v>
      </c>
      <c r="E145" s="110">
        <v>3.6138000000000003E-2</v>
      </c>
      <c r="F145" s="110">
        <v>3.3634999999999998E-2</v>
      </c>
      <c r="G145" s="110">
        <v>3.1348000000000001E-2</v>
      </c>
      <c r="H145" s="110">
        <v>3.6119999999999999E-2</v>
      </c>
      <c r="I145" s="110">
        <v>3.184E-2</v>
      </c>
      <c r="J145" s="110">
        <v>3.7421999999999997E-2</v>
      </c>
      <c r="K145" s="110">
        <v>3.1800000000000002E-2</v>
      </c>
      <c r="L145" s="110">
        <v>2.6450000000000001E-2</v>
      </c>
      <c r="M145" s="110">
        <v>2.6806E-2</v>
      </c>
      <c r="N145" s="110">
        <v>2.9016E-2</v>
      </c>
      <c r="O145" s="110">
        <v>3.6525000000000002E-2</v>
      </c>
      <c r="P145" s="110">
        <v>2.29E-2</v>
      </c>
      <c r="Q145" s="110">
        <v>3.3674999999999997E-2</v>
      </c>
      <c r="R145" s="110">
        <v>3.7026000000000003E-2</v>
      </c>
      <c r="S145" s="110">
        <v>4.002E-2</v>
      </c>
      <c r="T145" s="110">
        <v>4.9299999999999997E-2</v>
      </c>
      <c r="U145" s="110">
        <v>4.1724999999999998E-2</v>
      </c>
      <c r="V145" s="110">
        <v>4.7856000000000003E-2</v>
      </c>
      <c r="W145" s="110">
        <v>9.3324000000000004E-2</v>
      </c>
      <c r="AC145" s="413" t="s">
        <v>967</v>
      </c>
      <c r="AD145" s="233" t="s">
        <v>970</v>
      </c>
      <c r="AE145" s="62"/>
      <c r="AF145" s="62"/>
      <c r="AG145" s="344"/>
      <c r="AH145" s="344"/>
      <c r="AI145" s="344"/>
      <c r="AJ145" s="344"/>
      <c r="AK145" s="344"/>
      <c r="AL145" s="895" t="s">
        <v>94</v>
      </c>
      <c r="AM145" s="880" t="s">
        <v>1126</v>
      </c>
      <c r="AN145" s="880"/>
      <c r="AO145" s="880"/>
      <c r="AP145" s="889" t="s">
        <v>1141</v>
      </c>
      <c r="AQ145" s="891" t="s">
        <v>1142</v>
      </c>
      <c r="AR145" s="893" t="s">
        <v>1143</v>
      </c>
      <c r="AS145" s="344"/>
      <c r="AT145" s="344"/>
      <c r="AU145" s="344"/>
      <c r="AV145" s="344"/>
      <c r="AW145" s="344"/>
      <c r="AX145" s="358"/>
      <c r="BA145" s="319"/>
      <c r="BB145" s="397">
        <v>2050</v>
      </c>
      <c r="BC145" s="464">
        <v>300</v>
      </c>
      <c r="BD145" s="429">
        <v>1870</v>
      </c>
      <c r="BE145" s="328">
        <v>227080</v>
      </c>
      <c r="BF145" s="453">
        <v>2</v>
      </c>
      <c r="BG145" s="429">
        <v>0.1</v>
      </c>
      <c r="BH145" s="453">
        <v>0.26</v>
      </c>
      <c r="BI145" s="328">
        <v>178990</v>
      </c>
      <c r="BJ145" s="457">
        <v>9.5000000000000001E-2</v>
      </c>
      <c r="BK145" s="62">
        <v>500000</v>
      </c>
      <c r="BL145" s="331">
        <v>0.71</v>
      </c>
    </row>
    <row r="146" spans="2:64" ht="16.5" thickTop="1" thickBot="1" x14ac:dyDescent="0.3">
      <c r="B146" s="174" t="s">
        <v>52</v>
      </c>
      <c r="C146" s="110">
        <v>8.0689580000000003</v>
      </c>
      <c r="D146" s="110">
        <v>6.8190840000000001</v>
      </c>
      <c r="E146" s="110">
        <v>7.2842960000000003</v>
      </c>
      <c r="F146" s="110">
        <v>6.7683</v>
      </c>
      <c r="G146" s="110">
        <v>7.212148</v>
      </c>
      <c r="H146" s="110">
        <v>7.8392999999999997</v>
      </c>
      <c r="I146" s="110">
        <v>7.1754559999999996</v>
      </c>
      <c r="J146" s="110">
        <v>5.8663980000000002</v>
      </c>
      <c r="K146" s="110">
        <v>4.9071119999999997</v>
      </c>
      <c r="L146" s="110">
        <v>4.4245559999999999</v>
      </c>
      <c r="M146" s="110">
        <v>5.2629460000000003</v>
      </c>
      <c r="N146" s="110">
        <v>5.4239379999999997</v>
      </c>
      <c r="O146" s="110">
        <v>6.0863250000000004</v>
      </c>
      <c r="P146" s="110">
        <v>6.2991250000000001</v>
      </c>
      <c r="Q146" s="110">
        <v>6.2140000000000004</v>
      </c>
      <c r="R146" s="110">
        <v>5.5525140000000004</v>
      </c>
      <c r="S146" s="110">
        <v>5.930021</v>
      </c>
      <c r="T146" s="110">
        <v>7.017525</v>
      </c>
      <c r="U146" s="110">
        <v>7.91005</v>
      </c>
      <c r="V146" s="110">
        <v>7.613448</v>
      </c>
      <c r="W146" s="110">
        <v>9.3600539999999999</v>
      </c>
      <c r="AC146" s="414" t="s">
        <v>968</v>
      </c>
      <c r="AD146" s="415">
        <v>265</v>
      </c>
      <c r="AE146" s="62"/>
      <c r="AF146" s="62"/>
      <c r="AG146" s="344"/>
      <c r="AH146" s="344"/>
      <c r="AI146" s="344"/>
      <c r="AJ146" s="344"/>
      <c r="AK146" s="344"/>
      <c r="AL146" s="896"/>
      <c r="AM146" s="278" t="s">
        <v>1139</v>
      </c>
      <c r="AN146" s="278" t="s">
        <v>1140</v>
      </c>
      <c r="AO146" s="278" t="s">
        <v>1127</v>
      </c>
      <c r="AP146" s="890"/>
      <c r="AQ146" s="892"/>
      <c r="AR146" s="894"/>
      <c r="AS146" s="344"/>
      <c r="AT146" s="344"/>
      <c r="AU146" s="344"/>
      <c r="AV146" s="344"/>
      <c r="AW146" s="344"/>
      <c r="AX146" s="358"/>
      <c r="BA146" s="319" t="s">
        <v>496</v>
      </c>
      <c r="BB146" s="397">
        <v>2030</v>
      </c>
      <c r="BC146" s="464">
        <v>600</v>
      </c>
      <c r="BD146" s="429">
        <v>144</v>
      </c>
      <c r="BE146" s="328">
        <v>249900</v>
      </c>
      <c r="BF146" s="453">
        <v>0.15</v>
      </c>
      <c r="BG146" s="429">
        <v>5</v>
      </c>
      <c r="BH146" s="453">
        <v>0.98</v>
      </c>
      <c r="BI146" s="328">
        <v>124950</v>
      </c>
      <c r="BJ146" s="457">
        <v>9.5000000000000001E-2</v>
      </c>
      <c r="BK146" s="62">
        <v>500000</v>
      </c>
      <c r="BL146" s="331">
        <v>1.32</v>
      </c>
    </row>
    <row r="147" spans="2:64" ht="15.75" thickTop="1" x14ac:dyDescent="0.25">
      <c r="B147" s="164" t="s">
        <v>270</v>
      </c>
      <c r="C147" s="84">
        <v>2.9738790000000002</v>
      </c>
      <c r="D147" s="84">
        <v>2.9605899999999998</v>
      </c>
      <c r="E147" s="84">
        <v>2.7514850000000002</v>
      </c>
      <c r="F147" s="84">
        <v>2.6077520000000001</v>
      </c>
      <c r="G147" s="84">
        <v>2.5421640000000001</v>
      </c>
      <c r="H147" s="84">
        <v>2.6679020000000002</v>
      </c>
      <c r="I147" s="84">
        <v>2.698356</v>
      </c>
      <c r="J147" s="84">
        <v>2.804297</v>
      </c>
      <c r="K147" s="84">
        <v>3.1523699999999999</v>
      </c>
      <c r="L147" s="84">
        <v>2.9941330000000002</v>
      </c>
      <c r="M147" s="84">
        <v>2.4718110000000002</v>
      </c>
      <c r="N147" s="84">
        <v>2.7631039999999998</v>
      </c>
      <c r="O147" s="84">
        <v>2.3788140000000002</v>
      </c>
      <c r="P147" s="84">
        <v>2.0995949999999999</v>
      </c>
      <c r="Q147" s="84">
        <v>1.983339</v>
      </c>
      <c r="R147" s="84">
        <v>1.9997039999999999</v>
      </c>
      <c r="S147" s="84">
        <v>2.021169</v>
      </c>
      <c r="T147" s="84">
        <v>2.2855829999999999</v>
      </c>
      <c r="U147" s="84">
        <v>2.2334329999999998</v>
      </c>
      <c r="V147" s="84">
        <v>2.2888579999999998</v>
      </c>
      <c r="W147" s="84">
        <v>1.0934330000000001</v>
      </c>
      <c r="AC147" s="416" t="s">
        <v>969</v>
      </c>
      <c r="AD147" s="62"/>
      <c r="AE147" s="62"/>
      <c r="AF147" s="62"/>
      <c r="AG147" s="344"/>
      <c r="AH147" s="344"/>
      <c r="AI147" s="344"/>
      <c r="AJ147" s="344"/>
      <c r="AK147" s="344"/>
      <c r="AL147" s="13" t="s">
        <v>1128</v>
      </c>
      <c r="AM147" s="344"/>
      <c r="AN147" s="344"/>
      <c r="AO147" s="344"/>
      <c r="AP147" s="344"/>
      <c r="AQ147" s="344"/>
      <c r="AR147" s="280"/>
      <c r="AS147" s="344"/>
      <c r="AT147" s="344"/>
      <c r="AU147" s="344"/>
      <c r="AV147" s="344"/>
      <c r="AW147" s="344"/>
      <c r="AX147" s="358"/>
      <c r="BA147" s="319"/>
      <c r="BB147" s="397">
        <v>2050</v>
      </c>
      <c r="BC147" s="464">
        <v>600</v>
      </c>
      <c r="BD147" s="429">
        <v>105.6</v>
      </c>
      <c r="BE147" s="328">
        <v>157988</v>
      </c>
      <c r="BF147" s="453">
        <v>0.11</v>
      </c>
      <c r="BG147" s="429">
        <v>5</v>
      </c>
      <c r="BH147" s="453">
        <v>0.72</v>
      </c>
      <c r="BI147" s="328">
        <v>78994</v>
      </c>
      <c r="BJ147" s="457">
        <v>9.5000000000000001E-2</v>
      </c>
      <c r="BK147" s="62">
        <v>500000</v>
      </c>
      <c r="BL147" s="331">
        <v>0.97</v>
      </c>
    </row>
    <row r="148" spans="2:64" x14ac:dyDescent="0.25">
      <c r="B148" s="164" t="s">
        <v>271</v>
      </c>
      <c r="C148" s="84">
        <v>81.506120999999993</v>
      </c>
      <c r="D148" s="84">
        <v>80.741410000000002</v>
      </c>
      <c r="E148" s="84">
        <v>73.478515000000002</v>
      </c>
      <c r="F148" s="84">
        <v>74.353247999999994</v>
      </c>
      <c r="G148" s="84">
        <v>76.596835999999996</v>
      </c>
      <c r="H148" s="84">
        <v>81.603098000000003</v>
      </c>
      <c r="I148" s="84">
        <v>85.544644000000005</v>
      </c>
      <c r="J148" s="84">
        <v>91.677702999999994</v>
      </c>
      <c r="K148" s="84">
        <v>96.581630000000004</v>
      </c>
      <c r="L148" s="84">
        <v>82.259867</v>
      </c>
      <c r="M148" s="84">
        <v>81.147188999999997</v>
      </c>
      <c r="N148" s="84">
        <v>91.477896000000001</v>
      </c>
      <c r="O148" s="84">
        <v>94.089185999999998</v>
      </c>
      <c r="P148" s="84">
        <v>90.819405000000003</v>
      </c>
      <c r="Q148" s="84">
        <v>93.194660999999996</v>
      </c>
      <c r="R148" s="84">
        <v>88.665295999999998</v>
      </c>
      <c r="S148" s="84">
        <v>81.289831000000007</v>
      </c>
      <c r="T148" s="84">
        <v>93.066417000000001</v>
      </c>
      <c r="U148" s="84">
        <v>95.162566999999996</v>
      </c>
      <c r="V148" s="84">
        <v>95.827141999999995</v>
      </c>
      <c r="W148" s="84">
        <v>90.463566999999998</v>
      </c>
      <c r="AC148" s="417"/>
      <c r="AD148" s="62"/>
      <c r="AE148" s="62"/>
      <c r="AF148" s="62"/>
      <c r="AG148" s="344"/>
      <c r="AH148" s="344"/>
      <c r="AI148" s="344"/>
      <c r="AJ148" s="344"/>
      <c r="AK148" s="344"/>
      <c r="AL148" s="418" t="s">
        <v>1129</v>
      </c>
      <c r="AM148" s="419">
        <v>3389.8</v>
      </c>
      <c r="AN148" s="419">
        <v>213.6</v>
      </c>
      <c r="AO148" s="419">
        <v>435.7</v>
      </c>
      <c r="AP148" s="419">
        <v>30729.3</v>
      </c>
      <c r="AQ148" s="419">
        <v>3597.1</v>
      </c>
      <c r="AR148" s="235">
        <f>SUM(AM148:AP148)-AQ148</f>
        <v>31171.300000000003</v>
      </c>
      <c r="AS148" s="344"/>
      <c r="AT148" s="344"/>
      <c r="AU148" s="344"/>
      <c r="AV148" s="344"/>
      <c r="AW148" s="344"/>
      <c r="AX148" s="358"/>
      <c r="BA148" s="319" t="s">
        <v>1077</v>
      </c>
      <c r="BB148" s="397"/>
      <c r="BC148" s="464"/>
      <c r="BD148" s="429"/>
      <c r="BE148" s="328">
        <v>134000</v>
      </c>
      <c r="BF148" s="453">
        <v>8.6999999999999993</v>
      </c>
      <c r="BG148" s="429">
        <v>4</v>
      </c>
      <c r="BH148" s="453">
        <v>0.46</v>
      </c>
      <c r="BI148" s="328">
        <v>67000</v>
      </c>
      <c r="BJ148" s="457">
        <v>0.19</v>
      </c>
      <c r="BK148" s="62">
        <v>500000</v>
      </c>
      <c r="BL148" s="331">
        <v>0.78</v>
      </c>
    </row>
    <row r="149" spans="2:64" ht="15.75" x14ac:dyDescent="0.25">
      <c r="B149" s="164" t="s">
        <v>60</v>
      </c>
      <c r="C149" s="84">
        <v>108.2</v>
      </c>
      <c r="D149" s="84">
        <v>116.7</v>
      </c>
      <c r="E149" s="84">
        <v>112</v>
      </c>
      <c r="F149" s="84">
        <v>112.7</v>
      </c>
      <c r="G149" s="84">
        <v>125.1</v>
      </c>
      <c r="H149" s="84">
        <v>128.1</v>
      </c>
      <c r="I149" s="84">
        <v>113</v>
      </c>
      <c r="J149" s="84">
        <v>125.7</v>
      </c>
      <c r="K149" s="84">
        <v>122.2</v>
      </c>
      <c r="L149" s="84">
        <v>118</v>
      </c>
      <c r="M149" s="84">
        <v>122.3</v>
      </c>
      <c r="N149" s="84">
        <v>98.5</v>
      </c>
      <c r="O149" s="84">
        <v>94.4</v>
      </c>
      <c r="P149" s="84">
        <v>89</v>
      </c>
      <c r="Q149" s="84">
        <v>80.099999999999994</v>
      </c>
      <c r="R149" s="84">
        <v>73.3</v>
      </c>
      <c r="S149" s="84">
        <v>64.7</v>
      </c>
      <c r="T149" s="84">
        <v>69.8</v>
      </c>
      <c r="U149" s="84">
        <v>72.3</v>
      </c>
      <c r="V149" s="84">
        <v>82.7</v>
      </c>
      <c r="W149" s="84">
        <v>74</v>
      </c>
      <c r="AC149" s="411" t="s">
        <v>977</v>
      </c>
      <c r="AD149" s="62"/>
      <c r="AE149" s="62"/>
      <c r="AF149" s="62"/>
      <c r="AG149" s="344"/>
      <c r="AH149" s="344"/>
      <c r="AI149" s="344"/>
      <c r="AJ149" s="344"/>
      <c r="AK149" s="344"/>
      <c r="AL149" s="418" t="s">
        <v>1130</v>
      </c>
      <c r="AM149" s="419">
        <v>114.7</v>
      </c>
      <c r="AN149" s="419">
        <v>0.3</v>
      </c>
      <c r="AO149" s="419">
        <v>2.4</v>
      </c>
      <c r="AP149" s="419">
        <v>783.8</v>
      </c>
      <c r="AQ149" s="419">
        <v>40.299999999999997</v>
      </c>
      <c r="AR149" s="235">
        <f t="shared" ref="AR149:AR152" si="10">SUM(AM149:AP149)-AQ149</f>
        <v>860.9</v>
      </c>
      <c r="AS149" s="344"/>
      <c r="AT149" s="344"/>
      <c r="AU149" s="344"/>
      <c r="AV149" s="344"/>
      <c r="AW149" s="344"/>
      <c r="AX149" s="358"/>
      <c r="BA149" s="406" t="s">
        <v>1090</v>
      </c>
      <c r="BB149" s="344"/>
      <c r="BC149" s="344"/>
      <c r="BD149" s="344"/>
      <c r="BE149" s="344"/>
      <c r="BF149" s="344"/>
      <c r="BG149" s="344"/>
      <c r="BH149" s="344"/>
      <c r="BI149" s="344"/>
      <c r="BJ149" s="344"/>
      <c r="BK149" s="344"/>
      <c r="BL149" s="331"/>
    </row>
    <row r="150" spans="2:64" ht="15.75" thickBot="1" x14ac:dyDescent="0.3">
      <c r="B150" s="172" t="s">
        <v>13</v>
      </c>
      <c r="C150" s="69">
        <v>46.8</v>
      </c>
      <c r="D150" s="69">
        <v>46.4</v>
      </c>
      <c r="E150" s="69">
        <v>46.3</v>
      </c>
      <c r="F150" s="69">
        <v>37.1</v>
      </c>
      <c r="G150" s="69">
        <v>46.2</v>
      </c>
      <c r="H150" s="69">
        <v>45.1</v>
      </c>
      <c r="I150" s="69">
        <v>44.3</v>
      </c>
      <c r="J150" s="69">
        <v>41.2</v>
      </c>
      <c r="K150" s="69">
        <v>37.299999999999997</v>
      </c>
      <c r="L150" s="69">
        <v>31</v>
      </c>
      <c r="M150" s="69">
        <v>36.200000000000003</v>
      </c>
      <c r="N150" s="69">
        <v>37.4</v>
      </c>
      <c r="O150" s="69">
        <v>31.6</v>
      </c>
      <c r="P150" s="69">
        <v>29.6</v>
      </c>
      <c r="Q150" s="69">
        <v>29.3</v>
      </c>
      <c r="R150" s="69">
        <v>32.6</v>
      </c>
      <c r="S150" s="69">
        <v>33.4</v>
      </c>
      <c r="T150" s="69">
        <v>33.1</v>
      </c>
      <c r="U150" s="69">
        <v>33.5</v>
      </c>
      <c r="V150" s="69">
        <v>38</v>
      </c>
      <c r="W150" s="69">
        <v>38.799999999999997</v>
      </c>
      <c r="AC150" s="413" t="s">
        <v>980</v>
      </c>
      <c r="AD150" s="86">
        <v>2005</v>
      </c>
      <c r="AE150" s="86">
        <v>2006</v>
      </c>
      <c r="AF150" s="86">
        <v>2007</v>
      </c>
      <c r="AG150" s="86">
        <v>2008</v>
      </c>
      <c r="AH150" s="86">
        <v>2009</v>
      </c>
      <c r="AI150" s="86">
        <v>2010</v>
      </c>
      <c r="AJ150" s="86">
        <v>2011</v>
      </c>
      <c r="AK150" s="62"/>
      <c r="AL150" s="418" t="s">
        <v>1131</v>
      </c>
      <c r="AM150" s="419">
        <v>64.099999999999994</v>
      </c>
      <c r="AN150" s="419">
        <v>28.9</v>
      </c>
      <c r="AO150" s="419">
        <v>14.8</v>
      </c>
      <c r="AP150" s="419">
        <v>364.3</v>
      </c>
      <c r="AQ150" s="419">
        <v>63.6</v>
      </c>
      <c r="AR150" s="235">
        <f t="shared" si="10"/>
        <v>408.5</v>
      </c>
      <c r="AS150" s="344"/>
      <c r="AT150" s="344"/>
      <c r="AU150" s="344"/>
      <c r="AV150" s="344"/>
      <c r="AW150" s="344"/>
      <c r="AX150" s="358"/>
      <c r="BA150" s="319" t="s">
        <v>230</v>
      </c>
      <c r="BB150" s="397">
        <v>2030</v>
      </c>
      <c r="BC150" s="464">
        <v>150</v>
      </c>
      <c r="BD150" s="429">
        <v>654</v>
      </c>
      <c r="BE150" s="328">
        <v>335349</v>
      </c>
      <c r="BF150" s="453">
        <v>2.33</v>
      </c>
      <c r="BG150" s="429">
        <v>0.1</v>
      </c>
      <c r="BH150" s="453">
        <v>0.3</v>
      </c>
      <c r="BI150" s="328">
        <v>230580</v>
      </c>
      <c r="BJ150" s="457">
        <v>9.5000000000000001E-2</v>
      </c>
      <c r="BK150" s="62">
        <v>325000</v>
      </c>
      <c r="BL150" s="331">
        <v>1.1100000000000001</v>
      </c>
    </row>
    <row r="151" spans="2:64" ht="15.75" thickTop="1" x14ac:dyDescent="0.25">
      <c r="B151" s="172" t="s">
        <v>58</v>
      </c>
      <c r="C151" s="69">
        <v>61.4</v>
      </c>
      <c r="D151" s="69">
        <v>70.3</v>
      </c>
      <c r="E151" s="69">
        <v>65.7</v>
      </c>
      <c r="F151" s="69">
        <v>75.7</v>
      </c>
      <c r="G151" s="69">
        <v>78.8</v>
      </c>
      <c r="H151" s="69">
        <v>83</v>
      </c>
      <c r="I151" s="69">
        <v>68.7</v>
      </c>
      <c r="J151" s="69">
        <v>84.4</v>
      </c>
      <c r="K151" s="69">
        <v>84.9</v>
      </c>
      <c r="L151" s="69">
        <v>87</v>
      </c>
      <c r="M151" s="69">
        <v>86.1</v>
      </c>
      <c r="N151" s="69">
        <v>61.2</v>
      </c>
      <c r="O151" s="69">
        <v>62.8</v>
      </c>
      <c r="P151" s="69">
        <v>59.4</v>
      </c>
      <c r="Q151" s="69">
        <v>50.8</v>
      </c>
      <c r="R151" s="69">
        <v>40.799999999999997</v>
      </c>
      <c r="S151" s="69">
        <v>31.3</v>
      </c>
      <c r="T151" s="69">
        <v>36.700000000000003</v>
      </c>
      <c r="U151" s="69">
        <v>38.799999999999997</v>
      </c>
      <c r="V151" s="69">
        <v>44.7</v>
      </c>
      <c r="W151" s="69">
        <v>35.200000000000003</v>
      </c>
      <c r="AC151" s="420" t="s">
        <v>982</v>
      </c>
      <c r="AD151" s="419">
        <v>50.9</v>
      </c>
      <c r="AE151" s="419">
        <v>54.7</v>
      </c>
      <c r="AF151" s="419">
        <v>57</v>
      </c>
      <c r="AG151" s="419">
        <v>55.8</v>
      </c>
      <c r="AH151" s="419">
        <v>44.5</v>
      </c>
      <c r="AI151" s="419">
        <v>47.8</v>
      </c>
      <c r="AJ151" s="419">
        <v>51</v>
      </c>
      <c r="AK151" s="62"/>
      <c r="AL151" s="418" t="s">
        <v>1132</v>
      </c>
      <c r="AM151" s="419"/>
      <c r="AN151" s="419"/>
      <c r="AO151" s="419"/>
      <c r="AP151" s="419">
        <v>625.9</v>
      </c>
      <c r="AQ151" s="419"/>
      <c r="AR151" s="235">
        <f t="shared" si="10"/>
        <v>625.9</v>
      </c>
      <c r="AS151" s="344"/>
      <c r="AT151" s="344"/>
      <c r="AU151" s="344"/>
      <c r="AV151" s="344"/>
      <c r="AW151" s="344"/>
      <c r="AX151" s="358"/>
      <c r="BA151" s="319"/>
      <c r="BB151" s="397">
        <v>2050</v>
      </c>
      <c r="BC151" s="464">
        <v>150</v>
      </c>
      <c r="BD151" s="429">
        <v>589</v>
      </c>
      <c r="BE151" s="328">
        <v>164641</v>
      </c>
      <c r="BF151" s="453">
        <v>2.1</v>
      </c>
      <c r="BG151" s="429">
        <v>0.1</v>
      </c>
      <c r="BH151" s="453">
        <v>0.27</v>
      </c>
      <c r="BI151" s="328">
        <v>102937</v>
      </c>
      <c r="BJ151" s="457">
        <v>9.5000000000000001E-2</v>
      </c>
      <c r="BK151" s="62">
        <v>325000</v>
      </c>
      <c r="BL151" s="331">
        <v>0.68</v>
      </c>
    </row>
    <row r="152" spans="2:64" x14ac:dyDescent="0.25">
      <c r="B152" s="165" t="s">
        <v>272</v>
      </c>
      <c r="AC152" s="407" t="s">
        <v>978</v>
      </c>
      <c r="AD152" s="419">
        <v>23.6</v>
      </c>
      <c r="AE152" s="419">
        <v>24.1</v>
      </c>
      <c r="AF152" s="419">
        <v>28.4</v>
      </c>
      <c r="AG152" s="419">
        <v>26.9</v>
      </c>
      <c r="AH152" s="419">
        <v>22.3</v>
      </c>
      <c r="AI152" s="419">
        <v>23</v>
      </c>
      <c r="AJ152" s="419">
        <v>23</v>
      </c>
      <c r="AK152" s="62"/>
      <c r="AL152" s="418" t="s">
        <v>1133</v>
      </c>
      <c r="AM152" s="419">
        <v>871.7</v>
      </c>
      <c r="AN152" s="419">
        <v>1259.7</v>
      </c>
      <c r="AO152" s="419">
        <v>158.5</v>
      </c>
      <c r="AP152" s="419">
        <v>13913.2</v>
      </c>
      <c r="AQ152" s="419">
        <v>1552.5</v>
      </c>
      <c r="AR152" s="235">
        <f t="shared" si="10"/>
        <v>14650.6</v>
      </c>
      <c r="AS152" s="344"/>
      <c r="AT152" s="344"/>
      <c r="AU152" s="344"/>
      <c r="AV152" s="344"/>
      <c r="AW152" s="344"/>
      <c r="AX152" s="358"/>
      <c r="BA152" s="319" t="s">
        <v>496</v>
      </c>
      <c r="BB152" s="397">
        <v>2030</v>
      </c>
      <c r="BC152" s="464">
        <v>150</v>
      </c>
      <c r="BD152" s="429">
        <v>30.96</v>
      </c>
      <c r="BE152" s="328">
        <v>202112</v>
      </c>
      <c r="BF152" s="453">
        <v>0.129</v>
      </c>
      <c r="BG152" s="429">
        <v>5</v>
      </c>
      <c r="BH152" s="453">
        <v>0.84</v>
      </c>
      <c r="BI152" s="328">
        <v>101056</v>
      </c>
      <c r="BJ152" s="457">
        <v>9.5000000000000001E-2</v>
      </c>
      <c r="BK152" s="62">
        <v>325000</v>
      </c>
      <c r="BL152" s="331">
        <v>1.24</v>
      </c>
    </row>
    <row r="153" spans="2:64" x14ac:dyDescent="0.25">
      <c r="AC153" s="421" t="s">
        <v>979</v>
      </c>
      <c r="AD153" s="422">
        <v>5</v>
      </c>
      <c r="AE153" s="422">
        <v>5.0999999999999996</v>
      </c>
      <c r="AF153" s="422">
        <v>4.7</v>
      </c>
      <c r="AG153" s="422">
        <v>5.2</v>
      </c>
      <c r="AH153" s="422">
        <v>4.7</v>
      </c>
      <c r="AI153" s="422">
        <v>4.4000000000000004</v>
      </c>
      <c r="AJ153" s="422">
        <v>4.4000000000000004</v>
      </c>
      <c r="AK153" s="62"/>
      <c r="AL153" s="418" t="s">
        <v>1134</v>
      </c>
      <c r="AM153" s="419">
        <f>SUM(AM148:AM152)</f>
        <v>4440.3</v>
      </c>
      <c r="AN153" s="419">
        <f t="shared" ref="AN153:AR153" si="11">SUM(AN148:AN152)</f>
        <v>1502.5</v>
      </c>
      <c r="AO153" s="419">
        <f t="shared" si="11"/>
        <v>611.4</v>
      </c>
      <c r="AP153" s="419">
        <f t="shared" si="11"/>
        <v>46416.5</v>
      </c>
      <c r="AQ153" s="419">
        <f t="shared" si="11"/>
        <v>5253.5</v>
      </c>
      <c r="AR153" s="235">
        <f t="shared" si="11"/>
        <v>47717.200000000004</v>
      </c>
      <c r="AS153" s="344"/>
      <c r="AT153" s="344"/>
      <c r="AU153" s="344"/>
      <c r="AV153" s="344"/>
      <c r="AW153" s="344"/>
      <c r="AX153" s="358"/>
      <c r="BA153" s="319"/>
      <c r="BB153" s="397">
        <v>2050</v>
      </c>
      <c r="BC153" s="464">
        <v>150</v>
      </c>
      <c r="BD153" s="429">
        <v>27.84</v>
      </c>
      <c r="BE153" s="328">
        <v>135503</v>
      </c>
      <c r="BF153" s="453">
        <v>0.11600000000000001</v>
      </c>
      <c r="BG153" s="429">
        <v>5</v>
      </c>
      <c r="BH153" s="453">
        <v>0.75</v>
      </c>
      <c r="BI153" s="328">
        <v>67752</v>
      </c>
      <c r="BJ153" s="457">
        <v>9.5000000000000001E-2</v>
      </c>
      <c r="BK153" s="62">
        <v>325000</v>
      </c>
      <c r="BL153" s="331">
        <v>1.06</v>
      </c>
    </row>
    <row r="154" spans="2:64" ht="15.75" x14ac:dyDescent="0.25">
      <c r="B154" s="177" t="s">
        <v>1205</v>
      </c>
      <c r="C154" s="177"/>
      <c r="D154" s="177"/>
      <c r="E154" s="177"/>
      <c r="F154" s="177"/>
      <c r="G154" s="177"/>
      <c r="H154" s="177"/>
      <c r="I154" s="177"/>
      <c r="J154" s="177"/>
      <c r="K154" s="177"/>
      <c r="L154" s="177"/>
      <c r="M154" s="177"/>
      <c r="N154" s="177"/>
      <c r="O154" s="177"/>
      <c r="P154" s="177"/>
      <c r="Q154" s="177"/>
      <c r="R154" s="177"/>
      <c r="S154" s="177"/>
      <c r="T154" s="177"/>
      <c r="U154" s="177"/>
      <c r="V154" s="177"/>
      <c r="W154" s="177"/>
      <c r="AC154" s="407" t="s">
        <v>981</v>
      </c>
      <c r="AD154" s="419">
        <v>22.3</v>
      </c>
      <c r="AE154" s="419">
        <v>25.6</v>
      </c>
      <c r="AF154" s="419">
        <v>23.9</v>
      </c>
      <c r="AG154" s="419">
        <v>23.7</v>
      </c>
      <c r="AH154" s="419">
        <v>17.600000000000001</v>
      </c>
      <c r="AI154" s="419">
        <v>20.399999999999999</v>
      </c>
      <c r="AJ154" s="419">
        <v>23.6</v>
      </c>
      <c r="AK154" s="62"/>
      <c r="AL154" s="13" t="s">
        <v>1135</v>
      </c>
      <c r="AM154" s="419"/>
      <c r="AN154" s="419"/>
      <c r="AO154" s="419"/>
      <c r="AP154" s="419"/>
      <c r="AQ154" s="419"/>
      <c r="AR154" s="235"/>
      <c r="AS154" s="344"/>
      <c r="AT154" s="344"/>
      <c r="AU154" s="344"/>
      <c r="AV154" s="344"/>
      <c r="AW154" s="344"/>
      <c r="AX154" s="358"/>
      <c r="BA154" s="319" t="s">
        <v>1077</v>
      </c>
      <c r="BB154" s="397"/>
      <c r="BC154" s="464"/>
      <c r="BD154" s="429"/>
      <c r="BE154" s="328">
        <v>119000</v>
      </c>
      <c r="BF154" s="453">
        <v>8.1999999999999993</v>
      </c>
      <c r="BG154" s="429">
        <v>4</v>
      </c>
      <c r="BH154" s="453">
        <v>0.49</v>
      </c>
      <c r="BI154" s="328">
        <v>59500</v>
      </c>
      <c r="BJ154" s="457">
        <v>0.19</v>
      </c>
      <c r="BK154" s="62">
        <v>325000</v>
      </c>
      <c r="BL154" s="331">
        <v>0.86</v>
      </c>
    </row>
    <row r="155" spans="2:64" ht="15.75" thickBot="1" x14ac:dyDescent="0.3">
      <c r="B155" s="155"/>
      <c r="C155" s="9">
        <v>2000</v>
      </c>
      <c r="D155" s="10">
        <v>2001</v>
      </c>
      <c r="E155" s="10">
        <v>2002</v>
      </c>
      <c r="F155" s="10">
        <v>2003</v>
      </c>
      <c r="G155" s="10">
        <v>2004</v>
      </c>
      <c r="H155" s="10">
        <v>2005</v>
      </c>
      <c r="I155" s="10">
        <v>2006</v>
      </c>
      <c r="J155" s="10">
        <v>2007</v>
      </c>
      <c r="K155" s="10">
        <v>2008</v>
      </c>
      <c r="L155" s="10">
        <v>2009</v>
      </c>
      <c r="M155" s="10">
        <v>2010</v>
      </c>
      <c r="N155" s="10">
        <v>2011</v>
      </c>
      <c r="O155" s="10">
        <v>2012</v>
      </c>
      <c r="P155" s="10">
        <v>2013</v>
      </c>
      <c r="Q155" s="10">
        <v>2014</v>
      </c>
      <c r="R155" s="10">
        <v>2015</v>
      </c>
      <c r="S155" s="10">
        <v>2016</v>
      </c>
      <c r="T155" s="10">
        <v>2017</v>
      </c>
      <c r="U155" s="10">
        <v>2018</v>
      </c>
      <c r="V155" s="10">
        <v>2019</v>
      </c>
      <c r="W155" s="10">
        <v>2020</v>
      </c>
      <c r="AC155" s="386"/>
      <c r="AD155" s="62"/>
      <c r="AE155" s="62"/>
      <c r="AF155" s="62"/>
      <c r="AG155" s="62"/>
      <c r="AH155" s="62"/>
      <c r="AI155" s="62"/>
      <c r="AJ155" s="62"/>
      <c r="AK155" s="62"/>
      <c r="AL155" s="418" t="s">
        <v>1129</v>
      </c>
      <c r="AM155" s="419">
        <v>18122.8</v>
      </c>
      <c r="AN155" s="419">
        <v>632</v>
      </c>
      <c r="AO155" s="419">
        <v>5978.5</v>
      </c>
      <c r="AP155" s="419">
        <v>49997.8</v>
      </c>
      <c r="AQ155" s="419">
        <v>6074.4</v>
      </c>
      <c r="AR155" s="235">
        <f t="shared" ref="AR155:AR158" si="12">SUM(AM155:AP155)-AQ155</f>
        <v>68656.700000000012</v>
      </c>
      <c r="AS155" s="344"/>
      <c r="AT155" s="344"/>
      <c r="AU155" s="344"/>
      <c r="AV155" s="344"/>
      <c r="AW155" s="344"/>
      <c r="AX155" s="358"/>
      <c r="BA155" s="406" t="s">
        <v>1091</v>
      </c>
      <c r="BB155" s="344"/>
      <c r="BC155" s="344"/>
      <c r="BD155" s="344"/>
      <c r="BE155" s="344"/>
      <c r="BF155" s="344"/>
      <c r="BG155" s="344"/>
      <c r="BH155" s="344"/>
      <c r="BI155" s="344"/>
      <c r="BJ155" s="344"/>
      <c r="BK155" s="344"/>
      <c r="BL155" s="331"/>
    </row>
    <row r="156" spans="2:64" ht="16.5" thickTop="1" x14ac:dyDescent="0.25">
      <c r="B156" s="302" t="s">
        <v>25</v>
      </c>
      <c r="C156" s="304"/>
      <c r="AC156" s="423" t="s">
        <v>381</v>
      </c>
      <c r="AD156" s="178"/>
      <c r="AE156" s="178"/>
      <c r="AF156" s="178"/>
      <c r="AG156" s="178"/>
      <c r="AH156" s="178"/>
      <c r="AI156" s="178"/>
      <c r="AJ156" s="62"/>
      <c r="AK156" s="62"/>
      <c r="AL156" s="418" t="s">
        <v>243</v>
      </c>
      <c r="AM156" s="419">
        <v>477.5</v>
      </c>
      <c r="AN156" s="419">
        <v>0.9</v>
      </c>
      <c r="AO156" s="419">
        <v>21.8</v>
      </c>
      <c r="AP156" s="419">
        <v>2431.9</v>
      </c>
      <c r="AQ156" s="419">
        <v>110.2</v>
      </c>
      <c r="AR156" s="235">
        <f t="shared" si="12"/>
        <v>2821.9</v>
      </c>
      <c r="AS156" s="344"/>
      <c r="AT156" s="344"/>
      <c r="AU156" s="344"/>
      <c r="AV156" s="344"/>
      <c r="AW156" s="344"/>
      <c r="AX156" s="358"/>
      <c r="BA156" s="319" t="s">
        <v>230</v>
      </c>
      <c r="BB156" s="397">
        <v>2030</v>
      </c>
      <c r="BC156" s="464">
        <v>150</v>
      </c>
      <c r="BD156" s="429">
        <v>149</v>
      </c>
      <c r="BE156" s="328">
        <v>84403</v>
      </c>
      <c r="BF156" s="453">
        <v>0.53</v>
      </c>
      <c r="BG156" s="429">
        <v>0.1</v>
      </c>
      <c r="BH156" s="453">
        <v>7.0000000000000007E-2</v>
      </c>
      <c r="BI156" s="328">
        <v>52608</v>
      </c>
      <c r="BJ156" s="457">
        <v>0.14399999999999999</v>
      </c>
      <c r="BK156" s="62">
        <v>120000</v>
      </c>
      <c r="BL156" s="331">
        <v>0.65</v>
      </c>
    </row>
    <row r="157" spans="2:64" x14ac:dyDescent="0.25">
      <c r="B157" s="303" t="s">
        <v>1204</v>
      </c>
      <c r="C157" s="280">
        <v>610329.91516099998</v>
      </c>
      <c r="D157" s="3">
        <v>609099.67907099996</v>
      </c>
      <c r="E157" s="3">
        <v>628587.55218200001</v>
      </c>
      <c r="F157" s="3">
        <v>632682.50383199996</v>
      </c>
      <c r="G157" s="3">
        <v>643770.02142200002</v>
      </c>
      <c r="H157" s="3">
        <v>662697.64449500002</v>
      </c>
      <c r="I157" s="3">
        <v>668996.06638800004</v>
      </c>
      <c r="J157" s="3">
        <v>691707.16222699999</v>
      </c>
      <c r="K157" s="3">
        <v>691557.45216900005</v>
      </c>
      <c r="L157" s="3">
        <v>698109.736363</v>
      </c>
      <c r="M157" s="3">
        <v>725323.10762499995</v>
      </c>
      <c r="N157" s="3">
        <v>738015.35041499999</v>
      </c>
      <c r="O157" s="3">
        <v>742951.956335</v>
      </c>
      <c r="P157" s="3">
        <v>754191.15466500004</v>
      </c>
      <c r="Q157" s="3">
        <v>747728.760152</v>
      </c>
      <c r="R157" s="3">
        <v>771146.00021800003</v>
      </c>
      <c r="S157" s="3">
        <v>803596.99516799999</v>
      </c>
      <c r="T157" s="3">
        <v>832864.31588000001</v>
      </c>
      <c r="U157" s="3">
        <v>856971.94239900005</v>
      </c>
      <c r="V157" s="3">
        <v>873512.003211</v>
      </c>
      <c r="W157" s="3">
        <v>605491.74031200004</v>
      </c>
      <c r="AC157" s="424"/>
      <c r="AD157" s="884" t="s">
        <v>382</v>
      </c>
      <c r="AE157" s="885"/>
      <c r="AF157" s="886"/>
      <c r="AG157" s="884" t="s">
        <v>374</v>
      </c>
      <c r="AH157" s="885"/>
      <c r="AI157" s="885"/>
      <c r="AJ157" s="62"/>
      <c r="AK157" s="62"/>
      <c r="AL157" s="418" t="s">
        <v>1136</v>
      </c>
      <c r="AM157" s="419">
        <v>268.5</v>
      </c>
      <c r="AN157" s="419">
        <v>0.5</v>
      </c>
      <c r="AO157" s="419">
        <v>12.2</v>
      </c>
      <c r="AP157" s="419">
        <v>2791.2</v>
      </c>
      <c r="AQ157" s="419">
        <v>61.9</v>
      </c>
      <c r="AR157" s="235">
        <f t="shared" si="12"/>
        <v>3010.4999999999995</v>
      </c>
      <c r="AS157" s="344"/>
      <c r="AT157" s="344"/>
      <c r="AU157" s="344"/>
      <c r="AV157" s="344"/>
      <c r="AW157" s="344"/>
      <c r="AX157" s="358"/>
      <c r="BA157" s="319"/>
      <c r="BB157" s="397">
        <v>2050</v>
      </c>
      <c r="BC157" s="464">
        <v>150</v>
      </c>
      <c r="BD157" s="429">
        <v>163</v>
      </c>
      <c r="BE157" s="328">
        <v>56717</v>
      </c>
      <c r="BF157" s="453">
        <v>0.57999999999999996</v>
      </c>
      <c r="BG157" s="429">
        <v>0.1</v>
      </c>
      <c r="BH157" s="453">
        <v>0.08</v>
      </c>
      <c r="BI157" s="328">
        <v>32914</v>
      </c>
      <c r="BJ157" s="457">
        <v>0.14399999999999999</v>
      </c>
      <c r="BK157" s="62">
        <v>120000</v>
      </c>
      <c r="BL157" s="331">
        <v>0.49</v>
      </c>
    </row>
    <row r="158" spans="2:64" ht="15.75" thickBot="1" x14ac:dyDescent="0.3">
      <c r="B158" s="303" t="s">
        <v>1203</v>
      </c>
      <c r="C158" s="280">
        <v>775465.56672500004</v>
      </c>
      <c r="D158" s="3">
        <v>760575.64037399995</v>
      </c>
      <c r="E158" s="3">
        <v>786127.68047999998</v>
      </c>
      <c r="F158" s="3">
        <v>821278.41118499998</v>
      </c>
      <c r="G158" s="3">
        <v>856415.35088599997</v>
      </c>
      <c r="H158" s="3">
        <v>896000.44794300001</v>
      </c>
      <c r="I158" s="3">
        <v>896469.90197799995</v>
      </c>
      <c r="J158" s="3">
        <v>897750.12573800003</v>
      </c>
      <c r="K158" s="3">
        <v>870315.18297900003</v>
      </c>
      <c r="L158" s="3">
        <v>783961.72710100003</v>
      </c>
      <c r="M158" s="3">
        <v>851246.04798300005</v>
      </c>
      <c r="N158" s="3">
        <v>852923.66190199996</v>
      </c>
      <c r="O158" s="3">
        <v>886693.05463200004</v>
      </c>
      <c r="P158" s="3">
        <v>917626.31173800002</v>
      </c>
      <c r="Q158" s="3">
        <v>962854.70574</v>
      </c>
      <c r="R158" s="3">
        <v>970902.22699800006</v>
      </c>
      <c r="S158" s="3">
        <v>975943.71350399998</v>
      </c>
      <c r="T158" s="3">
        <v>1013531.3380099999</v>
      </c>
      <c r="U158" s="3">
        <v>1014827.422893</v>
      </c>
      <c r="V158" s="3">
        <v>1031666.720842</v>
      </c>
      <c r="W158" s="3">
        <v>974403.97472099995</v>
      </c>
      <c r="AC158" s="425" t="s">
        <v>379</v>
      </c>
      <c r="AD158" s="179">
        <v>2002</v>
      </c>
      <c r="AE158" s="86">
        <v>2012</v>
      </c>
      <c r="AF158" s="87">
        <v>2022</v>
      </c>
      <c r="AG158" s="86">
        <v>2002</v>
      </c>
      <c r="AH158" s="86">
        <v>2012</v>
      </c>
      <c r="AI158" s="86">
        <v>2022</v>
      </c>
      <c r="AJ158" s="62"/>
      <c r="AK158" s="62"/>
      <c r="AL158" s="418" t="s">
        <v>1137</v>
      </c>
      <c r="AM158" s="419">
        <v>882.6</v>
      </c>
      <c r="AN158" s="419">
        <v>930.2</v>
      </c>
      <c r="AO158" s="419"/>
      <c r="AP158" s="419">
        <v>225</v>
      </c>
      <c r="AQ158" s="419">
        <v>101.6</v>
      </c>
      <c r="AR158" s="235">
        <f t="shared" si="12"/>
        <v>1936.2000000000003</v>
      </c>
      <c r="AS158" s="344"/>
      <c r="AT158" s="344"/>
      <c r="AU158" s="344"/>
      <c r="AV158" s="344"/>
      <c r="AW158" s="344"/>
      <c r="AX158" s="358"/>
      <c r="BA158" s="319" t="s">
        <v>496</v>
      </c>
      <c r="BB158" s="397">
        <v>2030</v>
      </c>
      <c r="BC158" s="464">
        <v>150</v>
      </c>
      <c r="BD158" s="429">
        <v>6.96</v>
      </c>
      <c r="BE158" s="328">
        <v>84412</v>
      </c>
      <c r="BF158" s="453">
        <v>2.9000000000000001E-2</v>
      </c>
      <c r="BG158" s="429">
        <v>5</v>
      </c>
      <c r="BH158" s="453">
        <v>0.19</v>
      </c>
      <c r="BI158" s="328">
        <v>42206</v>
      </c>
      <c r="BJ158" s="457">
        <v>0.14399999999999999</v>
      </c>
      <c r="BK158" s="62">
        <v>120000</v>
      </c>
      <c r="BL158" s="331">
        <v>0.68</v>
      </c>
    </row>
    <row r="159" spans="2:64" ht="16.5" thickTop="1" thickBot="1" x14ac:dyDescent="0.3">
      <c r="B159" s="162" t="s">
        <v>180</v>
      </c>
      <c r="C159" s="4">
        <v>2265.9</v>
      </c>
      <c r="D159" s="4">
        <v>2255.1</v>
      </c>
      <c r="E159" s="4">
        <v>2282.1999999999998</v>
      </c>
      <c r="F159" s="4">
        <v>2349.8000000000002</v>
      </c>
      <c r="G159" s="4">
        <v>2437.5</v>
      </c>
      <c r="H159" s="4">
        <v>2485.4</v>
      </c>
      <c r="I159" s="4">
        <v>2465.5</v>
      </c>
      <c r="J159" s="4">
        <v>2568</v>
      </c>
      <c r="K159" s="4">
        <v>2552.8000000000002</v>
      </c>
      <c r="L159" s="4">
        <v>2532.9</v>
      </c>
      <c r="M159" s="4">
        <v>2616</v>
      </c>
      <c r="N159" s="4">
        <v>2618.5</v>
      </c>
      <c r="O159" s="4">
        <v>2643.9</v>
      </c>
      <c r="P159" s="4">
        <v>2696.7</v>
      </c>
      <c r="Q159" s="4">
        <v>2653.7</v>
      </c>
      <c r="R159" s="4">
        <v>2641.5</v>
      </c>
      <c r="S159" s="4">
        <v>2641.3</v>
      </c>
      <c r="T159" s="4">
        <v>2723.3</v>
      </c>
      <c r="U159" s="4">
        <v>2828.8</v>
      </c>
      <c r="V159" s="4">
        <v>2861.3</v>
      </c>
      <c r="W159" s="4">
        <v>2365.6999999999998</v>
      </c>
      <c r="AC159" s="386" t="s">
        <v>375</v>
      </c>
      <c r="AD159" s="180">
        <v>1165</v>
      </c>
      <c r="AE159" s="62">
        <v>1293</v>
      </c>
      <c r="AF159" s="85">
        <v>898</v>
      </c>
      <c r="AG159" s="62">
        <v>65</v>
      </c>
      <c r="AH159" s="62">
        <v>71</v>
      </c>
      <c r="AI159" s="62">
        <v>42</v>
      </c>
      <c r="AJ159" s="62"/>
      <c r="AK159" s="62"/>
      <c r="AL159" s="418" t="s">
        <v>1134</v>
      </c>
      <c r="AM159" s="419">
        <f>SUM(AM155:AM158)</f>
        <v>19751.399999999998</v>
      </c>
      <c r="AN159" s="419">
        <f t="shared" ref="AN159:AR159" si="13">SUM(AN155:AN158)</f>
        <v>1563.6</v>
      </c>
      <c r="AO159" s="419">
        <f t="shared" si="13"/>
        <v>6012.5</v>
      </c>
      <c r="AP159" s="419">
        <f t="shared" si="13"/>
        <v>55445.9</v>
      </c>
      <c r="AQ159" s="419">
        <f t="shared" si="13"/>
        <v>6348.0999999999995</v>
      </c>
      <c r="AR159" s="235">
        <f t="shared" si="13"/>
        <v>76425.3</v>
      </c>
      <c r="AS159" s="344"/>
      <c r="AT159" s="344"/>
      <c r="AU159" s="344"/>
      <c r="AV159" s="344"/>
      <c r="AW159" s="344"/>
      <c r="AX159" s="358"/>
      <c r="BA159" s="319"/>
      <c r="BB159" s="397">
        <v>2050</v>
      </c>
      <c r="BC159" s="464">
        <v>150</v>
      </c>
      <c r="BD159" s="429">
        <v>6.24</v>
      </c>
      <c r="BE159" s="328">
        <v>58538</v>
      </c>
      <c r="BF159" s="453">
        <v>2.5999999999999999E-2</v>
      </c>
      <c r="BG159" s="429">
        <v>5</v>
      </c>
      <c r="BH159" s="453">
        <v>0.17</v>
      </c>
      <c r="BI159" s="328">
        <v>29269</v>
      </c>
      <c r="BJ159" s="457">
        <v>0.14399999999999999</v>
      </c>
      <c r="BK159" s="62">
        <v>120000</v>
      </c>
      <c r="BL159" s="331">
        <v>0.56000000000000005</v>
      </c>
    </row>
    <row r="160" spans="2:64" ht="15.75" thickBot="1" x14ac:dyDescent="0.3">
      <c r="B160" s="172" t="s">
        <v>273</v>
      </c>
      <c r="C160" s="3">
        <v>1275.4000000000001</v>
      </c>
      <c r="D160" s="3">
        <v>1249.7</v>
      </c>
      <c r="E160" s="3">
        <v>1291.8</v>
      </c>
      <c r="F160" s="3">
        <v>1295.5999999999999</v>
      </c>
      <c r="G160" s="3">
        <v>1322.2</v>
      </c>
      <c r="H160" s="3">
        <v>1344.9</v>
      </c>
      <c r="I160" s="3">
        <v>1319</v>
      </c>
      <c r="J160" s="3">
        <v>1366.2</v>
      </c>
      <c r="K160" s="3">
        <v>1333.8</v>
      </c>
      <c r="L160" s="3">
        <v>1320.5</v>
      </c>
      <c r="M160" s="3">
        <v>1343.4</v>
      </c>
      <c r="N160" s="3">
        <v>1338.5</v>
      </c>
      <c r="O160" s="3">
        <v>1360.1</v>
      </c>
      <c r="P160" s="3">
        <v>1392.4</v>
      </c>
      <c r="Q160" s="3">
        <v>1358.3</v>
      </c>
      <c r="R160" s="3">
        <v>1387.4</v>
      </c>
      <c r="S160" s="3">
        <v>1423.8</v>
      </c>
      <c r="T160" s="3">
        <v>1445.6</v>
      </c>
      <c r="U160" s="3">
        <v>1497</v>
      </c>
      <c r="V160" s="3">
        <v>1514.3</v>
      </c>
      <c r="W160" s="3">
        <v>1134.0999999999999</v>
      </c>
      <c r="AC160" s="386" t="s">
        <v>376</v>
      </c>
      <c r="AD160" s="180">
        <v>365</v>
      </c>
      <c r="AE160" s="62">
        <v>397</v>
      </c>
      <c r="AF160" s="85">
        <v>324</v>
      </c>
      <c r="AG160" s="62">
        <v>61</v>
      </c>
      <c r="AH160" s="62">
        <v>67</v>
      </c>
      <c r="AI160" s="62">
        <v>69</v>
      </c>
      <c r="AJ160" s="62"/>
      <c r="AK160" s="62"/>
      <c r="AL160" s="13" t="s">
        <v>529</v>
      </c>
      <c r="AM160" s="419"/>
      <c r="AN160" s="419"/>
      <c r="AO160" s="419"/>
      <c r="AP160" s="419"/>
      <c r="AQ160" s="419"/>
      <c r="AR160" s="235"/>
      <c r="AS160" s="282" t="s">
        <v>1144</v>
      </c>
      <c r="AT160" s="344"/>
      <c r="AU160" s="344"/>
      <c r="AV160" s="344"/>
      <c r="AW160" s="344"/>
      <c r="AX160" s="358"/>
      <c r="BA160" s="321" t="s">
        <v>1077</v>
      </c>
      <c r="BB160" s="364"/>
      <c r="BC160" s="364"/>
      <c r="BD160" s="364"/>
      <c r="BE160" s="465">
        <v>42000</v>
      </c>
      <c r="BF160" s="466">
        <v>18.600000000000001</v>
      </c>
      <c r="BG160" s="467">
        <v>4</v>
      </c>
      <c r="BH160" s="466">
        <v>0.22</v>
      </c>
      <c r="BI160" s="465">
        <v>21000</v>
      </c>
      <c r="BJ160" s="468">
        <v>0.28799999999999998</v>
      </c>
      <c r="BK160" s="379">
        <v>120000</v>
      </c>
      <c r="BL160" s="469">
        <v>0.68</v>
      </c>
    </row>
    <row r="161" spans="2:50" ht="15.75" thickBot="1" x14ac:dyDescent="0.3">
      <c r="B161" s="172" t="s">
        <v>274</v>
      </c>
      <c r="C161" s="3">
        <v>908.9</v>
      </c>
      <c r="D161" s="3">
        <v>914.4</v>
      </c>
      <c r="E161" s="3">
        <v>896.8</v>
      </c>
      <c r="F161" s="3">
        <v>959.3</v>
      </c>
      <c r="G161" s="3">
        <v>1018.2</v>
      </c>
      <c r="H161" s="3">
        <v>1041.0999999999999</v>
      </c>
      <c r="I161" s="3">
        <v>1045.7</v>
      </c>
      <c r="J161" s="3">
        <v>1099.5</v>
      </c>
      <c r="K161" s="3">
        <v>1115.5</v>
      </c>
      <c r="L161" s="3">
        <v>1109.3</v>
      </c>
      <c r="M161" s="3">
        <v>1168.8</v>
      </c>
      <c r="N161" s="3">
        <v>1173.9000000000001</v>
      </c>
      <c r="O161" s="3">
        <v>1176.2</v>
      </c>
      <c r="P161" s="3">
        <v>1194.5</v>
      </c>
      <c r="Q161" s="3">
        <v>1183.3</v>
      </c>
      <c r="R161" s="3">
        <v>1139.0999999999999</v>
      </c>
      <c r="S161" s="3">
        <v>1099.5999999999999</v>
      </c>
      <c r="T161" s="3">
        <v>1158.2</v>
      </c>
      <c r="U161" s="3">
        <v>1209.5999999999999</v>
      </c>
      <c r="V161" s="3">
        <v>1223</v>
      </c>
      <c r="W161" s="3">
        <v>1106.8</v>
      </c>
      <c r="AC161" s="386" t="s">
        <v>377</v>
      </c>
      <c r="AD161" s="180">
        <v>206</v>
      </c>
      <c r="AE161" s="62">
        <v>147</v>
      </c>
      <c r="AF161" s="85">
        <v>469</v>
      </c>
      <c r="AG161" s="62">
        <v>27</v>
      </c>
      <c r="AH161" s="62">
        <v>20</v>
      </c>
      <c r="AI161" s="62">
        <v>46</v>
      </c>
      <c r="AJ161" s="62"/>
      <c r="AK161" s="62"/>
      <c r="AL161" s="418" t="s">
        <v>1138</v>
      </c>
      <c r="AM161" s="419">
        <v>10301.9</v>
      </c>
      <c r="AN161" s="419">
        <v>67.599999999999994</v>
      </c>
      <c r="AO161" s="419">
        <v>354.5</v>
      </c>
      <c r="AP161" s="419">
        <v>41835.599999999999</v>
      </c>
      <c r="AQ161" s="419">
        <v>2728.7</v>
      </c>
      <c r="AR161" s="235">
        <f t="shared" ref="AR161:AR164" si="14">SUM(AM161:AP161)-AQ161</f>
        <v>49830.9</v>
      </c>
      <c r="AS161" s="82">
        <f>AN164/AN152</f>
        <v>8.6211002619671337E-2</v>
      </c>
      <c r="AT161" s="344"/>
      <c r="AU161" s="344"/>
      <c r="AV161" s="344"/>
      <c r="AW161" s="344"/>
      <c r="AX161" s="358"/>
    </row>
    <row r="162" spans="2:50" x14ac:dyDescent="0.25">
      <c r="B162" s="172" t="s">
        <v>238</v>
      </c>
      <c r="C162" s="3">
        <v>81.5</v>
      </c>
      <c r="D162" s="3">
        <v>91.1</v>
      </c>
      <c r="E162" s="3">
        <v>93.5</v>
      </c>
      <c r="F162" s="3">
        <v>94.8</v>
      </c>
      <c r="G162" s="3">
        <v>97.2</v>
      </c>
      <c r="H162" s="3">
        <v>99.5</v>
      </c>
      <c r="I162" s="3">
        <v>100.8</v>
      </c>
      <c r="J162" s="3">
        <v>102.3</v>
      </c>
      <c r="K162" s="3">
        <v>103.5</v>
      </c>
      <c r="L162" s="3">
        <v>103.1</v>
      </c>
      <c r="M162" s="3">
        <v>103.8</v>
      </c>
      <c r="N162" s="3">
        <v>106.2</v>
      </c>
      <c r="O162" s="3">
        <v>107.6</v>
      </c>
      <c r="P162" s="3">
        <v>109.7</v>
      </c>
      <c r="Q162" s="3">
        <v>112.1</v>
      </c>
      <c r="R162" s="3">
        <v>114.9</v>
      </c>
      <c r="S162" s="3">
        <v>117.8</v>
      </c>
      <c r="T162" s="3">
        <v>119.5</v>
      </c>
      <c r="U162" s="3">
        <v>122.2</v>
      </c>
      <c r="V162" s="3">
        <v>124</v>
      </c>
      <c r="W162" s="3">
        <v>124.8</v>
      </c>
      <c r="AC162" s="386" t="s">
        <v>66</v>
      </c>
      <c r="AD162" s="180">
        <v>35</v>
      </c>
      <c r="AE162" s="62">
        <v>39</v>
      </c>
      <c r="AF162" s="85">
        <v>257</v>
      </c>
      <c r="AG162" s="62">
        <v>6</v>
      </c>
      <c r="AH162" s="62">
        <v>6</v>
      </c>
      <c r="AI162" s="62">
        <v>20</v>
      </c>
      <c r="AJ162" s="62"/>
      <c r="AK162" s="62"/>
      <c r="AL162" s="418" t="s">
        <v>1131</v>
      </c>
      <c r="AM162" s="419">
        <v>1971.5</v>
      </c>
      <c r="AN162" s="419">
        <v>806</v>
      </c>
      <c r="AO162" s="419">
        <v>248.1</v>
      </c>
      <c r="AP162" s="419">
        <v>3707.9</v>
      </c>
      <c r="AQ162" s="419"/>
      <c r="AR162" s="235">
        <f t="shared" si="14"/>
        <v>6733.5</v>
      </c>
      <c r="AS162" s="282" t="s">
        <v>1145</v>
      </c>
      <c r="AT162" s="344"/>
      <c r="AU162" s="344"/>
      <c r="AV162" s="344"/>
      <c r="AW162" s="344"/>
      <c r="AX162" s="358"/>
    </row>
    <row r="163" spans="2:50" ht="15.75" thickBot="1" x14ac:dyDescent="0.3">
      <c r="B163" s="162" t="s">
        <v>181</v>
      </c>
      <c r="AC163" s="386" t="s">
        <v>378</v>
      </c>
      <c r="AD163" s="180">
        <v>559</v>
      </c>
      <c r="AE163" s="62">
        <v>657</v>
      </c>
      <c r="AF163" s="85">
        <v>329</v>
      </c>
      <c r="AG163" s="62">
        <v>24</v>
      </c>
      <c r="AH163" s="62">
        <v>29</v>
      </c>
      <c r="AI163" s="62">
        <v>24</v>
      </c>
      <c r="AJ163" s="62"/>
      <c r="AK163" s="62"/>
      <c r="AL163" s="418" t="s">
        <v>184</v>
      </c>
      <c r="AM163" s="419">
        <v>502.7</v>
      </c>
      <c r="AN163" s="419">
        <v>528.70000000000005</v>
      </c>
      <c r="AO163" s="419">
        <v>188.1</v>
      </c>
      <c r="AP163" s="419">
        <v>1282</v>
      </c>
      <c r="AQ163" s="419">
        <v>91.8</v>
      </c>
      <c r="AR163" s="235">
        <f t="shared" si="14"/>
        <v>2409.6999999999998</v>
      </c>
      <c r="AS163" s="82">
        <f>AP164/AP152</f>
        <v>8.9274933157001968E-2</v>
      </c>
      <c r="AT163" s="344"/>
      <c r="AU163" s="344"/>
      <c r="AV163" s="344"/>
      <c r="AW163" s="344"/>
      <c r="AX163" s="358"/>
    </row>
    <row r="164" spans="2:50" x14ac:dyDescent="0.25">
      <c r="B164" s="172" t="s">
        <v>8</v>
      </c>
      <c r="C164" s="3">
        <v>625.5</v>
      </c>
      <c r="D164" s="3">
        <v>620.20000000000005</v>
      </c>
      <c r="E164" s="3">
        <v>634.9</v>
      </c>
      <c r="F164" s="3">
        <v>629.20000000000005</v>
      </c>
      <c r="G164" s="3">
        <v>626</v>
      </c>
      <c r="H164" s="3">
        <v>619.70000000000005</v>
      </c>
      <c r="I164" s="3">
        <v>607.20000000000005</v>
      </c>
      <c r="J164" s="3">
        <v>623.4</v>
      </c>
      <c r="K164" s="3">
        <v>604.5</v>
      </c>
      <c r="L164" s="3">
        <v>603</v>
      </c>
      <c r="M164" s="3">
        <v>597.79999999999995</v>
      </c>
      <c r="N164" s="3">
        <v>579.70000000000005</v>
      </c>
      <c r="O164" s="3">
        <v>566.9</v>
      </c>
      <c r="P164" s="3">
        <v>564.20000000000005</v>
      </c>
      <c r="Q164" s="3">
        <v>535.9</v>
      </c>
      <c r="R164" s="3">
        <v>536.1</v>
      </c>
      <c r="S164" s="3">
        <v>531.70000000000005</v>
      </c>
      <c r="T164" s="3">
        <v>517</v>
      </c>
      <c r="U164" s="3">
        <v>503.8</v>
      </c>
      <c r="V164" s="3">
        <v>495.7</v>
      </c>
      <c r="W164" s="3">
        <v>394.9</v>
      </c>
      <c r="AC164" s="426" t="s">
        <v>231</v>
      </c>
      <c r="AD164" s="181">
        <v>2330</v>
      </c>
      <c r="AE164" s="88">
        <v>2532</v>
      </c>
      <c r="AF164" s="89">
        <v>2277</v>
      </c>
      <c r="AG164" s="88">
        <v>183</v>
      </c>
      <c r="AH164" s="88">
        <v>193</v>
      </c>
      <c r="AI164" s="88">
        <v>201</v>
      </c>
      <c r="AJ164" s="62"/>
      <c r="AK164" s="62"/>
      <c r="AL164" s="418" t="s">
        <v>1133</v>
      </c>
      <c r="AM164" s="419">
        <v>76.900000000000006</v>
      </c>
      <c r="AN164" s="419">
        <v>108.6</v>
      </c>
      <c r="AO164" s="419">
        <v>14.1</v>
      </c>
      <c r="AP164" s="419">
        <v>1242.0999999999999</v>
      </c>
      <c r="AQ164" s="419">
        <v>204.2</v>
      </c>
      <c r="AR164" s="235">
        <f t="shared" si="14"/>
        <v>1237.4999999999998</v>
      </c>
      <c r="AS164" s="344"/>
      <c r="AT164" s="344"/>
      <c r="AU164" s="344"/>
      <c r="AV164" s="344"/>
      <c r="AW164" s="344"/>
      <c r="AX164" s="358"/>
    </row>
    <row r="165" spans="2:50" x14ac:dyDescent="0.25">
      <c r="B165" s="172" t="s">
        <v>17</v>
      </c>
      <c r="C165" s="3">
        <v>362.3</v>
      </c>
      <c r="D165" s="3">
        <v>364.1</v>
      </c>
      <c r="E165" s="3">
        <v>383.1</v>
      </c>
      <c r="F165" s="3">
        <v>391.9</v>
      </c>
      <c r="G165" s="3">
        <v>402.7</v>
      </c>
      <c r="H165" s="3">
        <v>413.1</v>
      </c>
      <c r="I165" s="3">
        <v>405.5</v>
      </c>
      <c r="J165" s="3">
        <v>427.3</v>
      </c>
      <c r="K165" s="3">
        <v>425.1</v>
      </c>
      <c r="L165" s="3">
        <v>436.5</v>
      </c>
      <c r="M165" s="3">
        <v>453.9</v>
      </c>
      <c r="N165" s="3">
        <v>460.9</v>
      </c>
      <c r="O165" s="3">
        <v>469.1</v>
      </c>
      <c r="P165" s="3">
        <v>490.2</v>
      </c>
      <c r="Q165" s="3">
        <v>492.3</v>
      </c>
      <c r="R165" s="3">
        <v>516.4</v>
      </c>
      <c r="S165" s="3">
        <v>554</v>
      </c>
      <c r="T165" s="3">
        <v>573.5</v>
      </c>
      <c r="U165" s="3">
        <v>598.9</v>
      </c>
      <c r="V165" s="3">
        <v>619.5</v>
      </c>
      <c r="W165" s="3">
        <v>533.29999999999995</v>
      </c>
      <c r="AC165" s="396" t="s">
        <v>380</v>
      </c>
      <c r="AD165" s="62"/>
      <c r="AE165" s="62"/>
      <c r="AF165" s="85"/>
      <c r="AG165" s="62"/>
      <c r="AH165" s="62"/>
      <c r="AI165" s="62"/>
      <c r="AJ165" s="62"/>
      <c r="AK165" s="62"/>
      <c r="AL165" s="418" t="s">
        <v>1134</v>
      </c>
      <c r="AM165" s="419">
        <f>SUM(AM161:AM164)</f>
        <v>12853</v>
      </c>
      <c r="AN165" s="419">
        <f t="shared" ref="AN165:AR165" si="15">SUM(AN161:AN164)</f>
        <v>1510.9</v>
      </c>
      <c r="AO165" s="419">
        <f t="shared" si="15"/>
        <v>804.80000000000007</v>
      </c>
      <c r="AP165" s="419">
        <f t="shared" si="15"/>
        <v>48067.6</v>
      </c>
      <c r="AQ165" s="419">
        <f t="shared" si="15"/>
        <v>3024.7</v>
      </c>
      <c r="AR165" s="235">
        <f t="shared" si="15"/>
        <v>60211.6</v>
      </c>
      <c r="AS165" s="344"/>
      <c r="AT165" s="344"/>
      <c r="AU165" s="344"/>
      <c r="AV165" s="344"/>
      <c r="AW165" s="344"/>
      <c r="AX165" s="358"/>
    </row>
    <row r="166" spans="2:50" x14ac:dyDescent="0.25">
      <c r="B166" s="172" t="s">
        <v>18</v>
      </c>
      <c r="C166" s="3">
        <v>145.80000000000001</v>
      </c>
      <c r="D166" s="3">
        <v>147.69999999999999</v>
      </c>
      <c r="E166" s="3">
        <v>152.9</v>
      </c>
      <c r="F166" s="3">
        <v>155</v>
      </c>
      <c r="G166" s="3">
        <v>158.4</v>
      </c>
      <c r="H166" s="3">
        <v>161.19999999999999</v>
      </c>
      <c r="I166" s="3">
        <v>160.19999999999999</v>
      </c>
      <c r="J166" s="3">
        <v>170.4</v>
      </c>
      <c r="K166" s="3">
        <v>169.8</v>
      </c>
      <c r="L166" s="3">
        <v>172.5</v>
      </c>
      <c r="M166" s="3">
        <v>178.9</v>
      </c>
      <c r="N166" s="3">
        <v>180</v>
      </c>
      <c r="O166" s="3">
        <v>185.1</v>
      </c>
      <c r="P166" s="3">
        <v>193.2</v>
      </c>
      <c r="Q166" s="3">
        <v>194.1</v>
      </c>
      <c r="R166" s="3">
        <v>202.4</v>
      </c>
      <c r="S166" s="3">
        <v>217.2</v>
      </c>
      <c r="T166" s="3">
        <v>225.1</v>
      </c>
      <c r="U166" s="3">
        <v>234.1</v>
      </c>
      <c r="V166" s="3">
        <v>242.1</v>
      </c>
      <c r="W166" s="3">
        <v>209.1</v>
      </c>
      <c r="AC166" s="386"/>
      <c r="AD166" s="62"/>
      <c r="AE166" s="62"/>
      <c r="AF166" s="62"/>
      <c r="AG166" s="62"/>
      <c r="AH166" s="62"/>
      <c r="AI166" s="62"/>
      <c r="AJ166" s="62"/>
      <c r="AK166" s="62"/>
      <c r="AL166" s="236" t="s">
        <v>231</v>
      </c>
      <c r="AM166" s="279">
        <f>AM153+AM159+AM165</f>
        <v>37044.699999999997</v>
      </c>
      <c r="AN166" s="279">
        <f t="shared" ref="AN166:AR166" si="16">AN153+AN159+AN165</f>
        <v>4577</v>
      </c>
      <c r="AO166" s="279">
        <f t="shared" si="16"/>
        <v>7428.7</v>
      </c>
      <c r="AP166" s="279">
        <f t="shared" si="16"/>
        <v>149930</v>
      </c>
      <c r="AQ166" s="279">
        <f t="shared" si="16"/>
        <v>14626.3</v>
      </c>
      <c r="AR166" s="281">
        <f t="shared" si="16"/>
        <v>184354.1</v>
      </c>
      <c r="AS166" s="344"/>
      <c r="AT166" s="344"/>
      <c r="AU166" s="344"/>
      <c r="AV166" s="344"/>
      <c r="AW166" s="344"/>
      <c r="AX166" s="358"/>
    </row>
    <row r="167" spans="2:50" ht="15.75" x14ac:dyDescent="0.25">
      <c r="B167" s="172" t="s">
        <v>19</v>
      </c>
      <c r="C167" s="3">
        <v>157.1</v>
      </c>
      <c r="D167" s="3">
        <v>179.7</v>
      </c>
      <c r="E167" s="3">
        <v>173.4</v>
      </c>
      <c r="F167" s="3">
        <v>203.4</v>
      </c>
      <c r="G167" s="3">
        <v>225.8</v>
      </c>
      <c r="H167" s="3">
        <v>210.2</v>
      </c>
      <c r="I167" s="3">
        <v>242.8</v>
      </c>
      <c r="J167" s="3">
        <v>249.4</v>
      </c>
      <c r="K167" s="3">
        <v>262.8</v>
      </c>
      <c r="L167" s="3">
        <v>280.39999999999998</v>
      </c>
      <c r="M167" s="3">
        <v>313.89999999999998</v>
      </c>
      <c r="N167" s="3">
        <v>307.39999999999998</v>
      </c>
      <c r="O167" s="3">
        <v>304.60000000000002</v>
      </c>
      <c r="P167" s="3">
        <v>318.60000000000002</v>
      </c>
      <c r="Q167" s="3">
        <v>310.2</v>
      </c>
      <c r="R167" s="3">
        <v>297.3</v>
      </c>
      <c r="S167" s="3">
        <v>289.10000000000002</v>
      </c>
      <c r="T167" s="3">
        <v>296.5</v>
      </c>
      <c r="U167" s="3">
        <v>312</v>
      </c>
      <c r="V167" s="3">
        <v>307.10000000000002</v>
      </c>
      <c r="W167" s="3">
        <v>269.60000000000002</v>
      </c>
      <c r="AC167" s="427" t="s">
        <v>913</v>
      </c>
      <c r="AD167" s="62"/>
      <c r="AE167" s="62"/>
      <c r="AF167" s="62"/>
      <c r="AG167" s="62"/>
      <c r="AH167" s="62"/>
      <c r="AI167" s="62"/>
      <c r="AJ167" s="62"/>
      <c r="AK167" s="62"/>
      <c r="AL167" s="62"/>
      <c r="AM167" s="62"/>
      <c r="AN167" s="62"/>
      <c r="AO167" s="344"/>
      <c r="AP167" s="344"/>
      <c r="AQ167" s="344"/>
      <c r="AR167" s="344"/>
      <c r="AS167" s="344"/>
      <c r="AT167" s="344"/>
      <c r="AU167" s="344"/>
      <c r="AV167" s="344"/>
      <c r="AW167" s="344"/>
      <c r="AX167" s="358"/>
    </row>
    <row r="168" spans="2:50" ht="15.75" thickBot="1" x14ac:dyDescent="0.3">
      <c r="B168" s="172" t="s">
        <v>20</v>
      </c>
      <c r="C168" s="3">
        <v>408.2</v>
      </c>
      <c r="D168" s="3">
        <v>382.7</v>
      </c>
      <c r="E168" s="3">
        <v>377.7</v>
      </c>
      <c r="F168" s="3">
        <v>407</v>
      </c>
      <c r="G168" s="3">
        <v>425.1</v>
      </c>
      <c r="H168" s="3">
        <v>452.1</v>
      </c>
      <c r="I168" s="3">
        <v>436.9</v>
      </c>
      <c r="J168" s="3">
        <v>456.4</v>
      </c>
      <c r="K168" s="3">
        <v>459.2</v>
      </c>
      <c r="L168" s="3">
        <v>451.7</v>
      </c>
      <c r="M168" s="3">
        <v>467.1</v>
      </c>
      <c r="N168" s="3">
        <v>491</v>
      </c>
      <c r="O168" s="3">
        <v>491.9</v>
      </c>
      <c r="P168" s="3">
        <v>496.6</v>
      </c>
      <c r="Q168" s="3">
        <v>499.4</v>
      </c>
      <c r="R168" s="3">
        <v>471.9</v>
      </c>
      <c r="S168" s="3">
        <v>441.3</v>
      </c>
      <c r="T168" s="3">
        <v>466.7</v>
      </c>
      <c r="U168" s="3">
        <v>488.1</v>
      </c>
      <c r="V168" s="3">
        <v>487.7</v>
      </c>
      <c r="W168" s="3">
        <v>454.1</v>
      </c>
      <c r="AC168" s="425" t="s">
        <v>379</v>
      </c>
      <c r="AD168" s="86">
        <v>2016</v>
      </c>
      <c r="AE168" s="86">
        <v>2017</v>
      </c>
      <c r="AF168" s="86">
        <v>2018</v>
      </c>
      <c r="AG168" s="86">
        <v>2019</v>
      </c>
      <c r="AH168" s="86">
        <v>2020</v>
      </c>
      <c r="AI168" s="86">
        <v>2021</v>
      </c>
      <c r="AJ168" s="62"/>
      <c r="AK168" s="62"/>
      <c r="AL168" s="62"/>
      <c r="AM168" s="62"/>
      <c r="AN168" s="62"/>
      <c r="AO168" s="344"/>
      <c r="AP168" s="344"/>
      <c r="AQ168" s="344"/>
      <c r="AR168" s="344"/>
      <c r="AS168" s="344"/>
      <c r="AT168" s="344"/>
      <c r="AU168" s="344"/>
      <c r="AV168" s="344"/>
      <c r="AW168" s="344"/>
      <c r="AX168" s="358"/>
    </row>
    <row r="169" spans="2:50" ht="15.75" thickTop="1" x14ac:dyDescent="0.25">
      <c r="B169" s="172" t="s">
        <v>37</v>
      </c>
      <c r="C169" s="3">
        <v>2.5</v>
      </c>
      <c r="D169" s="3">
        <v>2.5</v>
      </c>
      <c r="E169" s="3">
        <v>2.9</v>
      </c>
      <c r="F169" s="3">
        <v>3</v>
      </c>
      <c r="G169" s="3">
        <v>3.3</v>
      </c>
      <c r="H169" s="3">
        <v>3.3</v>
      </c>
      <c r="I169" s="3">
        <v>3.5</v>
      </c>
      <c r="J169" s="3">
        <v>3.7</v>
      </c>
      <c r="K169" s="3">
        <v>3.8</v>
      </c>
      <c r="L169" s="3">
        <v>5.0999999999999996</v>
      </c>
      <c r="M169" s="3">
        <v>5.3</v>
      </c>
      <c r="N169" s="3">
        <v>5.4</v>
      </c>
      <c r="O169" s="3">
        <v>5.6</v>
      </c>
      <c r="P169" s="3">
        <v>5.7</v>
      </c>
      <c r="Q169" s="3">
        <v>5.6</v>
      </c>
      <c r="R169" s="3">
        <v>5.7</v>
      </c>
      <c r="S169" s="3">
        <v>5.8</v>
      </c>
      <c r="T169" s="3">
        <v>5.7</v>
      </c>
      <c r="U169" s="3">
        <v>5.7</v>
      </c>
      <c r="V169" s="3">
        <v>5.8</v>
      </c>
      <c r="W169" s="3">
        <v>5</v>
      </c>
      <c r="AC169" s="406" t="s">
        <v>902</v>
      </c>
      <c r="AD169" s="378">
        <v>1437679</v>
      </c>
      <c r="AE169" s="378">
        <v>1780158</v>
      </c>
      <c r="AF169" s="378">
        <v>1788899</v>
      </c>
      <c r="AG169" s="378">
        <v>1950710</v>
      </c>
      <c r="AH169" s="378">
        <v>1878071</v>
      </c>
      <c r="AI169" s="378">
        <v>1810231</v>
      </c>
      <c r="AJ169" s="62"/>
      <c r="AK169" s="62"/>
      <c r="AL169" s="62"/>
      <c r="AM169" s="62"/>
      <c r="AN169" s="62"/>
      <c r="AO169" s="344"/>
      <c r="AP169" s="344"/>
      <c r="AQ169" s="344"/>
      <c r="AR169" s="344"/>
      <c r="AS169" s="344"/>
      <c r="AT169" s="344"/>
      <c r="AU169" s="344"/>
      <c r="AV169" s="344"/>
      <c r="AW169" s="344"/>
      <c r="AX169" s="358"/>
    </row>
    <row r="170" spans="2:50" x14ac:dyDescent="0.25">
      <c r="B170" s="172" t="s">
        <v>38</v>
      </c>
      <c r="C170" s="3">
        <v>14.7</v>
      </c>
      <c r="D170" s="3">
        <v>12.7</v>
      </c>
      <c r="E170" s="3">
        <v>13.8</v>
      </c>
      <c r="F170" s="3">
        <v>15.8</v>
      </c>
      <c r="G170" s="3">
        <v>12.5</v>
      </c>
      <c r="H170" s="3">
        <v>13.3</v>
      </c>
      <c r="I170" s="3">
        <v>13.7</v>
      </c>
      <c r="J170" s="3">
        <v>13.7</v>
      </c>
      <c r="K170" s="3">
        <v>15</v>
      </c>
      <c r="L170" s="3">
        <v>14.8</v>
      </c>
      <c r="M170" s="3">
        <v>15.6</v>
      </c>
      <c r="N170" s="3">
        <v>16.3</v>
      </c>
      <c r="O170" s="3">
        <v>14.5</v>
      </c>
      <c r="P170" s="3">
        <v>13.2</v>
      </c>
      <c r="Q170" s="3">
        <v>12.6</v>
      </c>
      <c r="R170" s="3">
        <v>12.4</v>
      </c>
      <c r="S170" s="3">
        <v>13.7</v>
      </c>
      <c r="T170" s="3">
        <v>8.1999999999999993</v>
      </c>
      <c r="U170" s="3">
        <v>11</v>
      </c>
      <c r="V170" s="3">
        <v>12.7</v>
      </c>
      <c r="W170" s="3">
        <v>11</v>
      </c>
      <c r="AC170" s="428" t="s">
        <v>911</v>
      </c>
      <c r="AD170" s="62">
        <v>1436036</v>
      </c>
      <c r="AE170" s="62">
        <v>1778267</v>
      </c>
      <c r="AF170" s="62">
        <v>1787081</v>
      </c>
      <c r="AG170" s="62">
        <v>1948853</v>
      </c>
      <c r="AH170" s="62">
        <v>1876333</v>
      </c>
      <c r="AI170" s="62">
        <v>1808026</v>
      </c>
      <c r="AJ170" s="62"/>
      <c r="AK170" s="62"/>
      <c r="AL170" s="62"/>
      <c r="AM170" s="62"/>
      <c r="AN170" s="62"/>
      <c r="AO170" s="344"/>
      <c r="AP170" s="344"/>
      <c r="AQ170" s="344"/>
      <c r="AR170" s="344"/>
      <c r="AS170" s="344"/>
      <c r="AT170" s="344"/>
      <c r="AU170" s="344"/>
      <c r="AV170" s="344"/>
      <c r="AW170" s="344"/>
      <c r="AX170" s="358"/>
    </row>
    <row r="171" spans="2:50" x14ac:dyDescent="0.25">
      <c r="B171" s="172" t="s">
        <v>39</v>
      </c>
      <c r="C171" s="3">
        <v>28.5</v>
      </c>
      <c r="D171" s="3">
        <v>28.2</v>
      </c>
      <c r="E171" s="3">
        <v>33.4</v>
      </c>
      <c r="F171" s="3">
        <v>34.4</v>
      </c>
      <c r="G171" s="3">
        <v>33</v>
      </c>
      <c r="H171" s="3">
        <v>35.5</v>
      </c>
      <c r="I171" s="3">
        <v>30.5</v>
      </c>
      <c r="J171" s="3">
        <v>34.299999999999997</v>
      </c>
      <c r="K171" s="3">
        <v>35.700000000000003</v>
      </c>
      <c r="L171" s="3">
        <v>36.4</v>
      </c>
      <c r="M171" s="3">
        <v>39.200000000000003</v>
      </c>
      <c r="N171" s="3">
        <v>41.1</v>
      </c>
      <c r="O171" s="3">
        <v>37.9</v>
      </c>
      <c r="P171" s="3">
        <v>41.9</v>
      </c>
      <c r="Q171" s="3">
        <v>40.200000000000003</v>
      </c>
      <c r="R171" s="3">
        <v>39.799999999999997</v>
      </c>
      <c r="S171" s="3">
        <v>35.200000000000003</v>
      </c>
      <c r="T171" s="3">
        <v>37.6</v>
      </c>
      <c r="U171" s="3">
        <v>38.5</v>
      </c>
      <c r="V171" s="3">
        <v>39.4</v>
      </c>
      <c r="W171" s="3">
        <v>30.1</v>
      </c>
      <c r="AC171" s="428" t="s">
        <v>912</v>
      </c>
      <c r="AD171" s="62">
        <v>1643</v>
      </c>
      <c r="AE171" s="62">
        <v>1891</v>
      </c>
      <c r="AF171" s="62">
        <v>1818</v>
      </c>
      <c r="AG171" s="62">
        <v>1857</v>
      </c>
      <c r="AH171" s="62">
        <v>1738</v>
      </c>
      <c r="AI171" s="62">
        <v>2205</v>
      </c>
      <c r="AJ171" s="62"/>
      <c r="AK171" s="62"/>
      <c r="AL171" s="62"/>
      <c r="AM171" s="62"/>
      <c r="AN171" s="62"/>
      <c r="AO171" s="344"/>
      <c r="AP171" s="344"/>
      <c r="AQ171" s="344"/>
      <c r="AR171" s="344"/>
      <c r="AS171" s="344"/>
      <c r="AT171" s="344"/>
      <c r="AU171" s="344"/>
      <c r="AV171" s="344"/>
      <c r="AW171" s="344"/>
      <c r="AX171" s="358"/>
    </row>
    <row r="172" spans="2:50" x14ac:dyDescent="0.25">
      <c r="B172" s="172" t="s">
        <v>40</v>
      </c>
      <c r="C172" s="3">
        <v>7.1</v>
      </c>
      <c r="D172" s="3">
        <v>7.1</v>
      </c>
      <c r="E172" s="3">
        <v>8.3000000000000007</v>
      </c>
      <c r="F172" s="3">
        <v>7.7</v>
      </c>
      <c r="G172" s="3">
        <v>6.4</v>
      </c>
      <c r="H172" s="3">
        <v>7.1</v>
      </c>
      <c r="I172" s="3">
        <v>6.6</v>
      </c>
      <c r="J172" s="3">
        <v>7.1</v>
      </c>
      <c r="K172" s="3">
        <v>7.1</v>
      </c>
      <c r="L172" s="3">
        <v>5.3</v>
      </c>
      <c r="M172" s="3">
        <v>5.5</v>
      </c>
      <c r="N172" s="3">
        <v>5.4</v>
      </c>
      <c r="O172" s="3">
        <v>5.2</v>
      </c>
      <c r="P172" s="3">
        <v>6</v>
      </c>
      <c r="Q172" s="3">
        <v>6.2</v>
      </c>
      <c r="R172" s="3">
        <v>5.2</v>
      </c>
      <c r="S172" s="3">
        <v>4.3</v>
      </c>
      <c r="T172" s="3">
        <v>2.8</v>
      </c>
      <c r="U172" s="3">
        <v>2.4</v>
      </c>
      <c r="V172" s="3">
        <v>2.4</v>
      </c>
      <c r="W172" s="3">
        <v>2</v>
      </c>
      <c r="AC172" s="406" t="s">
        <v>877</v>
      </c>
      <c r="AD172" s="378">
        <v>2005387</v>
      </c>
      <c r="AE172" s="378">
        <v>2423331</v>
      </c>
      <c r="AF172" s="378">
        <v>2665591</v>
      </c>
      <c r="AG172" s="378">
        <v>2640766</v>
      </c>
      <c r="AH172" s="378">
        <v>2503856</v>
      </c>
      <c r="AI172" s="378">
        <v>2834275</v>
      </c>
      <c r="AJ172" s="62"/>
      <c r="AK172" s="62"/>
      <c r="AL172" s="62"/>
      <c r="AM172" s="62"/>
      <c r="AN172" s="62"/>
      <c r="AO172" s="344"/>
      <c r="AP172" s="344"/>
      <c r="AQ172" s="344"/>
      <c r="AR172" s="344"/>
      <c r="AS172" s="344"/>
      <c r="AT172" s="344"/>
      <c r="AU172" s="344"/>
      <c r="AV172" s="344"/>
      <c r="AW172" s="344"/>
      <c r="AX172" s="358"/>
    </row>
    <row r="173" spans="2:50" x14ac:dyDescent="0.25">
      <c r="B173" s="172" t="s">
        <v>182</v>
      </c>
      <c r="C173" s="3">
        <v>232</v>
      </c>
      <c r="D173" s="3">
        <v>211.9</v>
      </c>
      <c r="E173" s="3">
        <v>212.8</v>
      </c>
      <c r="F173" s="3">
        <v>211.1</v>
      </c>
      <c r="G173" s="3">
        <v>235.6</v>
      </c>
      <c r="H173" s="3">
        <v>250.2</v>
      </c>
      <c r="I173" s="3">
        <v>249.2</v>
      </c>
      <c r="J173" s="3">
        <v>253.9</v>
      </c>
      <c r="K173" s="3">
        <v>239.4</v>
      </c>
      <c r="L173" s="3">
        <v>216.4</v>
      </c>
      <c r="M173" s="3">
        <v>223.7</v>
      </c>
      <c r="N173" s="3">
        <v>226.7</v>
      </c>
      <c r="O173" s="3">
        <v>258.39999999999998</v>
      </c>
      <c r="P173" s="3">
        <v>269</v>
      </c>
      <c r="Q173" s="3">
        <v>263.60000000000002</v>
      </c>
      <c r="R173" s="3">
        <v>269.8</v>
      </c>
      <c r="S173" s="3">
        <v>277.10000000000002</v>
      </c>
      <c r="T173" s="3">
        <v>298.5</v>
      </c>
      <c r="U173" s="3">
        <v>334.5</v>
      </c>
      <c r="V173" s="3">
        <v>336.5</v>
      </c>
      <c r="W173" s="3">
        <v>156.69999999999999</v>
      </c>
      <c r="AC173" s="428" t="s">
        <v>911</v>
      </c>
      <c r="AD173" s="62">
        <v>2001562</v>
      </c>
      <c r="AE173" s="62">
        <v>2419275</v>
      </c>
      <c r="AF173" s="62">
        <v>2661462</v>
      </c>
      <c r="AG173" s="62">
        <v>2636679</v>
      </c>
      <c r="AH173" s="62">
        <v>2500241</v>
      </c>
      <c r="AI173" s="62">
        <v>2830314</v>
      </c>
      <c r="AJ173" s="62"/>
      <c r="AK173" s="62"/>
      <c r="AL173" s="62"/>
      <c r="AM173" s="62"/>
      <c r="AN173" s="62"/>
      <c r="AO173" s="344"/>
      <c r="AP173" s="344"/>
      <c r="AQ173" s="344"/>
      <c r="AR173" s="344"/>
      <c r="AS173" s="344"/>
      <c r="AT173" s="344"/>
      <c r="AU173" s="344"/>
      <c r="AV173" s="344"/>
      <c r="AW173" s="344"/>
      <c r="AX173" s="358"/>
    </row>
    <row r="174" spans="2:50" x14ac:dyDescent="0.25">
      <c r="B174" s="172" t="s">
        <v>183</v>
      </c>
      <c r="C174" s="3">
        <v>8.1</v>
      </c>
      <c r="D174" s="3">
        <v>6.9</v>
      </c>
      <c r="E174" s="3">
        <v>7.3</v>
      </c>
      <c r="F174" s="3">
        <v>6.8</v>
      </c>
      <c r="G174" s="3">
        <v>7.2</v>
      </c>
      <c r="H174" s="3">
        <v>7.9</v>
      </c>
      <c r="I174" s="3">
        <v>7.2</v>
      </c>
      <c r="J174" s="3">
        <v>5.9</v>
      </c>
      <c r="K174" s="3">
        <v>4.9000000000000004</v>
      </c>
      <c r="L174" s="3">
        <v>4.5</v>
      </c>
      <c r="M174" s="3">
        <v>5.3</v>
      </c>
      <c r="N174" s="3">
        <v>5.5</v>
      </c>
      <c r="O174" s="3">
        <v>6.1</v>
      </c>
      <c r="P174" s="3">
        <v>6.3</v>
      </c>
      <c r="Q174" s="3">
        <v>6.2</v>
      </c>
      <c r="R174" s="3">
        <v>5.6</v>
      </c>
      <c r="S174" s="3">
        <v>6</v>
      </c>
      <c r="T174" s="3">
        <v>7.1</v>
      </c>
      <c r="U174" s="3">
        <v>8</v>
      </c>
      <c r="V174" s="3">
        <v>7.7</v>
      </c>
      <c r="W174" s="3">
        <v>9.5</v>
      </c>
      <c r="AC174" s="428" t="s">
        <v>912</v>
      </c>
      <c r="AD174" s="62">
        <v>3825</v>
      </c>
      <c r="AE174" s="62">
        <v>4056</v>
      </c>
      <c r="AF174" s="62">
        <v>4129</v>
      </c>
      <c r="AG174" s="62">
        <v>4087</v>
      </c>
      <c r="AH174" s="62">
        <v>3615</v>
      </c>
      <c r="AI174" s="62">
        <v>3961</v>
      </c>
      <c r="AJ174" s="62"/>
      <c r="AK174" s="62"/>
      <c r="AL174" s="62"/>
      <c r="AM174" s="62"/>
      <c r="AN174" s="62"/>
      <c r="AO174" s="344"/>
      <c r="AP174" s="344"/>
      <c r="AQ174" s="344"/>
      <c r="AR174" s="344"/>
      <c r="AS174" s="344"/>
      <c r="AT174" s="344"/>
      <c r="AU174" s="344"/>
      <c r="AV174" s="344"/>
      <c r="AW174" s="344"/>
      <c r="AX174" s="358"/>
    </row>
    <row r="175" spans="2:50" x14ac:dyDescent="0.25">
      <c r="B175" s="172" t="s">
        <v>56</v>
      </c>
      <c r="C175" s="3">
        <v>3</v>
      </c>
      <c r="D175" s="3">
        <v>3</v>
      </c>
      <c r="E175" s="3">
        <v>2.8</v>
      </c>
      <c r="F175" s="3">
        <v>2.6</v>
      </c>
      <c r="G175" s="3">
        <v>2.5</v>
      </c>
      <c r="H175" s="3">
        <v>2.7</v>
      </c>
      <c r="I175" s="3">
        <v>2.7</v>
      </c>
      <c r="J175" s="3">
        <v>2.8</v>
      </c>
      <c r="K175" s="3">
        <v>3.2</v>
      </c>
      <c r="L175" s="3">
        <v>3</v>
      </c>
      <c r="M175" s="3">
        <v>2.5</v>
      </c>
      <c r="N175" s="3">
        <v>2.8</v>
      </c>
      <c r="O175" s="3">
        <v>2.4</v>
      </c>
      <c r="P175" s="3">
        <v>2.1</v>
      </c>
      <c r="Q175" s="3">
        <v>2</v>
      </c>
      <c r="R175" s="3">
        <v>2</v>
      </c>
      <c r="S175" s="3">
        <v>2</v>
      </c>
      <c r="T175" s="3">
        <v>2.2999999999999998</v>
      </c>
      <c r="U175" s="3">
        <v>2.2000000000000002</v>
      </c>
      <c r="V175" s="3">
        <v>2.2999999999999998</v>
      </c>
      <c r="W175" s="3">
        <v>1.1000000000000001</v>
      </c>
      <c r="AC175" s="406" t="s">
        <v>903</v>
      </c>
      <c r="AD175" s="378">
        <v>4463217</v>
      </c>
      <c r="AE175" s="378">
        <v>5085815</v>
      </c>
      <c r="AF175" s="378">
        <v>5350740</v>
      </c>
      <c r="AG175" s="378">
        <v>5188378</v>
      </c>
      <c r="AH175" s="378">
        <v>4978962</v>
      </c>
      <c r="AI175" s="378">
        <v>5193346</v>
      </c>
      <c r="AJ175" s="62"/>
      <c r="AK175" s="62"/>
      <c r="AL175" s="62"/>
      <c r="AM175" s="62"/>
      <c r="AN175" s="62"/>
      <c r="AO175" s="344"/>
      <c r="AP175" s="344"/>
      <c r="AQ175" s="344"/>
      <c r="AR175" s="344"/>
      <c r="AS175" s="344"/>
      <c r="AT175" s="344"/>
      <c r="AU175" s="344"/>
      <c r="AV175" s="344"/>
      <c r="AW175" s="344"/>
      <c r="AX175" s="358"/>
    </row>
    <row r="176" spans="2:50" x14ac:dyDescent="0.25">
      <c r="B176" s="172" t="s">
        <v>57</v>
      </c>
      <c r="C176" s="3">
        <v>81.5</v>
      </c>
      <c r="D176" s="3">
        <v>80.7</v>
      </c>
      <c r="E176" s="3">
        <v>73.5</v>
      </c>
      <c r="F176" s="3">
        <v>74.400000000000006</v>
      </c>
      <c r="G176" s="3">
        <v>76.599999999999994</v>
      </c>
      <c r="H176" s="3">
        <v>81.599999999999994</v>
      </c>
      <c r="I176" s="3">
        <v>85.5</v>
      </c>
      <c r="J176" s="3">
        <v>91.7</v>
      </c>
      <c r="K176" s="3">
        <v>96.6</v>
      </c>
      <c r="L176" s="3">
        <v>82.3</v>
      </c>
      <c r="M176" s="3">
        <v>81.099999999999994</v>
      </c>
      <c r="N176" s="3">
        <v>91.5</v>
      </c>
      <c r="O176" s="3">
        <v>94.1</v>
      </c>
      <c r="P176" s="3">
        <v>90.8</v>
      </c>
      <c r="Q176" s="3">
        <v>93.2</v>
      </c>
      <c r="R176" s="3">
        <v>88.7</v>
      </c>
      <c r="S176" s="3">
        <v>81.3</v>
      </c>
      <c r="T176" s="3">
        <v>93.1</v>
      </c>
      <c r="U176" s="3">
        <v>95.2</v>
      </c>
      <c r="V176" s="3">
        <v>95.8</v>
      </c>
      <c r="W176" s="3">
        <v>90.5</v>
      </c>
      <c r="AC176" s="428" t="s">
        <v>911</v>
      </c>
      <c r="AD176" s="62">
        <v>4455320</v>
      </c>
      <c r="AE176" s="62">
        <v>5076340</v>
      </c>
      <c r="AF176" s="62">
        <v>5342020</v>
      </c>
      <c r="AG176" s="62">
        <v>5179701</v>
      </c>
      <c r="AH176" s="62">
        <v>4970884</v>
      </c>
      <c r="AI176" s="62">
        <v>5184812</v>
      </c>
      <c r="AJ176" s="62"/>
      <c r="AK176" s="62"/>
      <c r="AL176" s="62"/>
      <c r="AM176" s="62"/>
      <c r="AN176" s="62"/>
      <c r="AO176" s="344"/>
      <c r="AP176" s="344"/>
      <c r="AQ176" s="344"/>
      <c r="AR176" s="344"/>
      <c r="AS176" s="344"/>
      <c r="AT176" s="344"/>
      <c r="AU176" s="344"/>
      <c r="AV176" s="344"/>
      <c r="AW176" s="344"/>
      <c r="AX176" s="358"/>
    </row>
    <row r="177" spans="2:50" x14ac:dyDescent="0.25">
      <c r="B177" s="172" t="s">
        <v>184</v>
      </c>
      <c r="C177" s="3">
        <v>108.2</v>
      </c>
      <c r="D177" s="3">
        <v>116.7</v>
      </c>
      <c r="E177" s="3">
        <v>112</v>
      </c>
      <c r="F177" s="3">
        <v>112.7</v>
      </c>
      <c r="G177" s="3">
        <v>125.1</v>
      </c>
      <c r="H177" s="3">
        <v>128.1</v>
      </c>
      <c r="I177" s="3">
        <v>113</v>
      </c>
      <c r="J177" s="3">
        <v>125.7</v>
      </c>
      <c r="K177" s="3">
        <v>122.2</v>
      </c>
      <c r="L177" s="3">
        <v>118</v>
      </c>
      <c r="M177" s="3">
        <v>122.3</v>
      </c>
      <c r="N177" s="3">
        <v>98.5</v>
      </c>
      <c r="O177" s="3">
        <v>94.4</v>
      </c>
      <c r="P177" s="3">
        <v>89</v>
      </c>
      <c r="Q177" s="3">
        <v>80.099999999999994</v>
      </c>
      <c r="R177" s="3">
        <v>73.3</v>
      </c>
      <c r="S177" s="3">
        <v>64.7</v>
      </c>
      <c r="T177" s="3">
        <v>69.8</v>
      </c>
      <c r="U177" s="3">
        <v>72.3</v>
      </c>
      <c r="V177" s="3">
        <v>82.7</v>
      </c>
      <c r="W177" s="3">
        <v>74</v>
      </c>
      <c r="AC177" s="428" t="s">
        <v>912</v>
      </c>
      <c r="AD177" s="62">
        <v>7897</v>
      </c>
      <c r="AE177" s="62">
        <v>9475</v>
      </c>
      <c r="AF177" s="62">
        <v>8720</v>
      </c>
      <c r="AG177" s="62">
        <v>8677</v>
      </c>
      <c r="AH177" s="62">
        <v>8078</v>
      </c>
      <c r="AI177" s="62">
        <v>8534</v>
      </c>
      <c r="AJ177" s="62"/>
      <c r="AK177" s="62"/>
      <c r="AL177" s="62"/>
      <c r="AM177" s="62"/>
      <c r="AN177" s="62"/>
      <c r="AO177" s="344"/>
      <c r="AP177" s="344"/>
      <c r="AQ177" s="344"/>
      <c r="AR177" s="344"/>
      <c r="AS177" s="344"/>
      <c r="AT177" s="344"/>
      <c r="AU177" s="344"/>
      <c r="AV177" s="344"/>
      <c r="AW177" s="344"/>
      <c r="AX177" s="358"/>
    </row>
    <row r="178" spans="2:50" x14ac:dyDescent="0.25">
      <c r="B178" s="172" t="s">
        <v>238</v>
      </c>
      <c r="C178" s="3">
        <v>81.5</v>
      </c>
      <c r="D178" s="3">
        <v>91.1</v>
      </c>
      <c r="E178" s="3">
        <v>93.5</v>
      </c>
      <c r="F178" s="3">
        <v>94.8</v>
      </c>
      <c r="G178" s="3">
        <v>97.2</v>
      </c>
      <c r="H178" s="3">
        <v>99.5</v>
      </c>
      <c r="I178" s="3">
        <v>100.8</v>
      </c>
      <c r="J178" s="3">
        <v>102.3</v>
      </c>
      <c r="K178" s="3">
        <v>103.5</v>
      </c>
      <c r="L178" s="3">
        <v>103.1</v>
      </c>
      <c r="M178" s="3">
        <v>103.8</v>
      </c>
      <c r="N178" s="3">
        <v>106.2</v>
      </c>
      <c r="O178" s="3">
        <v>107.6</v>
      </c>
      <c r="P178" s="3">
        <v>109.7</v>
      </c>
      <c r="Q178" s="3">
        <v>112.1</v>
      </c>
      <c r="R178" s="3">
        <v>114.9</v>
      </c>
      <c r="S178" s="3">
        <v>117.8</v>
      </c>
      <c r="T178" s="3">
        <v>119.5</v>
      </c>
      <c r="U178" s="3">
        <v>122.2</v>
      </c>
      <c r="V178" s="3">
        <v>124</v>
      </c>
      <c r="W178" s="3">
        <v>124.8</v>
      </c>
      <c r="AC178" s="406" t="s">
        <v>904</v>
      </c>
      <c r="AD178" s="378">
        <v>2585880</v>
      </c>
      <c r="AE178" s="378">
        <v>2710358</v>
      </c>
      <c r="AF178" s="378">
        <v>2664279</v>
      </c>
      <c r="AG178" s="378">
        <v>2704371</v>
      </c>
      <c r="AH178" s="378">
        <v>2336500</v>
      </c>
      <c r="AI178" s="378">
        <v>2653321</v>
      </c>
      <c r="AJ178" s="62"/>
      <c r="AK178" s="62"/>
      <c r="AL178" s="62"/>
      <c r="AM178" s="62"/>
      <c r="AN178" s="62"/>
      <c r="AO178" s="344"/>
      <c r="AP178" s="344"/>
      <c r="AQ178" s="344"/>
      <c r="AR178" s="344"/>
      <c r="AS178" s="344"/>
      <c r="AT178" s="344"/>
      <c r="AU178" s="344"/>
      <c r="AV178" s="344"/>
      <c r="AW178" s="344"/>
      <c r="AX178" s="358"/>
    </row>
    <row r="179" spans="2:50" x14ac:dyDescent="0.25">
      <c r="B179" s="162" t="s">
        <v>275</v>
      </c>
      <c r="AC179" s="428" t="s">
        <v>911</v>
      </c>
      <c r="AD179" s="62">
        <v>2576860</v>
      </c>
      <c r="AE179" s="62">
        <v>2700766</v>
      </c>
      <c r="AF179" s="62">
        <v>2654407</v>
      </c>
      <c r="AG179" s="62">
        <v>2694673</v>
      </c>
      <c r="AH179" s="62">
        <v>2327548</v>
      </c>
      <c r="AI179" s="62">
        <v>2642602</v>
      </c>
      <c r="AJ179" s="62"/>
      <c r="AK179" s="62"/>
      <c r="AL179" s="62"/>
      <c r="AM179" s="62"/>
      <c r="AN179" s="62"/>
      <c r="AO179" s="344"/>
      <c r="AP179" s="344"/>
      <c r="AQ179" s="344"/>
      <c r="AR179" s="344"/>
      <c r="AS179" s="344"/>
      <c r="AT179" s="344"/>
      <c r="AU179" s="344"/>
      <c r="AV179" s="344"/>
      <c r="AW179" s="344"/>
      <c r="AX179" s="358"/>
    </row>
    <row r="180" spans="2:50" x14ac:dyDescent="0.25">
      <c r="B180" s="172" t="s">
        <v>17</v>
      </c>
      <c r="C180" s="3">
        <v>15.988039000000001</v>
      </c>
      <c r="D180" s="3">
        <v>16.145363</v>
      </c>
      <c r="E180" s="3">
        <v>16.788748999999999</v>
      </c>
      <c r="F180" s="3">
        <v>16.677374</v>
      </c>
      <c r="G180" s="3">
        <v>16.519186000000001</v>
      </c>
      <c r="H180" s="3">
        <v>16.620294000000001</v>
      </c>
      <c r="I180" s="3">
        <v>16.446968999999999</v>
      </c>
      <c r="J180" s="3">
        <v>16.640757000000001</v>
      </c>
      <c r="K180" s="3">
        <v>16.653998999999999</v>
      </c>
      <c r="L180" s="3">
        <v>17.233131</v>
      </c>
      <c r="M180" s="3">
        <v>17.351768</v>
      </c>
      <c r="N180" s="3">
        <v>17.601984000000002</v>
      </c>
      <c r="O180" s="3">
        <v>17.742425000000001</v>
      </c>
      <c r="P180" s="3">
        <v>18.178685999999999</v>
      </c>
      <c r="Q180" s="3">
        <v>18.551946000000001</v>
      </c>
      <c r="R180" s="3">
        <v>19.549416000000001</v>
      </c>
      <c r="S180" s="3">
        <v>20.975370000000002</v>
      </c>
      <c r="T180" s="3">
        <v>21.059034</v>
      </c>
      <c r="U180" s="3">
        <v>21.172111999999998</v>
      </c>
      <c r="V180" s="3">
        <v>21.649317</v>
      </c>
      <c r="W180" s="3">
        <v>22.543575000000001</v>
      </c>
      <c r="AC180" s="428" t="s">
        <v>912</v>
      </c>
      <c r="AD180" s="62">
        <v>9020</v>
      </c>
      <c r="AE180" s="62">
        <v>9592</v>
      </c>
      <c r="AF180" s="62">
        <v>9872</v>
      </c>
      <c r="AG180" s="62">
        <v>9698</v>
      </c>
      <c r="AH180" s="62">
        <v>8952</v>
      </c>
      <c r="AI180" s="62">
        <v>10719</v>
      </c>
      <c r="AJ180" s="62"/>
      <c r="AK180" s="62"/>
      <c r="AL180" s="62"/>
      <c r="AM180" s="62"/>
      <c r="AN180" s="62"/>
      <c r="AO180" s="344"/>
      <c r="AP180" s="344"/>
      <c r="AQ180" s="344"/>
      <c r="AR180" s="344"/>
      <c r="AS180" s="344"/>
      <c r="AT180" s="344"/>
      <c r="AU180" s="344"/>
      <c r="AV180" s="344"/>
      <c r="AW180" s="344"/>
      <c r="AX180" s="358"/>
    </row>
    <row r="181" spans="2:50" x14ac:dyDescent="0.25">
      <c r="B181" s="172" t="s">
        <v>8</v>
      </c>
      <c r="C181" s="3">
        <v>27.603244</v>
      </c>
      <c r="D181" s="3">
        <v>27.502464</v>
      </c>
      <c r="E181" s="3">
        <v>27.818588999999999</v>
      </c>
      <c r="F181" s="3">
        <v>26.774625</v>
      </c>
      <c r="G181" s="3">
        <v>25.684200000000001</v>
      </c>
      <c r="H181" s="3">
        <v>24.932137000000001</v>
      </c>
      <c r="I181" s="3">
        <v>24.629011999999999</v>
      </c>
      <c r="J181" s="3">
        <v>24.274145000000001</v>
      </c>
      <c r="K181" s="3">
        <v>23.681353999999999</v>
      </c>
      <c r="L181" s="3">
        <v>23.807784999999999</v>
      </c>
      <c r="M181" s="3">
        <v>22.850587999999998</v>
      </c>
      <c r="N181" s="3">
        <v>22.140294999999998</v>
      </c>
      <c r="O181" s="3">
        <v>21.443569</v>
      </c>
      <c r="P181" s="3">
        <v>20.923241000000001</v>
      </c>
      <c r="Q181" s="3">
        <v>20.196221999999999</v>
      </c>
      <c r="R181" s="3">
        <v>20.296605</v>
      </c>
      <c r="S181" s="3">
        <v>20.13015</v>
      </c>
      <c r="T181" s="3">
        <v>18.982858</v>
      </c>
      <c r="U181" s="3">
        <v>17.809283000000001</v>
      </c>
      <c r="V181" s="3">
        <v>17.323333999999999</v>
      </c>
      <c r="W181" s="3">
        <v>16.691496999999998</v>
      </c>
      <c r="AC181" s="406" t="s">
        <v>905</v>
      </c>
      <c r="AD181" s="378">
        <v>3451778</v>
      </c>
      <c r="AE181" s="378">
        <v>4027138</v>
      </c>
      <c r="AF181" s="378">
        <v>4114449</v>
      </c>
      <c r="AG181" s="378">
        <v>4494296</v>
      </c>
      <c r="AH181" s="378">
        <v>4403819</v>
      </c>
      <c r="AI181" s="378">
        <v>5230796</v>
      </c>
      <c r="AJ181" s="62"/>
      <c r="AK181" s="62"/>
      <c r="AL181" s="62"/>
      <c r="AM181" s="62"/>
      <c r="AN181" s="62"/>
      <c r="AO181" s="344"/>
      <c r="AP181" s="344"/>
      <c r="AQ181" s="344"/>
      <c r="AR181" s="344"/>
      <c r="AS181" s="344"/>
      <c r="AT181" s="344"/>
      <c r="AU181" s="344"/>
      <c r="AV181" s="344"/>
      <c r="AW181" s="344"/>
      <c r="AX181" s="358"/>
    </row>
    <row r="182" spans="2:50" x14ac:dyDescent="0.25">
      <c r="B182" s="172" t="s">
        <v>20</v>
      </c>
      <c r="C182" s="3">
        <v>18.014271999999998</v>
      </c>
      <c r="D182" s="3">
        <v>16.972193999999998</v>
      </c>
      <c r="E182" s="3">
        <v>16.551030000000001</v>
      </c>
      <c r="F182" s="3">
        <v>17.321642000000001</v>
      </c>
      <c r="G182" s="3">
        <v>17.440667000000001</v>
      </c>
      <c r="H182" s="3">
        <v>18.189854</v>
      </c>
      <c r="I182" s="3">
        <v>17.720410999999999</v>
      </c>
      <c r="J182" s="3">
        <v>17.772981999999999</v>
      </c>
      <c r="K182" s="3">
        <v>17.986763</v>
      </c>
      <c r="L182" s="3">
        <v>17.832652</v>
      </c>
      <c r="M182" s="3">
        <v>17.857258999999999</v>
      </c>
      <c r="N182" s="3">
        <v>18.749362000000001</v>
      </c>
      <c r="O182" s="3">
        <v>18.604610000000001</v>
      </c>
      <c r="P182" s="3">
        <v>18.41507</v>
      </c>
      <c r="Q182" s="3">
        <v>18.819571</v>
      </c>
      <c r="R182" s="3">
        <v>17.863192999999999</v>
      </c>
      <c r="S182" s="3">
        <v>16.707518</v>
      </c>
      <c r="T182" s="3">
        <v>17.138318000000002</v>
      </c>
      <c r="U182" s="3">
        <v>17.254721</v>
      </c>
      <c r="V182" s="3">
        <v>17.042978999999999</v>
      </c>
      <c r="W182" s="3">
        <v>19.195996000000001</v>
      </c>
      <c r="AC182" s="428" t="s">
        <v>911</v>
      </c>
      <c r="AD182" s="62">
        <v>3448614</v>
      </c>
      <c r="AE182" s="62">
        <v>4023483</v>
      </c>
      <c r="AF182" s="62">
        <v>4110759</v>
      </c>
      <c r="AG182" s="62">
        <v>4490841</v>
      </c>
      <c r="AH182" s="62">
        <v>4400471</v>
      </c>
      <c r="AI182" s="62">
        <v>5226532</v>
      </c>
      <c r="AJ182" s="62"/>
      <c r="AK182" s="62"/>
      <c r="AL182" s="62"/>
      <c r="AM182" s="62"/>
      <c r="AN182" s="62"/>
      <c r="AO182" s="344"/>
      <c r="AP182" s="344"/>
      <c r="AQ182" s="344"/>
      <c r="AR182" s="344"/>
      <c r="AS182" s="344"/>
      <c r="AT182" s="344"/>
      <c r="AU182" s="344"/>
      <c r="AV182" s="344"/>
      <c r="AW182" s="344"/>
      <c r="AX182" s="358"/>
    </row>
    <row r="183" spans="2:50" x14ac:dyDescent="0.25">
      <c r="B183" s="172" t="s">
        <v>182</v>
      </c>
      <c r="C183" s="3">
        <v>10.237429000000001</v>
      </c>
      <c r="D183" s="3">
        <v>9.397786</v>
      </c>
      <c r="E183" s="3">
        <v>9.3239230000000006</v>
      </c>
      <c r="F183" s="3">
        <v>8.9846520000000005</v>
      </c>
      <c r="G183" s="3">
        <v>9.6663150000000009</v>
      </c>
      <c r="H183" s="3">
        <v>10.066226</v>
      </c>
      <c r="I183" s="3">
        <v>10.109432</v>
      </c>
      <c r="J183" s="3">
        <v>9.8879909999999995</v>
      </c>
      <c r="K183" s="3">
        <v>9.3777519999999992</v>
      </c>
      <c r="L183" s="3">
        <v>8.5425699999999996</v>
      </c>
      <c r="M183" s="3">
        <v>8.5496040000000004</v>
      </c>
      <c r="N183" s="3">
        <v>8.659027</v>
      </c>
      <c r="O183" s="3">
        <v>9.7721269999999993</v>
      </c>
      <c r="P183" s="3">
        <v>9.9746640000000006</v>
      </c>
      <c r="Q183" s="3">
        <v>9.9318679999999997</v>
      </c>
      <c r="R183" s="3">
        <v>10.214257</v>
      </c>
      <c r="S183" s="3">
        <v>10.492417</v>
      </c>
      <c r="T183" s="3">
        <v>10.960017000000001</v>
      </c>
      <c r="U183" s="3">
        <v>11.824845</v>
      </c>
      <c r="V183" s="3">
        <v>11.761317999999999</v>
      </c>
      <c r="W183" s="3">
        <v>6.624371</v>
      </c>
      <c r="AC183" s="428" t="s">
        <v>912</v>
      </c>
      <c r="AD183" s="62">
        <v>3164</v>
      </c>
      <c r="AE183" s="62">
        <v>3655</v>
      </c>
      <c r="AF183" s="62">
        <v>3690</v>
      </c>
      <c r="AG183" s="62">
        <v>3455</v>
      </c>
      <c r="AH183" s="62">
        <v>3348</v>
      </c>
      <c r="AI183" s="62">
        <v>4264</v>
      </c>
      <c r="AJ183" s="62"/>
      <c r="AK183" s="62"/>
      <c r="AL183" s="62"/>
      <c r="AM183" s="62"/>
      <c r="AN183" s="62"/>
      <c r="AO183" s="344"/>
      <c r="AP183" s="344"/>
      <c r="AQ183" s="344"/>
      <c r="AR183" s="344"/>
      <c r="AS183" s="344"/>
      <c r="AT183" s="344"/>
      <c r="AU183" s="344"/>
      <c r="AV183" s="344"/>
      <c r="AW183" s="344"/>
      <c r="AX183" s="358"/>
    </row>
    <row r="184" spans="2:50" x14ac:dyDescent="0.25">
      <c r="B184" s="172" t="s">
        <v>19</v>
      </c>
      <c r="C184" s="3">
        <v>6.9331649999999998</v>
      </c>
      <c r="D184" s="3">
        <v>7.9683780000000004</v>
      </c>
      <c r="E184" s="3">
        <v>7.5968520000000002</v>
      </c>
      <c r="F184" s="3">
        <v>8.6556580000000007</v>
      </c>
      <c r="G184" s="3">
        <v>9.2619559999999996</v>
      </c>
      <c r="H184" s="3">
        <v>8.45838</v>
      </c>
      <c r="I184" s="3">
        <v>9.8496299999999994</v>
      </c>
      <c r="J184" s="3">
        <v>9.7121750000000002</v>
      </c>
      <c r="K184" s="3">
        <v>10.293065</v>
      </c>
      <c r="L184" s="3">
        <v>11.070785000000001</v>
      </c>
      <c r="M184" s="3">
        <v>12.000947</v>
      </c>
      <c r="N184" s="3">
        <v>11.739903</v>
      </c>
      <c r="O184" s="3">
        <v>11.519443000000001</v>
      </c>
      <c r="P184" s="3">
        <v>11.813370000000001</v>
      </c>
      <c r="Q184" s="3">
        <v>11.687878</v>
      </c>
      <c r="R184" s="3">
        <v>11.254275</v>
      </c>
      <c r="S184" s="3">
        <v>10.946816999999999</v>
      </c>
      <c r="T184" s="3">
        <v>10.88874</v>
      </c>
      <c r="U184" s="3">
        <v>11.028311</v>
      </c>
      <c r="V184" s="3">
        <v>10.732974</v>
      </c>
      <c r="W184" s="3">
        <v>11.396569</v>
      </c>
      <c r="AC184" s="406" t="s">
        <v>906</v>
      </c>
      <c r="AD184" s="378">
        <v>1429360</v>
      </c>
      <c r="AE184" s="378">
        <v>1626807</v>
      </c>
      <c r="AF184" s="378">
        <v>1623376</v>
      </c>
      <c r="AG184" s="378">
        <v>1618320</v>
      </c>
      <c r="AH184" s="378">
        <v>1704998</v>
      </c>
      <c r="AI184" s="378">
        <v>1777278</v>
      </c>
      <c r="AJ184" s="62"/>
      <c r="AK184" s="62"/>
      <c r="AL184" s="62"/>
      <c r="AM184" s="62"/>
      <c r="AN184" s="62"/>
      <c r="AO184" s="344"/>
      <c r="AP184" s="344"/>
      <c r="AQ184" s="344"/>
      <c r="AR184" s="344"/>
      <c r="AS184" s="344"/>
      <c r="AT184" s="344"/>
      <c r="AU184" s="344"/>
      <c r="AV184" s="344"/>
      <c r="AW184" s="344"/>
      <c r="AX184" s="358"/>
    </row>
    <row r="185" spans="2:50" x14ac:dyDescent="0.25">
      <c r="B185" s="172" t="s">
        <v>18</v>
      </c>
      <c r="C185" s="3">
        <v>6.4355859999999998</v>
      </c>
      <c r="D185" s="3">
        <v>6.5493930000000002</v>
      </c>
      <c r="E185" s="3">
        <v>6.6980550000000001</v>
      </c>
      <c r="F185" s="3">
        <v>6.5978250000000003</v>
      </c>
      <c r="G185" s="3">
        <v>6.498888</v>
      </c>
      <c r="H185" s="3">
        <v>6.4865940000000002</v>
      </c>
      <c r="I185" s="3">
        <v>6.4970869999999996</v>
      </c>
      <c r="J185" s="3">
        <v>6.6367440000000002</v>
      </c>
      <c r="K185" s="3">
        <v>6.651624</v>
      </c>
      <c r="L185" s="3">
        <v>6.8118169999999996</v>
      </c>
      <c r="M185" s="3">
        <v>6.8393540000000002</v>
      </c>
      <c r="N185" s="3">
        <v>6.8755639999999998</v>
      </c>
      <c r="O185" s="3">
        <v>7.0018279999999997</v>
      </c>
      <c r="P185" s="3">
        <v>7.1656979999999999</v>
      </c>
      <c r="Q185" s="3">
        <v>7.3158659999999998</v>
      </c>
      <c r="R185" s="3">
        <v>7.6639369999999998</v>
      </c>
      <c r="S185" s="3">
        <v>8.2252209999999994</v>
      </c>
      <c r="T185" s="3">
        <v>8.2639990000000001</v>
      </c>
      <c r="U185" s="3">
        <v>8.2768309999999996</v>
      </c>
      <c r="V185" s="3">
        <v>8.4610409999999998</v>
      </c>
      <c r="W185" s="3">
        <v>8.8401080000000007</v>
      </c>
      <c r="AC185" s="428" t="s">
        <v>911</v>
      </c>
      <c r="AD185" s="62">
        <v>1414686</v>
      </c>
      <c r="AE185" s="62">
        <v>1611881</v>
      </c>
      <c r="AF185" s="62">
        <v>1606286</v>
      </c>
      <c r="AG185" s="62">
        <v>1599155</v>
      </c>
      <c r="AH185" s="62">
        <v>1685745</v>
      </c>
      <c r="AI185" s="62">
        <v>1760821</v>
      </c>
      <c r="AJ185" s="62"/>
      <c r="AK185" s="62"/>
      <c r="AL185" s="62"/>
      <c r="AM185" s="62"/>
      <c r="AN185" s="62"/>
      <c r="AO185" s="344"/>
      <c r="AP185" s="344"/>
      <c r="AQ185" s="344"/>
      <c r="AR185" s="344"/>
      <c r="AS185" s="344"/>
      <c r="AT185" s="344"/>
      <c r="AU185" s="344"/>
      <c r="AV185" s="344"/>
      <c r="AW185" s="344"/>
      <c r="AX185" s="358"/>
    </row>
    <row r="186" spans="2:50" x14ac:dyDescent="0.25">
      <c r="B186" s="172" t="s">
        <v>1202</v>
      </c>
      <c r="C186" s="3">
        <v>3.5986549999999999</v>
      </c>
      <c r="D186" s="3">
        <v>4.0383110000000002</v>
      </c>
      <c r="E186" s="3">
        <v>4.0990169999999999</v>
      </c>
      <c r="F186" s="3">
        <v>4.0350529999999996</v>
      </c>
      <c r="G186" s="3">
        <v>3.9856739999999999</v>
      </c>
      <c r="H186" s="3">
        <v>4.0016400000000001</v>
      </c>
      <c r="I186" s="3">
        <v>4.0886370000000003</v>
      </c>
      <c r="J186" s="3">
        <v>3.9835660000000002</v>
      </c>
      <c r="K186" s="3">
        <v>4.0559630000000002</v>
      </c>
      <c r="L186" s="3">
        <v>4.0697369999999999</v>
      </c>
      <c r="M186" s="3">
        <v>3.9681850000000001</v>
      </c>
      <c r="N186" s="3">
        <v>4.0544529999999996</v>
      </c>
      <c r="O186" s="3">
        <v>4.0712820000000001</v>
      </c>
      <c r="P186" s="3">
        <v>4.0693190000000001</v>
      </c>
      <c r="Q186" s="3">
        <v>4.225797</v>
      </c>
      <c r="R186" s="3">
        <v>4.3506689999999999</v>
      </c>
      <c r="S186" s="3">
        <v>4.459517</v>
      </c>
      <c r="T186" s="3">
        <v>4.3894529999999996</v>
      </c>
      <c r="U186" s="3">
        <v>4.3194730000000003</v>
      </c>
      <c r="V186" s="3">
        <v>4.3342010000000002</v>
      </c>
      <c r="W186" s="3">
        <v>5.274527</v>
      </c>
      <c r="AC186" s="428" t="s">
        <v>912</v>
      </c>
      <c r="AD186" s="62">
        <v>14674</v>
      </c>
      <c r="AE186" s="62">
        <v>14926</v>
      </c>
      <c r="AF186" s="62">
        <v>17090</v>
      </c>
      <c r="AG186" s="62">
        <v>19165</v>
      </c>
      <c r="AH186" s="62">
        <v>19253</v>
      </c>
      <c r="AI186" s="62">
        <v>16457</v>
      </c>
      <c r="AJ186" s="62"/>
      <c r="AK186" s="62"/>
      <c r="AL186" s="62"/>
      <c r="AM186" s="62"/>
      <c r="AN186" s="62"/>
      <c r="AO186" s="344"/>
      <c r="AP186" s="344"/>
      <c r="AQ186" s="344"/>
      <c r="AR186" s="344"/>
      <c r="AS186" s="344"/>
      <c r="AT186" s="344"/>
      <c r="AU186" s="344"/>
      <c r="AV186" s="344"/>
      <c r="AW186" s="344"/>
      <c r="AX186" s="358"/>
    </row>
    <row r="187" spans="2:50" x14ac:dyDescent="0.25">
      <c r="B187" s="172" t="s">
        <v>57</v>
      </c>
      <c r="C187" s="3">
        <v>3.5970719999999998</v>
      </c>
      <c r="D187" s="3">
        <v>3.58039</v>
      </c>
      <c r="E187" s="3">
        <v>3.2196959999999999</v>
      </c>
      <c r="F187" s="3">
        <v>3.1642269999999999</v>
      </c>
      <c r="G187" s="3">
        <v>3.1424599999999998</v>
      </c>
      <c r="H187" s="3">
        <v>3.28329</v>
      </c>
      <c r="I187" s="3">
        <v>3.4697140000000002</v>
      </c>
      <c r="J187" s="3">
        <v>3.5699679999999998</v>
      </c>
      <c r="K187" s="3">
        <v>3.783347</v>
      </c>
      <c r="L187" s="3">
        <v>3.2476669999999999</v>
      </c>
      <c r="M187" s="3">
        <v>3.1019480000000001</v>
      </c>
      <c r="N187" s="3">
        <v>3.4934850000000002</v>
      </c>
      <c r="O187" s="3">
        <v>3.5587149999999999</v>
      </c>
      <c r="P187" s="3">
        <v>3.3678080000000001</v>
      </c>
      <c r="Q187" s="3">
        <v>3.5119379999999998</v>
      </c>
      <c r="R187" s="3">
        <v>3.3566530000000001</v>
      </c>
      <c r="S187" s="3">
        <v>3.0777030000000001</v>
      </c>
      <c r="T187" s="3">
        <v>3.4173559999999998</v>
      </c>
      <c r="U187" s="3">
        <v>3.3640409999999998</v>
      </c>
      <c r="V187" s="3">
        <v>3.3490359999999999</v>
      </c>
      <c r="W187" s="3">
        <v>3.8240419999999999</v>
      </c>
      <c r="AC187" s="406" t="s">
        <v>907</v>
      </c>
      <c r="AD187" s="378">
        <v>908961</v>
      </c>
      <c r="AE187" s="378">
        <v>909867</v>
      </c>
      <c r="AF187" s="378">
        <v>888588</v>
      </c>
      <c r="AG187" s="378">
        <v>916959</v>
      </c>
      <c r="AH187" s="378">
        <v>783362</v>
      </c>
      <c r="AI187" s="378">
        <v>770785</v>
      </c>
      <c r="AJ187" s="62"/>
      <c r="AK187" s="62"/>
      <c r="AL187" s="62"/>
      <c r="AM187" s="62"/>
      <c r="AN187" s="62"/>
      <c r="AO187" s="344"/>
      <c r="AP187" s="344"/>
      <c r="AQ187" s="344"/>
      <c r="AR187" s="344"/>
      <c r="AS187" s="344"/>
      <c r="AT187" s="344"/>
      <c r="AU187" s="344"/>
      <c r="AV187" s="344"/>
      <c r="AW187" s="344"/>
      <c r="AX187" s="358"/>
    </row>
    <row r="188" spans="2:50" x14ac:dyDescent="0.25">
      <c r="B188" s="172" t="s">
        <v>184</v>
      </c>
      <c r="C188" s="3">
        <v>4.776376</v>
      </c>
      <c r="D188" s="3">
        <v>5.1729830000000003</v>
      </c>
      <c r="E188" s="3">
        <v>4.9087769999999997</v>
      </c>
      <c r="F188" s="3">
        <v>4.7977959999999999</v>
      </c>
      <c r="G188" s="3">
        <v>5.1304629999999998</v>
      </c>
      <c r="H188" s="3">
        <v>5.1534440000000004</v>
      </c>
      <c r="I188" s="3">
        <v>4.5837969999999997</v>
      </c>
      <c r="J188" s="3">
        <v>4.8941090000000003</v>
      </c>
      <c r="K188" s="3">
        <v>4.7869229999999998</v>
      </c>
      <c r="L188" s="3">
        <v>4.6573659999999997</v>
      </c>
      <c r="M188" s="3">
        <v>4.675484</v>
      </c>
      <c r="N188" s="3">
        <v>3.7634500000000002</v>
      </c>
      <c r="O188" s="3">
        <v>3.5712649999999999</v>
      </c>
      <c r="P188" s="3">
        <v>3.299747</v>
      </c>
      <c r="Q188" s="3">
        <v>3.0188570000000001</v>
      </c>
      <c r="R188" s="3">
        <v>2.7754910000000002</v>
      </c>
      <c r="S188" s="3">
        <v>2.4501659999999998</v>
      </c>
      <c r="T188" s="3">
        <v>2.5624359999999999</v>
      </c>
      <c r="U188" s="3">
        <v>2.5561919999999998</v>
      </c>
      <c r="V188" s="3">
        <v>2.889386</v>
      </c>
      <c r="W188" s="3">
        <v>3.1293259999999998</v>
      </c>
      <c r="AC188" s="428" t="s">
        <v>911</v>
      </c>
      <c r="AD188" s="62">
        <v>904884</v>
      </c>
      <c r="AE188" s="62">
        <v>906188</v>
      </c>
      <c r="AF188" s="62">
        <v>884262</v>
      </c>
      <c r="AG188" s="62">
        <v>912309</v>
      </c>
      <c r="AH188" s="62">
        <v>778725</v>
      </c>
      <c r="AI188" s="62">
        <v>766690</v>
      </c>
      <c r="AJ188" s="62"/>
      <c r="AK188" s="62"/>
      <c r="AL188" s="62"/>
      <c r="AM188" s="62"/>
      <c r="AN188" s="62"/>
      <c r="AO188" s="344"/>
      <c r="AP188" s="344"/>
      <c r="AQ188" s="344"/>
      <c r="AR188" s="344"/>
      <c r="AS188" s="344"/>
      <c r="AT188" s="344"/>
      <c r="AU188" s="344"/>
      <c r="AV188" s="344"/>
      <c r="AW188" s="344"/>
      <c r="AX188" s="358"/>
    </row>
    <row r="189" spans="2:50" x14ac:dyDescent="0.25">
      <c r="B189" s="172" t="s">
        <v>39</v>
      </c>
      <c r="C189" s="3">
        <v>1.255668</v>
      </c>
      <c r="D189" s="3">
        <v>1.2490270000000001</v>
      </c>
      <c r="E189" s="3">
        <v>1.461379</v>
      </c>
      <c r="F189" s="3">
        <v>1.4628350000000001</v>
      </c>
      <c r="G189" s="3">
        <v>1.3558140000000001</v>
      </c>
      <c r="H189" s="3">
        <v>1.429643</v>
      </c>
      <c r="I189" s="3">
        <v>1.2387349999999999</v>
      </c>
      <c r="J189" s="3">
        <v>1.3343970000000001</v>
      </c>
      <c r="K189" s="3">
        <v>1.397465</v>
      </c>
      <c r="L189" s="3">
        <v>1.43567</v>
      </c>
      <c r="M189" s="3">
        <v>1.498804</v>
      </c>
      <c r="N189" s="3">
        <v>1.5707599999999999</v>
      </c>
      <c r="O189" s="3">
        <v>1.4334309999999999</v>
      </c>
      <c r="P189" s="3">
        <v>1.5543549999999999</v>
      </c>
      <c r="Q189" s="3">
        <v>1.5134179999999999</v>
      </c>
      <c r="R189" s="3">
        <v>1.5083800000000001</v>
      </c>
      <c r="S189" s="3">
        <v>1.333105</v>
      </c>
      <c r="T189" s="3">
        <v>1.3807309999999999</v>
      </c>
      <c r="U189" s="3">
        <v>1.3607560000000001</v>
      </c>
      <c r="V189" s="3">
        <v>1.3768210000000001</v>
      </c>
      <c r="W189" s="3">
        <v>1.2739259999999999</v>
      </c>
      <c r="AC189" s="428" t="s">
        <v>912</v>
      </c>
      <c r="AD189" s="62">
        <v>4077</v>
      </c>
      <c r="AE189" s="62">
        <v>3679</v>
      </c>
      <c r="AF189" s="62">
        <v>4326</v>
      </c>
      <c r="AG189" s="62">
        <v>4650</v>
      </c>
      <c r="AH189" s="62">
        <v>4637</v>
      </c>
      <c r="AI189" s="62">
        <v>4095</v>
      </c>
      <c r="AJ189" s="62"/>
      <c r="AK189" s="62"/>
      <c r="AL189" s="62"/>
      <c r="AM189" s="62"/>
      <c r="AN189" s="62"/>
      <c r="AO189" s="344"/>
      <c r="AP189" s="344"/>
      <c r="AQ189" s="344"/>
      <c r="AR189" s="344"/>
      <c r="AS189" s="344"/>
      <c r="AT189" s="344"/>
      <c r="AU189" s="344"/>
      <c r="AV189" s="344"/>
      <c r="AW189" s="344"/>
      <c r="AX189" s="358"/>
    </row>
    <row r="190" spans="2:50" x14ac:dyDescent="0.25">
      <c r="B190" s="172" t="s">
        <v>38</v>
      </c>
      <c r="C190" s="3">
        <v>0.64812999999999998</v>
      </c>
      <c r="D190" s="3">
        <v>0.56232099999999996</v>
      </c>
      <c r="E190" s="3">
        <v>0.60394899999999996</v>
      </c>
      <c r="F190" s="3">
        <v>0.67256300000000002</v>
      </c>
      <c r="G190" s="3">
        <v>0.51403600000000005</v>
      </c>
      <c r="H190" s="3">
        <v>0.534327</v>
      </c>
      <c r="I190" s="3">
        <v>0.55577799999999999</v>
      </c>
      <c r="J190" s="3">
        <v>0.53467900000000002</v>
      </c>
      <c r="K190" s="3">
        <v>0.58752000000000004</v>
      </c>
      <c r="L190" s="3">
        <v>0.58382800000000001</v>
      </c>
      <c r="M190" s="3">
        <v>0.59493799999999997</v>
      </c>
      <c r="N190" s="3">
        <v>0.62388399999999999</v>
      </c>
      <c r="O190" s="3">
        <v>0.54832700000000001</v>
      </c>
      <c r="P190" s="3">
        <v>0.49068200000000001</v>
      </c>
      <c r="Q190" s="3">
        <v>0.47435699999999997</v>
      </c>
      <c r="R190" s="3">
        <v>0.46878500000000001</v>
      </c>
      <c r="S190" s="3">
        <v>0.51692800000000005</v>
      </c>
      <c r="T190" s="3">
        <v>0.30163600000000002</v>
      </c>
      <c r="U190" s="3">
        <v>0.38730500000000001</v>
      </c>
      <c r="V190" s="3">
        <v>0.44395099999999998</v>
      </c>
      <c r="W190" s="3">
        <v>0.46292</v>
      </c>
      <c r="AC190" s="406" t="s">
        <v>908</v>
      </c>
      <c r="AD190" s="378">
        <v>1399025</v>
      </c>
      <c r="AE190" s="378">
        <v>1700694</v>
      </c>
      <c r="AF190" s="378">
        <v>1988011</v>
      </c>
      <c r="AG190" s="378">
        <v>2368945</v>
      </c>
      <c r="AH190" s="378">
        <v>1015296</v>
      </c>
      <c r="AI190" s="378">
        <v>1670677</v>
      </c>
      <c r="AJ190" s="62"/>
      <c r="AK190" s="62"/>
      <c r="AL190" s="62"/>
      <c r="AM190" s="62"/>
      <c r="AN190" s="62"/>
      <c r="AO190" s="344"/>
      <c r="AP190" s="344"/>
      <c r="AQ190" s="344"/>
      <c r="AR190" s="344"/>
      <c r="AS190" s="344"/>
      <c r="AT190" s="344"/>
      <c r="AU190" s="344"/>
      <c r="AV190" s="344"/>
      <c r="AW190" s="344"/>
      <c r="AX190" s="358"/>
    </row>
    <row r="191" spans="2:50" x14ac:dyDescent="0.25">
      <c r="B191" s="172" t="s">
        <v>183</v>
      </c>
      <c r="C191" s="3">
        <v>0.35742499999999999</v>
      </c>
      <c r="D191" s="3">
        <v>0.30395299999999997</v>
      </c>
      <c r="E191" s="3">
        <v>0.320768</v>
      </c>
      <c r="F191" s="3">
        <v>0.289468</v>
      </c>
      <c r="G191" s="3">
        <v>0.29717199999999999</v>
      </c>
      <c r="H191" s="3">
        <v>0.31686700000000001</v>
      </c>
      <c r="I191" s="3">
        <v>0.29232999999999998</v>
      </c>
      <c r="J191" s="3">
        <v>0.22989699999999999</v>
      </c>
      <c r="K191" s="3">
        <v>0.19347</v>
      </c>
      <c r="L191" s="3">
        <v>0.175728</v>
      </c>
      <c r="M191" s="3">
        <v>0.202207</v>
      </c>
      <c r="N191" s="3">
        <v>0.20824500000000001</v>
      </c>
      <c r="O191" s="3">
        <v>0.23158300000000001</v>
      </c>
      <c r="P191" s="3">
        <v>0.23443600000000001</v>
      </c>
      <c r="Q191" s="3">
        <v>0.23543700000000001</v>
      </c>
      <c r="R191" s="3">
        <v>0.21160599999999999</v>
      </c>
      <c r="S191" s="3">
        <v>0.22603100000000001</v>
      </c>
      <c r="T191" s="3">
        <v>0.25949100000000003</v>
      </c>
      <c r="U191" s="3">
        <v>0.28109899999999999</v>
      </c>
      <c r="V191" s="3">
        <v>0.26775300000000002</v>
      </c>
      <c r="W191" s="3">
        <v>0.39961000000000002</v>
      </c>
      <c r="AC191" s="428" t="s">
        <v>911</v>
      </c>
      <c r="AD191" s="62">
        <v>1387906</v>
      </c>
      <c r="AE191" s="62">
        <v>1685201</v>
      </c>
      <c r="AF191" s="62">
        <v>1971444</v>
      </c>
      <c r="AG191" s="62">
        <v>2353241</v>
      </c>
      <c r="AH191" s="62">
        <v>1004924</v>
      </c>
      <c r="AI191" s="62">
        <v>1658413</v>
      </c>
      <c r="AJ191" s="62"/>
      <c r="AK191" s="62"/>
      <c r="AL191" s="62"/>
      <c r="AM191" s="62"/>
      <c r="AN191" s="62"/>
      <c r="AO191" s="344"/>
      <c r="AP191" s="344"/>
      <c r="AQ191" s="344"/>
      <c r="AR191" s="344"/>
      <c r="AS191" s="344"/>
      <c r="AT191" s="344"/>
      <c r="AU191" s="344"/>
      <c r="AV191" s="344"/>
      <c r="AW191" s="344"/>
      <c r="AX191" s="358"/>
    </row>
    <row r="192" spans="2:50" x14ac:dyDescent="0.25">
      <c r="B192" s="172" t="s">
        <v>37</v>
      </c>
      <c r="C192" s="3">
        <v>0.10880099999999999</v>
      </c>
      <c r="D192" s="3">
        <v>0.110828</v>
      </c>
      <c r="E192" s="3">
        <v>0.124983</v>
      </c>
      <c r="F192" s="3">
        <v>0.129745</v>
      </c>
      <c r="G192" s="3">
        <v>0.135849</v>
      </c>
      <c r="H192" s="3">
        <v>0.132381</v>
      </c>
      <c r="I192" s="3">
        <v>0.14153199999999999</v>
      </c>
      <c r="J192" s="3">
        <v>0.14418700000000001</v>
      </c>
      <c r="K192" s="3">
        <v>0.14836099999999999</v>
      </c>
      <c r="L192" s="3">
        <v>0.20184099999999999</v>
      </c>
      <c r="M192" s="3">
        <v>0.20369999999999999</v>
      </c>
      <c r="N192" s="3">
        <v>0.20719699999999999</v>
      </c>
      <c r="O192" s="3">
        <v>0.21301300000000001</v>
      </c>
      <c r="P192" s="3">
        <v>0.21154400000000001</v>
      </c>
      <c r="Q192" s="3">
        <v>0.20960300000000001</v>
      </c>
      <c r="R192" s="3">
        <v>0.21553700000000001</v>
      </c>
      <c r="S192" s="3">
        <v>0.21901300000000001</v>
      </c>
      <c r="T192" s="3">
        <v>0.20746800000000001</v>
      </c>
      <c r="U192" s="3">
        <v>0.201015</v>
      </c>
      <c r="V192" s="3">
        <v>0.20411899999999999</v>
      </c>
      <c r="W192" s="3">
        <v>0.21260299999999999</v>
      </c>
      <c r="AC192" s="428" t="s">
        <v>912</v>
      </c>
      <c r="AD192" s="62">
        <v>11119</v>
      </c>
      <c r="AE192" s="62">
        <v>15493</v>
      </c>
      <c r="AF192" s="62">
        <v>16567</v>
      </c>
      <c r="AG192" s="62">
        <v>15704</v>
      </c>
      <c r="AH192" s="62">
        <v>10372</v>
      </c>
      <c r="AI192" s="62">
        <v>12264</v>
      </c>
      <c r="AJ192" s="62"/>
      <c r="AK192" s="62"/>
      <c r="AL192" s="62"/>
      <c r="AM192" s="62"/>
      <c r="AN192" s="62"/>
      <c r="AO192" s="344"/>
      <c r="AP192" s="344"/>
      <c r="AQ192" s="344"/>
      <c r="AR192" s="344"/>
      <c r="AS192" s="344"/>
      <c r="AT192" s="344"/>
      <c r="AU192" s="344"/>
      <c r="AV192" s="344"/>
      <c r="AW192" s="344"/>
      <c r="AX192" s="358"/>
    </row>
    <row r="193" spans="2:50" x14ac:dyDescent="0.25">
      <c r="B193" s="172" t="s">
        <v>40</v>
      </c>
      <c r="C193" s="3">
        <v>0.31489299999999998</v>
      </c>
      <c r="D193" s="3">
        <v>0.31532500000000002</v>
      </c>
      <c r="E193" s="3">
        <v>0.36366799999999999</v>
      </c>
      <c r="F193" s="3">
        <v>0.32556099999999999</v>
      </c>
      <c r="G193" s="3">
        <v>0.26302599999999998</v>
      </c>
      <c r="H193" s="3">
        <v>0.28758099999999998</v>
      </c>
      <c r="I193" s="3">
        <v>0.26749000000000001</v>
      </c>
      <c r="J193" s="3">
        <v>0.27520299999999998</v>
      </c>
      <c r="K193" s="3">
        <v>0.27890700000000002</v>
      </c>
      <c r="L193" s="3">
        <v>0.21121300000000001</v>
      </c>
      <c r="M193" s="3">
        <v>0.210726</v>
      </c>
      <c r="N193" s="3">
        <v>0.206868</v>
      </c>
      <c r="O193" s="3">
        <v>0.198407</v>
      </c>
      <c r="P193" s="3">
        <v>0.223522</v>
      </c>
      <c r="Q193" s="3">
        <v>0.23249900000000001</v>
      </c>
      <c r="R193" s="3">
        <v>0.195491</v>
      </c>
      <c r="S193" s="3">
        <v>0.163522</v>
      </c>
      <c r="T193" s="3">
        <v>0.10453800000000001</v>
      </c>
      <c r="U193" s="3">
        <v>8.5061999999999999E-2</v>
      </c>
      <c r="V193" s="3">
        <v>8.3780999999999994E-2</v>
      </c>
      <c r="W193" s="3">
        <v>8.4709999999999994E-2</v>
      </c>
      <c r="AC193" s="406" t="s">
        <v>909</v>
      </c>
      <c r="AD193" s="378">
        <v>1960132</v>
      </c>
      <c r="AE193" s="378">
        <v>2532383</v>
      </c>
      <c r="AF193" s="378">
        <v>2640192</v>
      </c>
      <c r="AG193" s="378">
        <v>3365489</v>
      </c>
      <c r="AH193" s="378">
        <v>1814470</v>
      </c>
      <c r="AI193" s="378">
        <v>2920345</v>
      </c>
      <c r="AJ193" s="62"/>
      <c r="AK193" s="62"/>
      <c r="AL193" s="62"/>
      <c r="AM193" s="62"/>
      <c r="AN193" s="62"/>
      <c r="AO193" s="344"/>
      <c r="AP193" s="344"/>
      <c r="AQ193" s="344"/>
      <c r="AR193" s="344"/>
      <c r="AS193" s="344"/>
      <c r="AT193" s="344"/>
      <c r="AU193" s="344"/>
      <c r="AV193" s="344"/>
      <c r="AW193" s="344"/>
      <c r="AX193" s="358"/>
    </row>
    <row r="194" spans="2:50" x14ac:dyDescent="0.25">
      <c r="B194" s="172" t="s">
        <v>56</v>
      </c>
      <c r="C194" s="3">
        <v>0.131245</v>
      </c>
      <c r="D194" s="3">
        <v>0.13128400000000001</v>
      </c>
      <c r="E194" s="3">
        <v>0.12056500000000001</v>
      </c>
      <c r="F194" s="3">
        <v>0.11097700000000001</v>
      </c>
      <c r="G194" s="3">
        <v>0.104295</v>
      </c>
      <c r="H194" s="3">
        <v>0.10734299999999999</v>
      </c>
      <c r="I194" s="3">
        <v>0.109446</v>
      </c>
      <c r="J194" s="3">
        <v>0.10920100000000001</v>
      </c>
      <c r="K194" s="3">
        <v>0.123486</v>
      </c>
      <c r="L194" s="3">
        <v>0.11821</v>
      </c>
      <c r="M194" s="3">
        <v>9.4488000000000003E-2</v>
      </c>
      <c r="N194" s="3">
        <v>0.105521</v>
      </c>
      <c r="O194" s="3">
        <v>8.9972999999999997E-2</v>
      </c>
      <c r="P194" s="3">
        <v>7.7857999999999997E-2</v>
      </c>
      <c r="Q194" s="3">
        <v>7.4740000000000001E-2</v>
      </c>
      <c r="R194" s="3">
        <v>7.5703999999999994E-2</v>
      </c>
      <c r="S194" s="3">
        <v>7.6522999999999994E-2</v>
      </c>
      <c r="T194" s="3">
        <v>8.3926000000000001E-2</v>
      </c>
      <c r="U194" s="3">
        <v>7.8952999999999995E-2</v>
      </c>
      <c r="V194" s="3">
        <v>7.9992999999999995E-2</v>
      </c>
      <c r="W194" s="3">
        <v>4.6220999999999998E-2</v>
      </c>
      <c r="AC194" s="428" t="s">
        <v>911</v>
      </c>
      <c r="AD194" s="62">
        <v>1953170</v>
      </c>
      <c r="AE194" s="62">
        <v>2524667</v>
      </c>
      <c r="AF194" s="62">
        <v>2631781</v>
      </c>
      <c r="AG194" s="62">
        <v>3355349</v>
      </c>
      <c r="AH194" s="62">
        <v>1805201</v>
      </c>
      <c r="AI194" s="62">
        <v>2907669</v>
      </c>
      <c r="AJ194" s="62"/>
      <c r="AK194" s="62"/>
      <c r="AL194" s="62"/>
      <c r="AM194" s="62"/>
      <c r="AN194" s="62"/>
      <c r="AO194" s="344"/>
      <c r="AP194" s="344"/>
      <c r="AQ194" s="344"/>
      <c r="AR194" s="344"/>
      <c r="AS194" s="344"/>
      <c r="AT194" s="344"/>
      <c r="AU194" s="344"/>
      <c r="AV194" s="344"/>
      <c r="AW194" s="344"/>
      <c r="AX194" s="358"/>
    </row>
    <row r="195" spans="2:50" x14ac:dyDescent="0.25">
      <c r="AC195" s="428" t="s">
        <v>912</v>
      </c>
      <c r="AD195" s="62">
        <v>6962</v>
      </c>
      <c r="AE195" s="62">
        <v>7716</v>
      </c>
      <c r="AF195" s="62">
        <v>8411</v>
      </c>
      <c r="AG195" s="62">
        <v>10140</v>
      </c>
      <c r="AH195" s="62">
        <v>9269</v>
      </c>
      <c r="AI195" s="62">
        <v>12676</v>
      </c>
      <c r="AJ195" s="62"/>
      <c r="AK195" s="62"/>
      <c r="AL195" s="62"/>
      <c r="AM195" s="62"/>
      <c r="AN195" s="62"/>
      <c r="AO195" s="344"/>
      <c r="AP195" s="344"/>
      <c r="AQ195" s="344"/>
      <c r="AR195" s="344"/>
      <c r="AS195" s="344"/>
      <c r="AT195" s="344"/>
      <c r="AU195" s="344"/>
      <c r="AV195" s="344"/>
      <c r="AW195" s="344"/>
      <c r="AX195" s="358"/>
    </row>
    <row r="196" spans="2:50" ht="15.75" x14ac:dyDescent="0.25">
      <c r="B196" s="731" t="s">
        <v>68</v>
      </c>
      <c r="C196" s="731"/>
      <c r="D196" s="731"/>
      <c r="E196" s="731"/>
      <c r="F196" s="731"/>
      <c r="G196" s="731"/>
      <c r="H196" s="731"/>
      <c r="I196" s="731"/>
      <c r="J196" s="731"/>
      <c r="K196" s="731"/>
      <c r="L196" s="731"/>
      <c r="M196" s="731"/>
      <c r="N196" s="731"/>
      <c r="O196" s="731"/>
      <c r="P196" s="731"/>
      <c r="Q196" s="731"/>
      <c r="R196" s="731"/>
      <c r="S196" s="731"/>
      <c r="T196" s="731"/>
      <c r="U196" s="731"/>
      <c r="V196" s="731"/>
      <c r="W196" s="731"/>
      <c r="AC196" s="406" t="s">
        <v>378</v>
      </c>
      <c r="AD196" s="378">
        <v>2369117</v>
      </c>
      <c r="AE196" s="378">
        <v>2663691</v>
      </c>
      <c r="AF196" s="378">
        <v>2897587</v>
      </c>
      <c r="AG196" s="378">
        <v>2921350</v>
      </c>
      <c r="AH196" s="378">
        <v>2477807</v>
      </c>
      <c r="AI196" s="378">
        <v>2693683</v>
      </c>
      <c r="AJ196" s="62"/>
      <c r="AK196" s="62"/>
      <c r="AL196" s="62"/>
      <c r="AM196" s="62"/>
      <c r="AN196" s="62"/>
      <c r="AO196" s="344"/>
      <c r="AP196" s="344"/>
      <c r="AQ196" s="344"/>
      <c r="AR196" s="344"/>
      <c r="AS196" s="344"/>
      <c r="AT196" s="344"/>
      <c r="AU196" s="344"/>
      <c r="AV196" s="344"/>
      <c r="AW196" s="344"/>
      <c r="AX196" s="358"/>
    </row>
    <row r="197" spans="2:50" ht="15.75" thickBot="1" x14ac:dyDescent="0.3">
      <c r="B197" s="712"/>
      <c r="C197" s="708">
        <v>2000</v>
      </c>
      <c r="D197" s="708">
        <v>2001</v>
      </c>
      <c r="E197" s="708">
        <v>2002</v>
      </c>
      <c r="F197" s="708">
        <v>2003</v>
      </c>
      <c r="G197" s="708">
        <v>2004</v>
      </c>
      <c r="H197" s="708">
        <v>2005</v>
      </c>
      <c r="I197" s="708">
        <v>2006</v>
      </c>
      <c r="J197" s="708">
        <v>2007</v>
      </c>
      <c r="K197" s="708">
        <v>2008</v>
      </c>
      <c r="L197" s="708">
        <v>2009</v>
      </c>
      <c r="M197" s="708">
        <v>2010</v>
      </c>
      <c r="N197" s="708">
        <v>2011</v>
      </c>
      <c r="O197" s="708">
        <v>2012</v>
      </c>
      <c r="P197" s="708">
        <v>2013</v>
      </c>
      <c r="Q197" s="708">
        <v>2014</v>
      </c>
      <c r="R197" s="708">
        <v>2015</v>
      </c>
      <c r="S197" s="708">
        <v>2016</v>
      </c>
      <c r="T197" s="708">
        <v>2017</v>
      </c>
      <c r="U197" s="708">
        <v>2018</v>
      </c>
      <c r="V197" s="708">
        <v>2019</v>
      </c>
      <c r="W197" s="708">
        <v>2020</v>
      </c>
      <c r="AC197" s="428" t="s">
        <v>911</v>
      </c>
      <c r="AD197" s="62">
        <v>2364039</v>
      </c>
      <c r="AE197" s="62">
        <v>2658452</v>
      </c>
      <c r="AF197" s="62">
        <v>2891915</v>
      </c>
      <c r="AG197" s="62">
        <v>2915909</v>
      </c>
      <c r="AH197" s="62">
        <v>2473256</v>
      </c>
      <c r="AI197" s="62">
        <v>2689249</v>
      </c>
      <c r="AJ197" s="62"/>
      <c r="AK197" s="62"/>
      <c r="AL197" s="62"/>
      <c r="AM197" s="62"/>
      <c r="AN197" s="62"/>
      <c r="AO197" s="344"/>
      <c r="AP197" s="344"/>
      <c r="AQ197" s="344"/>
      <c r="AR197" s="344"/>
      <c r="AS197" s="344"/>
      <c r="AT197" s="344"/>
      <c r="AU197" s="344"/>
      <c r="AV197" s="344"/>
      <c r="AW197" s="344"/>
      <c r="AX197" s="358"/>
    </row>
    <row r="198" spans="2:50" ht="15.75" thickTop="1" x14ac:dyDescent="0.25">
      <c r="B198" s="713" t="s">
        <v>67</v>
      </c>
      <c r="C198" s="699">
        <v>8392</v>
      </c>
      <c r="D198" s="699">
        <v>8511</v>
      </c>
      <c r="E198" s="699">
        <v>8609</v>
      </c>
      <c r="F198" s="699">
        <v>8727</v>
      </c>
      <c r="G198" s="699">
        <v>8820</v>
      </c>
      <c r="H198" s="699">
        <v>9039</v>
      </c>
      <c r="I198" s="699">
        <v>9249</v>
      </c>
      <c r="J198" s="699">
        <v>9370</v>
      </c>
      <c r="K198" s="699">
        <v>9578</v>
      </c>
      <c r="L198" s="699">
        <v>9669</v>
      </c>
      <c r="M198" s="699">
        <v>9860</v>
      </c>
      <c r="N198" s="699">
        <v>10007</v>
      </c>
      <c r="O198" s="699">
        <v>10076</v>
      </c>
      <c r="P198" s="699">
        <v>10078</v>
      </c>
      <c r="Q198" s="699">
        <v>10092</v>
      </c>
      <c r="R198" s="699">
        <v>10129</v>
      </c>
      <c r="S198" s="699">
        <v>10141</v>
      </c>
      <c r="T198" s="699">
        <v>10204</v>
      </c>
      <c r="U198" s="699">
        <v>10213</v>
      </c>
      <c r="V198" s="699">
        <v>10266</v>
      </c>
      <c r="W198" s="699">
        <v>10260</v>
      </c>
      <c r="AC198" s="428" t="s">
        <v>912</v>
      </c>
      <c r="AD198" s="62">
        <v>5078</v>
      </c>
      <c r="AE198" s="62">
        <v>5239</v>
      </c>
      <c r="AF198" s="62">
        <v>5672</v>
      </c>
      <c r="AG198" s="62">
        <v>5441</v>
      </c>
      <c r="AH198" s="62">
        <v>4551</v>
      </c>
      <c r="AI198" s="62">
        <v>4434</v>
      </c>
      <c r="AJ198" s="62"/>
      <c r="AK198" s="62"/>
      <c r="AL198" s="62"/>
      <c r="AM198" s="62"/>
      <c r="AN198" s="62"/>
      <c r="AO198" s="344"/>
      <c r="AP198" s="344"/>
      <c r="AQ198" s="344"/>
      <c r="AR198" s="344"/>
      <c r="AS198" s="344"/>
      <c r="AT198" s="344"/>
      <c r="AU198" s="344"/>
      <c r="AV198" s="344"/>
      <c r="AW198" s="344"/>
      <c r="AX198" s="358"/>
    </row>
    <row r="199" spans="2:50" x14ac:dyDescent="0.25">
      <c r="B199" s="173" t="s">
        <v>61</v>
      </c>
      <c r="C199" s="697">
        <v>7707</v>
      </c>
      <c r="D199" s="697">
        <v>7804</v>
      </c>
      <c r="E199" s="697">
        <v>7890</v>
      </c>
      <c r="F199" s="697">
        <v>7978</v>
      </c>
      <c r="G199" s="697">
        <v>8063</v>
      </c>
      <c r="H199" s="697">
        <v>8269</v>
      </c>
      <c r="I199" s="697">
        <v>8453</v>
      </c>
      <c r="J199" s="697">
        <v>8557</v>
      </c>
      <c r="K199" s="697">
        <v>8745</v>
      </c>
      <c r="L199" s="697">
        <v>8835</v>
      </c>
      <c r="M199" s="697">
        <v>8997</v>
      </c>
      <c r="N199" s="697">
        <v>9126</v>
      </c>
      <c r="O199" s="697">
        <v>9178</v>
      </c>
      <c r="P199" s="697">
        <v>9174</v>
      </c>
      <c r="Q199" s="697">
        <v>9188</v>
      </c>
      <c r="R199" s="697">
        <v>9212</v>
      </c>
      <c r="S199" s="697">
        <v>9223</v>
      </c>
      <c r="T199" s="697">
        <v>9276</v>
      </c>
      <c r="U199" s="697">
        <v>9299</v>
      </c>
      <c r="V199" s="697">
        <v>9348</v>
      </c>
      <c r="W199" s="697">
        <v>9331</v>
      </c>
      <c r="AC199" s="406" t="s">
        <v>910</v>
      </c>
      <c r="AD199" s="378">
        <v>3194842</v>
      </c>
      <c r="AE199" s="378">
        <v>3129748</v>
      </c>
      <c r="AF199" s="378">
        <v>3423166</v>
      </c>
      <c r="AG199" s="378">
        <v>3577069</v>
      </c>
      <c r="AH199" s="378">
        <v>3342314</v>
      </c>
      <c r="AI199" s="378">
        <v>3581929</v>
      </c>
      <c r="AJ199" s="62"/>
      <c r="AK199" s="62"/>
      <c r="AL199" s="62"/>
      <c r="AM199" s="62"/>
      <c r="AN199" s="62"/>
      <c r="AO199" s="344"/>
      <c r="AP199" s="344"/>
      <c r="AQ199" s="344"/>
      <c r="AR199" s="344"/>
      <c r="AS199" s="344"/>
      <c r="AT199" s="344"/>
      <c r="AU199" s="344"/>
      <c r="AV199" s="344"/>
      <c r="AW199" s="344"/>
      <c r="AX199" s="358"/>
    </row>
    <row r="200" spans="2:50" x14ac:dyDescent="0.25">
      <c r="B200" s="173" t="s">
        <v>62</v>
      </c>
      <c r="C200" s="697">
        <v>201</v>
      </c>
      <c r="D200" s="697">
        <v>205</v>
      </c>
      <c r="E200" s="697">
        <v>215</v>
      </c>
      <c r="F200" s="697">
        <v>224</v>
      </c>
      <c r="G200" s="697">
        <v>229</v>
      </c>
      <c r="H200" s="697">
        <v>246</v>
      </c>
      <c r="I200" s="697">
        <v>263</v>
      </c>
      <c r="J200" s="697">
        <v>288</v>
      </c>
      <c r="K200" s="697">
        <v>307</v>
      </c>
      <c r="L200" s="697">
        <v>312</v>
      </c>
      <c r="M200" s="697">
        <v>343</v>
      </c>
      <c r="N200" s="697">
        <v>354</v>
      </c>
      <c r="O200" s="697">
        <v>372</v>
      </c>
      <c r="P200" s="697">
        <v>367</v>
      </c>
      <c r="Q200" s="697">
        <v>364</v>
      </c>
      <c r="R200" s="697">
        <v>378</v>
      </c>
      <c r="S200" s="697">
        <v>381</v>
      </c>
      <c r="T200" s="697">
        <v>386</v>
      </c>
      <c r="U200" s="697">
        <v>381</v>
      </c>
      <c r="V200" s="697">
        <v>386</v>
      </c>
      <c r="W200" s="697">
        <v>397</v>
      </c>
      <c r="AC200" s="428" t="s">
        <v>911</v>
      </c>
      <c r="AD200" s="62">
        <v>3143383</v>
      </c>
      <c r="AE200" s="62">
        <v>3076155</v>
      </c>
      <c r="AF200" s="62">
        <v>3365929</v>
      </c>
      <c r="AG200" s="62">
        <v>3516866</v>
      </c>
      <c r="AH200" s="62">
        <v>3294007</v>
      </c>
      <c r="AI200" s="62">
        <v>3524855</v>
      </c>
      <c r="AJ200" s="62"/>
      <c r="AK200" s="62"/>
      <c r="AL200" s="62"/>
      <c r="AM200" s="62"/>
      <c r="AN200" s="62"/>
      <c r="AO200" s="344"/>
      <c r="AP200" s="344"/>
      <c r="AQ200" s="344"/>
      <c r="AR200" s="344"/>
      <c r="AS200" s="344"/>
      <c r="AT200" s="344"/>
      <c r="AU200" s="344"/>
      <c r="AV200" s="344"/>
      <c r="AW200" s="344"/>
      <c r="AX200" s="358"/>
    </row>
    <row r="201" spans="2:50" x14ac:dyDescent="0.25">
      <c r="B201" s="173" t="s">
        <v>63</v>
      </c>
      <c r="C201" s="697">
        <v>275</v>
      </c>
      <c r="D201" s="697">
        <v>273</v>
      </c>
      <c r="E201" s="697">
        <v>274</v>
      </c>
      <c r="F201" s="697">
        <v>294</v>
      </c>
      <c r="G201" s="697">
        <v>297</v>
      </c>
      <c r="H201" s="697">
        <v>293</v>
      </c>
      <c r="I201" s="697">
        <v>298</v>
      </c>
      <c r="J201" s="697">
        <v>289</v>
      </c>
      <c r="K201" s="697">
        <v>287</v>
      </c>
      <c r="L201" s="697">
        <v>282</v>
      </c>
      <c r="M201" s="697">
        <v>277</v>
      </c>
      <c r="N201" s="697">
        <v>282</v>
      </c>
      <c r="O201" s="697">
        <v>284</v>
      </c>
      <c r="P201" s="697">
        <v>285</v>
      </c>
      <c r="Q201" s="697">
        <v>287</v>
      </c>
      <c r="R201" s="697">
        <v>284</v>
      </c>
      <c r="S201" s="697">
        <v>281</v>
      </c>
      <c r="T201" s="697">
        <v>279</v>
      </c>
      <c r="U201" s="697">
        <v>278</v>
      </c>
      <c r="V201" s="697">
        <v>279</v>
      </c>
      <c r="W201" s="697">
        <v>279</v>
      </c>
      <c r="AC201" s="428" t="s">
        <v>912</v>
      </c>
      <c r="AD201" s="62">
        <v>51459</v>
      </c>
      <c r="AE201" s="62">
        <v>53593</v>
      </c>
      <c r="AF201" s="62">
        <v>57237</v>
      </c>
      <c r="AG201" s="62">
        <v>60203</v>
      </c>
      <c r="AH201" s="62">
        <v>48307</v>
      </c>
      <c r="AI201" s="62">
        <v>57074</v>
      </c>
      <c r="AJ201" s="62"/>
      <c r="AK201" s="62"/>
      <c r="AL201" s="62"/>
      <c r="AM201" s="62"/>
      <c r="AN201" s="62"/>
      <c r="AO201" s="344"/>
      <c r="AP201" s="344"/>
      <c r="AQ201" s="344"/>
      <c r="AR201" s="344"/>
      <c r="AS201" s="344"/>
      <c r="AT201" s="344"/>
      <c r="AU201" s="344"/>
      <c r="AV201" s="344"/>
      <c r="AW201" s="344"/>
      <c r="AX201" s="358"/>
    </row>
    <row r="202" spans="2:50" x14ac:dyDescent="0.25">
      <c r="B202" s="173" t="s">
        <v>64</v>
      </c>
      <c r="C202" s="697">
        <v>37</v>
      </c>
      <c r="D202" s="697">
        <v>36</v>
      </c>
      <c r="E202" s="697">
        <v>35</v>
      </c>
      <c r="F202" s="697">
        <v>38</v>
      </c>
      <c r="G202" s="697">
        <v>36</v>
      </c>
      <c r="H202" s="697">
        <v>37</v>
      </c>
      <c r="I202" s="697">
        <v>38</v>
      </c>
      <c r="J202" s="697">
        <v>37</v>
      </c>
      <c r="K202" s="697">
        <v>36</v>
      </c>
      <c r="L202" s="697">
        <v>37</v>
      </c>
      <c r="M202" s="697">
        <v>37</v>
      </c>
      <c r="N202" s="697">
        <v>37</v>
      </c>
      <c r="O202" s="697">
        <v>36</v>
      </c>
      <c r="P202" s="697">
        <v>36</v>
      </c>
      <c r="Q202" s="697">
        <v>38</v>
      </c>
      <c r="R202" s="697">
        <v>40</v>
      </c>
      <c r="S202" s="697">
        <v>43</v>
      </c>
      <c r="T202" s="697">
        <v>43</v>
      </c>
      <c r="U202" s="697">
        <v>44</v>
      </c>
      <c r="V202" s="697">
        <v>43</v>
      </c>
      <c r="W202" s="697">
        <v>44</v>
      </c>
      <c r="AC202" s="406" t="s">
        <v>231</v>
      </c>
      <c r="AD202" s="378">
        <v>25205377</v>
      </c>
      <c r="AE202" s="378">
        <v>28589990</v>
      </c>
      <c r="AF202" s="378">
        <v>30044878</v>
      </c>
      <c r="AG202" s="378">
        <v>31746654</v>
      </c>
      <c r="AH202" s="378">
        <v>27241328</v>
      </c>
      <c r="AI202" s="378">
        <v>31136666</v>
      </c>
      <c r="AJ202" s="62"/>
      <c r="AK202" s="62"/>
      <c r="AL202" s="62"/>
      <c r="AM202" s="62"/>
      <c r="AN202" s="62"/>
      <c r="AO202" s="344"/>
      <c r="AP202" s="344"/>
      <c r="AQ202" s="344"/>
      <c r="AR202" s="344"/>
      <c r="AS202" s="344"/>
      <c r="AT202" s="344"/>
      <c r="AU202" s="344"/>
      <c r="AV202" s="344"/>
      <c r="AW202" s="344"/>
      <c r="AX202" s="358"/>
    </row>
    <row r="203" spans="2:50" x14ac:dyDescent="0.25">
      <c r="B203" s="173" t="s">
        <v>65</v>
      </c>
      <c r="C203" s="697">
        <v>169</v>
      </c>
      <c r="D203" s="697">
        <v>189</v>
      </c>
      <c r="E203" s="697">
        <v>191</v>
      </c>
      <c r="F203" s="697">
        <v>189</v>
      </c>
      <c r="G203" s="697">
        <v>190</v>
      </c>
      <c r="H203" s="697">
        <v>189</v>
      </c>
      <c r="I203" s="697">
        <v>192</v>
      </c>
      <c r="J203" s="697">
        <v>193</v>
      </c>
      <c r="K203" s="697">
        <v>197</v>
      </c>
      <c r="L203" s="697">
        <v>197</v>
      </c>
      <c r="M203" s="697">
        <v>200</v>
      </c>
      <c r="N203" s="697">
        <v>202</v>
      </c>
      <c r="O203" s="697">
        <v>200</v>
      </c>
      <c r="P203" s="697">
        <v>210</v>
      </c>
      <c r="Q203" s="697">
        <v>213</v>
      </c>
      <c r="R203" s="697">
        <v>214</v>
      </c>
      <c r="S203" s="697">
        <v>212</v>
      </c>
      <c r="T203" s="697">
        <v>219</v>
      </c>
      <c r="U203" s="697">
        <v>210</v>
      </c>
      <c r="V203" s="697">
        <v>209</v>
      </c>
      <c r="W203" s="697">
        <v>208</v>
      </c>
      <c r="AC203" s="428" t="s">
        <v>911</v>
      </c>
      <c r="AD203" s="62">
        <v>25086459</v>
      </c>
      <c r="AE203" s="62">
        <v>28460675</v>
      </c>
      <c r="AF203" s="62">
        <v>29907346</v>
      </c>
      <c r="AG203" s="62">
        <v>31603577</v>
      </c>
      <c r="AH203" s="62">
        <v>27117336</v>
      </c>
      <c r="AI203" s="62">
        <v>30999983</v>
      </c>
      <c r="AJ203" s="62"/>
      <c r="AK203" s="62"/>
      <c r="AL203" s="62"/>
      <c r="AM203" s="62"/>
      <c r="AN203" s="62"/>
      <c r="AO203" s="344"/>
      <c r="AP203" s="344"/>
      <c r="AQ203" s="344"/>
      <c r="AR203" s="344"/>
      <c r="AS203" s="344"/>
      <c r="AT203" s="344"/>
      <c r="AU203" s="344"/>
      <c r="AV203" s="344"/>
      <c r="AW203" s="344"/>
      <c r="AX203" s="358"/>
    </row>
    <row r="204" spans="2:50" x14ac:dyDescent="0.25">
      <c r="B204" s="173" t="s">
        <v>66</v>
      </c>
      <c r="C204" s="697">
        <v>3</v>
      </c>
      <c r="D204" s="697">
        <v>4</v>
      </c>
      <c r="E204" s="697">
        <v>4</v>
      </c>
      <c r="F204" s="697">
        <v>4</v>
      </c>
      <c r="G204" s="697">
        <v>5</v>
      </c>
      <c r="H204" s="697">
        <v>5</v>
      </c>
      <c r="I204" s="697">
        <v>5</v>
      </c>
      <c r="J204" s="697">
        <v>6</v>
      </c>
      <c r="K204" s="697">
        <v>6</v>
      </c>
      <c r="L204" s="697">
        <v>6</v>
      </c>
      <c r="M204" s="697">
        <v>6</v>
      </c>
      <c r="N204" s="697">
        <v>6</v>
      </c>
      <c r="O204" s="697">
        <v>6</v>
      </c>
      <c r="P204" s="697">
        <v>6</v>
      </c>
      <c r="Q204" s="697">
        <v>2</v>
      </c>
      <c r="R204" s="697">
        <v>1</v>
      </c>
      <c r="S204" s="697">
        <v>1</v>
      </c>
      <c r="T204" s="697">
        <v>1</v>
      </c>
      <c r="U204" s="697">
        <v>1</v>
      </c>
      <c r="V204" s="697">
        <v>1</v>
      </c>
      <c r="W204" s="697">
        <v>1</v>
      </c>
      <c r="AC204" s="428" t="s">
        <v>912</v>
      </c>
      <c r="AD204" s="62">
        <v>118918</v>
      </c>
      <c r="AE204" s="62">
        <v>129315</v>
      </c>
      <c r="AF204" s="62">
        <v>137532</v>
      </c>
      <c r="AG204" s="62">
        <v>143077</v>
      </c>
      <c r="AH204" s="62">
        <v>123992</v>
      </c>
      <c r="AI204" s="62">
        <v>136683</v>
      </c>
      <c r="AJ204" s="62"/>
      <c r="AK204" s="62"/>
      <c r="AL204" s="62"/>
      <c r="AM204" s="62"/>
      <c r="AN204" s="62"/>
      <c r="AO204" s="344"/>
      <c r="AP204" s="344"/>
      <c r="AQ204" s="344"/>
      <c r="AR204" s="344"/>
      <c r="AS204" s="344"/>
      <c r="AT204" s="344"/>
      <c r="AU204" s="344"/>
      <c r="AV204" s="344"/>
      <c r="AW204" s="344"/>
      <c r="AX204" s="358"/>
    </row>
    <row r="205" spans="2:50" x14ac:dyDescent="0.25">
      <c r="B205" s="662"/>
      <c r="C205" s="697"/>
      <c r="D205" s="697"/>
      <c r="E205" s="697"/>
      <c r="F205" s="697"/>
      <c r="G205" s="697"/>
      <c r="H205" s="210"/>
      <c r="I205" s="697"/>
      <c r="J205" s="697"/>
      <c r="K205" s="697"/>
      <c r="L205" s="697"/>
      <c r="M205" s="697"/>
      <c r="N205" s="697"/>
      <c r="O205" s="697"/>
      <c r="P205" s="697"/>
      <c r="Q205" s="697"/>
      <c r="R205" s="697"/>
      <c r="S205" s="697"/>
      <c r="T205" s="697"/>
      <c r="U205" s="697"/>
      <c r="V205" s="697"/>
      <c r="W205" s="697"/>
      <c r="AC205" s="396" t="s">
        <v>914</v>
      </c>
      <c r="AD205" s="62"/>
      <c r="AE205" s="62"/>
      <c r="AF205" s="62"/>
      <c r="AG205" s="62"/>
      <c r="AH205" s="62"/>
      <c r="AI205" s="62"/>
      <c r="AJ205" s="62"/>
      <c r="AK205" s="62"/>
      <c r="AL205" s="62"/>
      <c r="AM205" s="62"/>
      <c r="AN205" s="62"/>
      <c r="AO205" s="344"/>
      <c r="AP205" s="344"/>
      <c r="AQ205" s="344"/>
      <c r="AR205" s="344"/>
      <c r="AS205" s="344"/>
      <c r="AT205" s="344"/>
      <c r="AU205" s="344"/>
      <c r="AV205" s="344"/>
      <c r="AW205" s="344"/>
      <c r="AX205" s="358"/>
    </row>
    <row r="206" spans="2:50" ht="15.75" x14ac:dyDescent="0.25">
      <c r="B206" s="731" t="s">
        <v>611</v>
      </c>
      <c r="C206" s="731"/>
      <c r="D206" s="731"/>
      <c r="E206" s="731"/>
      <c r="F206" s="731"/>
      <c r="G206" s="731"/>
      <c r="H206" s="731"/>
      <c r="I206" s="731"/>
      <c r="J206" s="731"/>
      <c r="K206" s="731"/>
      <c r="L206" s="731"/>
      <c r="M206" s="731"/>
      <c r="N206" s="731"/>
      <c r="O206" s="731"/>
      <c r="P206" s="731"/>
      <c r="Q206" s="731"/>
      <c r="R206" s="731"/>
      <c r="S206" s="731"/>
      <c r="T206" s="731"/>
      <c r="U206" s="731"/>
      <c r="V206" s="731"/>
      <c r="W206" s="731"/>
      <c r="AC206" s="396" t="s">
        <v>915</v>
      </c>
      <c r="AD206" s="62"/>
      <c r="AE206" s="62"/>
      <c r="AF206" s="62"/>
      <c r="AG206" s="62"/>
      <c r="AH206" s="62"/>
      <c r="AI206" s="62"/>
      <c r="AJ206" s="62"/>
      <c r="AK206" s="62"/>
      <c r="AL206" s="62"/>
      <c r="AM206" s="62"/>
      <c r="AN206" s="62"/>
      <c r="AO206" s="344"/>
      <c r="AP206" s="344"/>
      <c r="AQ206" s="344"/>
      <c r="AR206" s="344"/>
      <c r="AS206" s="344"/>
      <c r="AT206" s="344"/>
      <c r="AU206" s="344"/>
      <c r="AV206" s="344"/>
      <c r="AW206" s="344"/>
      <c r="AX206" s="358"/>
    </row>
    <row r="207" spans="2:50" ht="15.75" thickBot="1" x14ac:dyDescent="0.3">
      <c r="B207" s="712"/>
      <c r="C207" s="708">
        <v>2000</v>
      </c>
      <c r="D207" s="708">
        <v>2001</v>
      </c>
      <c r="E207" s="708">
        <v>2002</v>
      </c>
      <c r="F207" s="708">
        <v>2003</v>
      </c>
      <c r="G207" s="708">
        <v>2004</v>
      </c>
      <c r="H207" s="708">
        <v>2005</v>
      </c>
      <c r="I207" s="708">
        <v>2006</v>
      </c>
      <c r="J207" s="708">
        <v>2007</v>
      </c>
      <c r="K207" s="708">
        <v>2008</v>
      </c>
      <c r="L207" s="708">
        <v>2009</v>
      </c>
      <c r="M207" s="708">
        <v>2010</v>
      </c>
      <c r="N207" s="708">
        <v>2011</v>
      </c>
      <c r="O207" s="708">
        <v>2012</v>
      </c>
      <c r="P207" s="708">
        <v>2013</v>
      </c>
      <c r="Q207" s="708">
        <v>2014</v>
      </c>
      <c r="R207" s="708">
        <v>2015</v>
      </c>
      <c r="S207" s="708">
        <v>2016</v>
      </c>
      <c r="T207" s="708">
        <v>2017</v>
      </c>
      <c r="U207" s="708">
        <v>2018</v>
      </c>
      <c r="V207" s="708">
        <v>2019</v>
      </c>
      <c r="W207" s="708">
        <v>2020</v>
      </c>
      <c r="AC207" s="386"/>
      <c r="AD207" s="62"/>
      <c r="AE207" s="62"/>
      <c r="AF207" s="62"/>
      <c r="AG207" s="62"/>
      <c r="AH207" s="62"/>
      <c r="AI207" s="62"/>
      <c r="AJ207" s="62"/>
      <c r="AK207" s="62"/>
      <c r="AL207" s="62"/>
      <c r="AM207" s="62"/>
      <c r="AN207" s="62"/>
      <c r="AO207" s="344"/>
      <c r="AP207" s="344"/>
      <c r="AQ207" s="344"/>
      <c r="AR207" s="344"/>
      <c r="AS207" s="344"/>
      <c r="AT207" s="344"/>
      <c r="AU207" s="344"/>
      <c r="AV207" s="344"/>
      <c r="AW207" s="344"/>
      <c r="AX207" s="358"/>
    </row>
    <row r="208" spans="2:50" ht="16.5" thickTop="1" x14ac:dyDescent="0.25">
      <c r="B208" s="713" t="s">
        <v>76</v>
      </c>
      <c r="C208" s="699">
        <v>488</v>
      </c>
      <c r="D208" s="699">
        <v>484</v>
      </c>
      <c r="E208" s="699">
        <v>419</v>
      </c>
      <c r="F208" s="699">
        <v>426</v>
      </c>
      <c r="G208" s="699">
        <v>438</v>
      </c>
      <c r="H208" s="699">
        <v>330</v>
      </c>
      <c r="I208" s="699">
        <v>312</v>
      </c>
      <c r="J208" s="699">
        <v>343</v>
      </c>
      <c r="K208" s="699">
        <v>309</v>
      </c>
      <c r="L208" s="699">
        <v>304</v>
      </c>
      <c r="M208" s="699">
        <v>307</v>
      </c>
      <c r="N208" s="699">
        <v>299</v>
      </c>
      <c r="O208" s="699">
        <v>310</v>
      </c>
      <c r="P208" s="699">
        <v>345</v>
      </c>
      <c r="Q208" s="699">
        <v>393</v>
      </c>
      <c r="R208" s="699">
        <v>447</v>
      </c>
      <c r="S208" s="699">
        <v>442</v>
      </c>
      <c r="T208" s="699">
        <v>408</v>
      </c>
      <c r="U208" s="699">
        <v>429</v>
      </c>
      <c r="V208" s="699">
        <v>408</v>
      </c>
      <c r="W208" s="699">
        <v>398</v>
      </c>
      <c r="AC208" s="367" t="s">
        <v>934</v>
      </c>
      <c r="AD208" s="62"/>
      <c r="AE208" s="62"/>
      <c r="AF208" s="62"/>
      <c r="AG208" s="62"/>
      <c r="AH208" s="62"/>
      <c r="AI208" s="62"/>
      <c r="AJ208" s="62"/>
      <c r="AK208" s="62"/>
      <c r="AL208" s="62"/>
      <c r="AM208" s="62"/>
      <c r="AN208" s="62"/>
      <c r="AO208" s="344"/>
      <c r="AP208" s="344"/>
      <c r="AQ208" s="344"/>
      <c r="AR208" s="344"/>
      <c r="AS208" s="344"/>
      <c r="AT208" s="344"/>
      <c r="AU208" s="344"/>
      <c r="AV208" s="344"/>
      <c r="AW208" s="344"/>
      <c r="AX208" s="358"/>
    </row>
    <row r="209" spans="2:50" ht="15.75" thickBot="1" x14ac:dyDescent="0.3">
      <c r="B209" s="173" t="s">
        <v>72</v>
      </c>
      <c r="C209" s="697">
        <v>440</v>
      </c>
      <c r="D209" s="697">
        <v>438</v>
      </c>
      <c r="E209" s="697">
        <v>374</v>
      </c>
      <c r="F209" s="697">
        <v>386</v>
      </c>
      <c r="G209" s="697">
        <v>394</v>
      </c>
      <c r="H209" s="697">
        <v>303</v>
      </c>
      <c r="I209" s="697">
        <v>287</v>
      </c>
      <c r="J209" s="697">
        <v>314</v>
      </c>
      <c r="K209" s="697">
        <v>281</v>
      </c>
      <c r="L209" s="697">
        <v>274</v>
      </c>
      <c r="M209" s="697">
        <v>280</v>
      </c>
      <c r="N209" s="697">
        <v>273</v>
      </c>
      <c r="O209" s="697">
        <v>284</v>
      </c>
      <c r="P209" s="697">
        <v>314</v>
      </c>
      <c r="Q209" s="697">
        <v>359</v>
      </c>
      <c r="R209" s="697">
        <v>404</v>
      </c>
      <c r="S209" s="697">
        <v>390</v>
      </c>
      <c r="T209" s="697">
        <v>354</v>
      </c>
      <c r="U209" s="697">
        <v>373</v>
      </c>
      <c r="V209" s="697">
        <v>350</v>
      </c>
      <c r="W209" s="697">
        <v>343</v>
      </c>
      <c r="AC209" s="413" t="s">
        <v>933</v>
      </c>
      <c r="AD209" s="86">
        <v>2016</v>
      </c>
      <c r="AE209" s="86">
        <v>2017</v>
      </c>
      <c r="AF209" s="86">
        <v>2018</v>
      </c>
      <c r="AG209" s="86">
        <v>2019</v>
      </c>
      <c r="AH209" s="86">
        <v>2020</v>
      </c>
      <c r="AI209" s="86">
        <v>2021</v>
      </c>
      <c r="AJ209"/>
      <c r="AK209" s="62"/>
      <c r="AL209" s="62"/>
      <c r="AM209" s="62"/>
      <c r="AN209" s="62"/>
      <c r="AO209" s="344"/>
      <c r="AP209" s="344"/>
      <c r="AQ209" s="344"/>
      <c r="AR209" s="344"/>
      <c r="AS209" s="344"/>
      <c r="AT209" s="344"/>
      <c r="AU209" s="344"/>
      <c r="AV209" s="344"/>
      <c r="AW209" s="344"/>
      <c r="AX209" s="358"/>
    </row>
    <row r="210" spans="2:50" ht="15.75" thickTop="1" x14ac:dyDescent="0.25">
      <c r="B210" s="173" t="s">
        <v>73</v>
      </c>
      <c r="C210" s="697">
        <v>22</v>
      </c>
      <c r="D210" s="697">
        <v>21</v>
      </c>
      <c r="E210" s="697">
        <v>21</v>
      </c>
      <c r="F210" s="697">
        <v>12</v>
      </c>
      <c r="G210" s="697">
        <v>12</v>
      </c>
      <c r="H210" s="697">
        <v>3</v>
      </c>
      <c r="I210" s="697">
        <v>3</v>
      </c>
      <c r="J210" s="697">
        <v>7</v>
      </c>
      <c r="K210" s="697">
        <v>4</v>
      </c>
      <c r="L210" s="697">
        <v>4</v>
      </c>
      <c r="M210" s="697">
        <v>4</v>
      </c>
      <c r="N210" s="697">
        <v>4</v>
      </c>
      <c r="O210" s="697">
        <v>4</v>
      </c>
      <c r="P210" s="697">
        <v>5</v>
      </c>
      <c r="Q210" s="697">
        <v>8</v>
      </c>
      <c r="R210" s="697">
        <v>12</v>
      </c>
      <c r="S210" s="697">
        <v>10</v>
      </c>
      <c r="T210" s="697">
        <v>11</v>
      </c>
      <c r="U210" s="697">
        <v>13</v>
      </c>
      <c r="V210" s="697">
        <v>17</v>
      </c>
      <c r="W210" s="697">
        <v>15</v>
      </c>
      <c r="AC210" s="386" t="s">
        <v>916</v>
      </c>
      <c r="AD210" s="429">
        <v>2</v>
      </c>
      <c r="AE210" s="429">
        <v>2</v>
      </c>
      <c r="AF210" s="429">
        <v>2.4</v>
      </c>
      <c r="AG210" s="429">
        <v>2.2000000000000002</v>
      </c>
      <c r="AH210" s="429">
        <v>1.7</v>
      </c>
      <c r="AI210" s="429">
        <v>1.8</v>
      </c>
      <c r="AJ210"/>
      <c r="AK210" s="62"/>
      <c r="AL210" s="62"/>
      <c r="AM210" s="62"/>
      <c r="AN210" s="62"/>
      <c r="AO210" s="344"/>
      <c r="AP210" s="344"/>
      <c r="AQ210" s="344"/>
      <c r="AR210" s="344"/>
      <c r="AS210" s="344"/>
      <c r="AT210" s="344"/>
      <c r="AU210" s="344"/>
      <c r="AV210" s="344"/>
      <c r="AW210" s="344"/>
      <c r="AX210" s="358"/>
    </row>
    <row r="211" spans="2:50" x14ac:dyDescent="0.25">
      <c r="B211" s="173" t="s">
        <v>74</v>
      </c>
      <c r="C211" s="697">
        <v>17</v>
      </c>
      <c r="D211" s="697">
        <v>17</v>
      </c>
      <c r="E211" s="697">
        <v>16</v>
      </c>
      <c r="F211" s="697">
        <v>19</v>
      </c>
      <c r="G211" s="697">
        <v>23</v>
      </c>
      <c r="H211" s="697">
        <v>16</v>
      </c>
      <c r="I211" s="697">
        <v>14</v>
      </c>
      <c r="J211" s="697">
        <v>14</v>
      </c>
      <c r="K211" s="697">
        <v>16</v>
      </c>
      <c r="L211" s="697">
        <v>18</v>
      </c>
      <c r="M211" s="697">
        <v>15</v>
      </c>
      <c r="N211" s="697">
        <v>14</v>
      </c>
      <c r="O211" s="697">
        <v>14</v>
      </c>
      <c r="P211" s="697">
        <v>18</v>
      </c>
      <c r="Q211" s="697">
        <v>18</v>
      </c>
      <c r="R211" s="697">
        <v>20</v>
      </c>
      <c r="S211" s="697">
        <v>26</v>
      </c>
      <c r="T211" s="697">
        <v>26</v>
      </c>
      <c r="U211" s="697">
        <v>26</v>
      </c>
      <c r="V211" s="697">
        <v>24</v>
      </c>
      <c r="W211" s="697">
        <v>23</v>
      </c>
      <c r="AC211" s="386" t="s">
        <v>917</v>
      </c>
      <c r="AD211" s="429">
        <v>8.3000000000000007</v>
      </c>
      <c r="AE211" s="429">
        <v>8.9</v>
      </c>
      <c r="AF211" s="429">
        <v>9</v>
      </c>
      <c r="AG211" s="429">
        <v>8.6</v>
      </c>
      <c r="AH211" s="429">
        <v>8.3000000000000007</v>
      </c>
      <c r="AI211" s="429">
        <v>8.6</v>
      </c>
      <c r="AJ211"/>
      <c r="AK211" s="62"/>
      <c r="AL211" s="62"/>
      <c r="AM211" s="62"/>
      <c r="AN211" s="62"/>
      <c r="AO211" s="344"/>
      <c r="AP211" s="344"/>
      <c r="AQ211" s="344"/>
      <c r="AR211" s="344"/>
      <c r="AS211" s="344"/>
      <c r="AT211" s="344"/>
      <c r="AU211" s="344"/>
      <c r="AV211" s="344"/>
      <c r="AW211" s="344"/>
      <c r="AX211" s="358"/>
    </row>
    <row r="212" spans="2:50" x14ac:dyDescent="0.25">
      <c r="B212" s="173" t="s">
        <v>75</v>
      </c>
      <c r="C212" s="697">
        <v>9</v>
      </c>
      <c r="D212" s="697">
        <v>8</v>
      </c>
      <c r="E212" s="697">
        <v>8</v>
      </c>
      <c r="F212" s="697">
        <v>9</v>
      </c>
      <c r="G212" s="697">
        <v>9</v>
      </c>
      <c r="H212" s="697">
        <v>8</v>
      </c>
      <c r="I212" s="697">
        <v>8</v>
      </c>
      <c r="J212" s="697">
        <v>8</v>
      </c>
      <c r="K212" s="697">
        <v>8</v>
      </c>
      <c r="L212" s="697">
        <v>8</v>
      </c>
      <c r="M212" s="697">
        <v>8</v>
      </c>
      <c r="N212" s="697">
        <v>8</v>
      </c>
      <c r="O212" s="697">
        <v>8</v>
      </c>
      <c r="P212" s="697">
        <v>8</v>
      </c>
      <c r="Q212" s="697">
        <v>8</v>
      </c>
      <c r="R212" s="697">
        <v>11</v>
      </c>
      <c r="S212" s="697">
        <v>16</v>
      </c>
      <c r="T212" s="697">
        <v>17</v>
      </c>
      <c r="U212" s="697">
        <v>17</v>
      </c>
      <c r="V212" s="697">
        <v>17</v>
      </c>
      <c r="W212" s="697">
        <v>17</v>
      </c>
      <c r="AC212" s="384" t="s">
        <v>932</v>
      </c>
      <c r="AD212" s="430">
        <v>9.6999999999999993</v>
      </c>
      <c r="AE212" s="430">
        <v>10.3</v>
      </c>
      <c r="AF212" s="430">
        <v>12.2</v>
      </c>
      <c r="AG212" s="430">
        <v>10.6</v>
      </c>
      <c r="AH212" s="430">
        <v>10.9</v>
      </c>
      <c r="AI212" s="430">
        <v>11.4</v>
      </c>
      <c r="AJ212"/>
      <c r="AK212" s="62"/>
      <c r="AL212" s="62"/>
      <c r="AM212" s="62"/>
      <c r="AN212" s="62"/>
      <c r="AO212" s="344"/>
      <c r="AP212" s="344"/>
      <c r="AQ212" s="344"/>
      <c r="AR212" s="344"/>
      <c r="AS212" s="344"/>
      <c r="AT212" s="344"/>
      <c r="AU212" s="344"/>
      <c r="AV212" s="344"/>
      <c r="AW212" s="344"/>
      <c r="AX212" s="358"/>
    </row>
    <row r="213" spans="2:50" x14ac:dyDescent="0.25">
      <c r="B213" s="713" t="s">
        <v>77</v>
      </c>
      <c r="C213" s="699">
        <v>16730</v>
      </c>
      <c r="D213" s="699">
        <v>16411</v>
      </c>
      <c r="E213" s="699">
        <v>14182</v>
      </c>
      <c r="F213" s="699">
        <v>13295</v>
      </c>
      <c r="G213" s="699">
        <v>13288</v>
      </c>
      <c r="H213" s="699">
        <v>6728</v>
      </c>
      <c r="I213" s="699">
        <v>6666</v>
      </c>
      <c r="J213" s="699">
        <v>7558</v>
      </c>
      <c r="K213" s="699">
        <v>5556</v>
      </c>
      <c r="L213" s="699">
        <v>5374</v>
      </c>
      <c r="M213" s="699">
        <v>3967</v>
      </c>
      <c r="N213" s="699">
        <v>3281</v>
      </c>
      <c r="O213" s="699">
        <v>3269</v>
      </c>
      <c r="P213" s="699">
        <v>2579</v>
      </c>
      <c r="Q213" s="699">
        <v>4124</v>
      </c>
      <c r="R213" s="699">
        <v>4916</v>
      </c>
      <c r="S213" s="699">
        <v>4651</v>
      </c>
      <c r="T213" s="699">
        <v>4798</v>
      </c>
      <c r="U213" s="699">
        <v>8680</v>
      </c>
      <c r="V213" s="699">
        <v>6925</v>
      </c>
      <c r="W213" s="699">
        <v>4586</v>
      </c>
      <c r="AC213" s="386" t="s">
        <v>918</v>
      </c>
      <c r="AD213" s="429">
        <v>35.4</v>
      </c>
      <c r="AE213" s="429">
        <v>38</v>
      </c>
      <c r="AF213" s="429">
        <v>38.9</v>
      </c>
      <c r="AG213" s="429">
        <v>40.6</v>
      </c>
      <c r="AH213" s="429">
        <v>35.1</v>
      </c>
      <c r="AI213" s="429">
        <v>34</v>
      </c>
      <c r="AJ213"/>
      <c r="AK213" s="62"/>
      <c r="AL213" s="62"/>
      <c r="AM213" s="62"/>
      <c r="AN213" s="62"/>
      <c r="AO213" s="344"/>
      <c r="AP213" s="344"/>
      <c r="AQ213" s="344"/>
      <c r="AR213" s="344"/>
      <c r="AS213" s="344"/>
      <c r="AT213" s="344"/>
      <c r="AU213" s="344"/>
      <c r="AV213" s="344"/>
      <c r="AW213" s="344"/>
      <c r="AX213" s="358"/>
    </row>
    <row r="214" spans="2:50" x14ac:dyDescent="0.25">
      <c r="B214" s="161" t="s">
        <v>78</v>
      </c>
      <c r="C214" s="699">
        <v>109</v>
      </c>
      <c r="D214" s="699">
        <v>126</v>
      </c>
      <c r="E214" s="699">
        <v>126</v>
      </c>
      <c r="F214" s="699">
        <v>72</v>
      </c>
      <c r="G214" s="699">
        <v>81</v>
      </c>
      <c r="H214" s="699">
        <v>83</v>
      </c>
      <c r="I214" s="699">
        <v>84</v>
      </c>
      <c r="J214" s="699">
        <v>86</v>
      </c>
      <c r="K214" s="699">
        <v>66</v>
      </c>
      <c r="L214" s="699">
        <v>64</v>
      </c>
      <c r="M214" s="699">
        <v>65</v>
      </c>
      <c r="N214" s="699">
        <v>63</v>
      </c>
      <c r="O214" s="699">
        <v>57</v>
      </c>
      <c r="P214" s="699">
        <v>52</v>
      </c>
      <c r="Q214" s="699">
        <v>53</v>
      </c>
      <c r="R214" s="699">
        <v>72</v>
      </c>
      <c r="S214" s="699">
        <v>68</v>
      </c>
      <c r="T214" s="699">
        <v>68</v>
      </c>
      <c r="U214" s="699">
        <v>68</v>
      </c>
      <c r="V214" s="699">
        <v>60</v>
      </c>
      <c r="W214" s="699">
        <v>61</v>
      </c>
      <c r="AC214" s="386" t="s">
        <v>919</v>
      </c>
      <c r="AD214" s="429">
        <v>5.4</v>
      </c>
      <c r="AE214" s="429">
        <v>5.6</v>
      </c>
      <c r="AF214" s="429">
        <v>5.3</v>
      </c>
      <c r="AG214" s="429">
        <v>4.5999999999999996</v>
      </c>
      <c r="AH214" s="429">
        <v>3.4</v>
      </c>
      <c r="AI214" s="429">
        <v>4.2</v>
      </c>
      <c r="AJ214"/>
      <c r="AK214" s="62"/>
      <c r="AL214" s="62"/>
      <c r="AM214" s="62"/>
      <c r="AN214" s="62"/>
      <c r="AO214" s="344"/>
      <c r="AP214" s="344"/>
      <c r="AQ214" s="344"/>
      <c r="AR214" s="344"/>
      <c r="AS214" s="344"/>
      <c r="AT214" s="344"/>
      <c r="AU214" s="344"/>
      <c r="AV214" s="344"/>
      <c r="AW214" s="344"/>
      <c r="AX214" s="358"/>
    </row>
    <row r="215" spans="2:50" x14ac:dyDescent="0.25">
      <c r="AC215" s="386" t="s">
        <v>920</v>
      </c>
      <c r="AD215" s="429">
        <v>1.6</v>
      </c>
      <c r="AE215" s="429">
        <v>1.3</v>
      </c>
      <c r="AF215" s="429">
        <v>1.5</v>
      </c>
      <c r="AG215" s="429">
        <v>1</v>
      </c>
      <c r="AH215" s="429">
        <v>0.6</v>
      </c>
      <c r="AI215" s="429">
        <v>1.2</v>
      </c>
      <c r="AJ215"/>
      <c r="AK215" s="62"/>
      <c r="AL215" s="62"/>
      <c r="AM215" s="62"/>
      <c r="AN215" s="62"/>
      <c r="AO215" s="344"/>
      <c r="AP215" s="344"/>
      <c r="AQ215" s="344"/>
      <c r="AR215" s="344"/>
      <c r="AS215" s="344"/>
      <c r="AT215" s="344"/>
      <c r="AU215" s="344"/>
      <c r="AV215" s="344"/>
      <c r="AW215" s="344"/>
      <c r="AX215" s="358"/>
    </row>
    <row r="216" spans="2:50" x14ac:dyDescent="0.25">
      <c r="AC216" s="386" t="s">
        <v>921</v>
      </c>
      <c r="AD216" s="429">
        <v>18.899999999999999</v>
      </c>
      <c r="AE216" s="429">
        <v>24.2</v>
      </c>
      <c r="AF216" s="429">
        <v>26.7</v>
      </c>
      <c r="AG216" s="429">
        <v>29.8</v>
      </c>
      <c r="AH216" s="429">
        <v>32.4</v>
      </c>
      <c r="AI216" s="429">
        <v>28.8</v>
      </c>
      <c r="AJ216"/>
      <c r="AK216" s="62"/>
      <c r="AL216" s="62"/>
      <c r="AM216" s="62"/>
      <c r="AN216" s="62"/>
      <c r="AO216" s="344"/>
      <c r="AP216" s="344"/>
      <c r="AQ216" s="344"/>
      <c r="AR216" s="344"/>
      <c r="AS216" s="344"/>
      <c r="AT216" s="344"/>
      <c r="AU216" s="344"/>
      <c r="AV216" s="344"/>
      <c r="AW216" s="344"/>
      <c r="AX216" s="358"/>
    </row>
    <row r="217" spans="2:50" x14ac:dyDescent="0.25">
      <c r="AC217" s="386" t="s">
        <v>262</v>
      </c>
      <c r="AD217" s="429">
        <v>24.8</v>
      </c>
      <c r="AE217" s="429">
        <v>27.6</v>
      </c>
      <c r="AF217" s="429">
        <v>27.6</v>
      </c>
      <c r="AG217" s="429">
        <v>29</v>
      </c>
      <c r="AH217" s="429">
        <v>27</v>
      </c>
      <c r="AI217" s="429">
        <v>28.3</v>
      </c>
      <c r="AJ217"/>
      <c r="AK217" s="62"/>
      <c r="AL217" s="62"/>
      <c r="AM217" s="62"/>
      <c r="AN217" s="62"/>
      <c r="AO217" s="344"/>
      <c r="AP217" s="344"/>
      <c r="AQ217" s="344"/>
      <c r="AR217" s="344"/>
      <c r="AS217" s="344"/>
      <c r="AT217" s="344"/>
      <c r="AU217" s="344"/>
      <c r="AV217" s="344"/>
      <c r="AW217" s="344"/>
      <c r="AX217" s="358"/>
    </row>
    <row r="218" spans="2:50" x14ac:dyDescent="0.25">
      <c r="AC218" s="386" t="s">
        <v>922</v>
      </c>
      <c r="AD218" s="429">
        <v>0.3</v>
      </c>
      <c r="AE218" s="429">
        <v>0.3</v>
      </c>
      <c r="AF218" s="429">
        <v>0.4</v>
      </c>
      <c r="AG218" s="429">
        <v>0.6</v>
      </c>
      <c r="AH218" s="429">
        <v>0.5</v>
      </c>
      <c r="AI218" s="429">
        <v>0.9</v>
      </c>
      <c r="AJ218"/>
      <c r="AK218" s="62"/>
      <c r="AL218" s="62"/>
      <c r="AM218" s="62"/>
      <c r="AN218" s="62"/>
      <c r="AO218" s="344"/>
      <c r="AP218" s="344"/>
      <c r="AQ218" s="344"/>
      <c r="AR218" s="344"/>
      <c r="AS218" s="344"/>
      <c r="AT218" s="344"/>
      <c r="AU218" s="344"/>
      <c r="AV218" s="344"/>
      <c r="AW218" s="344"/>
      <c r="AX218" s="358"/>
    </row>
    <row r="219" spans="2:50" x14ac:dyDescent="0.25">
      <c r="AC219" s="386" t="s">
        <v>923</v>
      </c>
      <c r="AD219" s="429">
        <v>26.4</v>
      </c>
      <c r="AE219" s="429">
        <v>30.5</v>
      </c>
      <c r="AF219" s="429">
        <v>25.1</v>
      </c>
      <c r="AG219" s="429">
        <v>25.4</v>
      </c>
      <c r="AH219" s="429">
        <v>26</v>
      </c>
      <c r="AI219" s="429">
        <v>24.6</v>
      </c>
      <c r="AJ219"/>
      <c r="AK219" s="62"/>
      <c r="AL219" s="62"/>
      <c r="AM219" s="62"/>
      <c r="AN219" s="62"/>
      <c r="AO219" s="344"/>
      <c r="AP219" s="344"/>
      <c r="AQ219" s="344"/>
      <c r="AR219" s="344"/>
      <c r="AS219" s="344"/>
      <c r="AT219" s="344"/>
      <c r="AU219" s="344"/>
      <c r="AV219" s="344"/>
      <c r="AW219" s="344"/>
      <c r="AX219" s="358"/>
    </row>
    <row r="220" spans="2:50" x14ac:dyDescent="0.25">
      <c r="AC220" s="386" t="s">
        <v>924</v>
      </c>
      <c r="AD220" s="429">
        <v>22.9</v>
      </c>
      <c r="AE220" s="429">
        <v>24.2</v>
      </c>
      <c r="AF220" s="429">
        <v>25.4</v>
      </c>
      <c r="AG220" s="429">
        <v>29.3</v>
      </c>
      <c r="AH220" s="429">
        <v>33.1</v>
      </c>
      <c r="AI220" s="429">
        <v>32.1</v>
      </c>
      <c r="AJ220"/>
      <c r="AK220" s="62"/>
      <c r="AL220" s="62"/>
      <c r="AM220" s="62"/>
      <c r="AN220" s="62"/>
      <c r="AO220" s="344"/>
      <c r="AP220" s="344"/>
      <c r="AQ220" s="344"/>
      <c r="AR220" s="344"/>
      <c r="AS220" s="344"/>
      <c r="AT220" s="344"/>
      <c r="AU220" s="344"/>
      <c r="AV220" s="344"/>
      <c r="AW220" s="344"/>
      <c r="AX220" s="358"/>
    </row>
    <row r="221" spans="2:50" x14ac:dyDescent="0.25">
      <c r="AC221" s="386" t="s">
        <v>925</v>
      </c>
      <c r="AD221" s="429">
        <v>1.7</v>
      </c>
      <c r="AE221" s="429">
        <v>1.7</v>
      </c>
      <c r="AF221" s="429">
        <v>1.7</v>
      </c>
      <c r="AG221" s="429">
        <v>1.7</v>
      </c>
      <c r="AH221" s="429">
        <v>1.5</v>
      </c>
      <c r="AI221" s="429">
        <v>1.4</v>
      </c>
      <c r="AJ221"/>
      <c r="AK221" s="62"/>
      <c r="AL221" s="62"/>
      <c r="AM221" s="62"/>
      <c r="AN221" s="62"/>
      <c r="AO221" s="344"/>
      <c r="AP221" s="344"/>
      <c r="AQ221" s="344"/>
      <c r="AR221" s="344"/>
      <c r="AS221" s="344"/>
      <c r="AT221" s="344"/>
      <c r="AU221" s="344"/>
      <c r="AV221" s="344"/>
      <c r="AW221" s="344"/>
      <c r="AX221" s="358"/>
    </row>
    <row r="222" spans="2:50" x14ac:dyDescent="0.25">
      <c r="AC222" s="384" t="s">
        <v>926</v>
      </c>
      <c r="AD222" s="430">
        <v>8.8000000000000007</v>
      </c>
      <c r="AE222" s="430">
        <v>8.8000000000000007</v>
      </c>
      <c r="AF222" s="430">
        <v>8.6999999999999993</v>
      </c>
      <c r="AG222" s="430">
        <v>9.3000000000000007</v>
      </c>
      <c r="AH222" s="430">
        <v>10.199999999999999</v>
      </c>
      <c r="AI222" s="430">
        <v>8.8000000000000007</v>
      </c>
      <c r="AJ222"/>
      <c r="AK222" s="62"/>
      <c r="AL222" s="62"/>
      <c r="AM222" s="62"/>
      <c r="AN222" s="62"/>
      <c r="AO222" s="344"/>
      <c r="AP222" s="344"/>
      <c r="AQ222" s="344"/>
      <c r="AR222" s="344"/>
      <c r="AS222" s="344"/>
      <c r="AT222" s="344"/>
      <c r="AU222" s="344"/>
      <c r="AV222" s="344"/>
      <c r="AW222" s="344"/>
      <c r="AX222" s="358"/>
    </row>
    <row r="223" spans="2:50" x14ac:dyDescent="0.25">
      <c r="AC223" s="384" t="s">
        <v>927</v>
      </c>
      <c r="AD223" s="430">
        <v>1.8</v>
      </c>
      <c r="AE223" s="430">
        <v>2.2000000000000002</v>
      </c>
      <c r="AF223" s="430">
        <v>2.2000000000000002</v>
      </c>
      <c r="AG223" s="430">
        <v>2.2000000000000002</v>
      </c>
      <c r="AH223" s="430">
        <v>2.2000000000000002</v>
      </c>
      <c r="AI223" s="430">
        <v>2.2999999999999998</v>
      </c>
      <c r="AJ223"/>
      <c r="AK223" s="62"/>
      <c r="AL223" s="62"/>
      <c r="AM223" s="62"/>
      <c r="AN223" s="62"/>
      <c r="AO223" s="344"/>
      <c r="AP223" s="344"/>
      <c r="AQ223" s="344"/>
      <c r="AR223" s="344"/>
      <c r="AS223" s="344"/>
      <c r="AT223" s="344"/>
      <c r="AU223" s="344"/>
      <c r="AV223" s="344"/>
      <c r="AW223" s="344"/>
      <c r="AX223" s="358"/>
    </row>
    <row r="224" spans="2:50" x14ac:dyDescent="0.25">
      <c r="AC224" s="386" t="s">
        <v>931</v>
      </c>
      <c r="AD224" s="429">
        <v>2.8</v>
      </c>
      <c r="AE224" s="429">
        <v>2.6</v>
      </c>
      <c r="AF224" s="429">
        <v>3.8</v>
      </c>
      <c r="AG224" s="429">
        <v>4.2</v>
      </c>
      <c r="AH224" s="429">
        <v>3.3</v>
      </c>
      <c r="AI224" s="429">
        <v>3.9</v>
      </c>
      <c r="AJ224"/>
      <c r="AK224" s="62"/>
      <c r="AL224" s="62"/>
      <c r="AM224" s="62"/>
      <c r="AN224" s="62"/>
      <c r="AO224" s="344"/>
      <c r="AP224" s="344"/>
      <c r="AQ224" s="344"/>
      <c r="AR224" s="344"/>
      <c r="AS224" s="344"/>
      <c r="AT224" s="344"/>
      <c r="AU224" s="344"/>
      <c r="AV224" s="344"/>
      <c r="AW224" s="344"/>
      <c r="AX224" s="358"/>
    </row>
    <row r="225" spans="29:50" x14ac:dyDescent="0.25">
      <c r="AC225" s="386" t="s">
        <v>929</v>
      </c>
      <c r="AD225" s="429">
        <v>135.5</v>
      </c>
      <c r="AE225" s="429">
        <v>142.1</v>
      </c>
      <c r="AF225" s="429">
        <v>147.1</v>
      </c>
      <c r="AG225" s="429">
        <v>144.19999999999999</v>
      </c>
      <c r="AH225" s="429">
        <v>145.5</v>
      </c>
      <c r="AI225" s="429">
        <v>146.5</v>
      </c>
      <c r="AJ225"/>
      <c r="AK225" s="62"/>
      <c r="AL225" s="62"/>
      <c r="AM225" s="62"/>
      <c r="AN225" s="62"/>
      <c r="AO225" s="344"/>
      <c r="AP225" s="344"/>
      <c r="AQ225" s="344"/>
      <c r="AR225" s="344"/>
      <c r="AS225" s="344"/>
      <c r="AT225" s="344"/>
      <c r="AU225" s="344"/>
      <c r="AV225" s="344"/>
      <c r="AW225" s="344"/>
      <c r="AX225" s="358"/>
    </row>
    <row r="226" spans="29:50" x14ac:dyDescent="0.25">
      <c r="AC226" s="384" t="s">
        <v>930</v>
      </c>
      <c r="AD226" s="430">
        <v>4.8</v>
      </c>
      <c r="AE226" s="430">
        <v>5.0999999999999996</v>
      </c>
      <c r="AF226" s="430">
        <v>5.2</v>
      </c>
      <c r="AG226" s="430">
        <v>4.7</v>
      </c>
      <c r="AH226" s="430">
        <v>4.5</v>
      </c>
      <c r="AI226" s="430">
        <v>4.3</v>
      </c>
      <c r="AJ226"/>
      <c r="AK226" s="62"/>
      <c r="AL226" s="62"/>
      <c r="AM226" s="62"/>
      <c r="AN226" s="62"/>
      <c r="AO226" s="344"/>
      <c r="AP226" s="344"/>
      <c r="AQ226" s="344"/>
      <c r="AR226" s="344"/>
      <c r="AS226" s="344"/>
      <c r="AT226" s="344"/>
      <c r="AU226" s="344"/>
      <c r="AV226" s="344"/>
      <c r="AW226" s="344"/>
      <c r="AX226" s="358"/>
    </row>
    <row r="227" spans="29:50" x14ac:dyDescent="0.25">
      <c r="AC227" s="406" t="s">
        <v>928</v>
      </c>
      <c r="AD227" s="431">
        <v>311.2</v>
      </c>
      <c r="AE227" s="431">
        <v>335.4</v>
      </c>
      <c r="AF227" s="431">
        <v>343.1</v>
      </c>
      <c r="AG227" s="431">
        <v>348.1</v>
      </c>
      <c r="AH227" s="431">
        <v>346.3</v>
      </c>
      <c r="AI227" s="431">
        <v>343.1</v>
      </c>
      <c r="AJ227"/>
      <c r="AK227" s="62"/>
      <c r="AL227" s="62"/>
      <c r="AM227" s="62"/>
      <c r="AN227" s="62"/>
      <c r="AO227" s="344"/>
      <c r="AP227" s="344"/>
      <c r="AQ227" s="344"/>
      <c r="AR227" s="344"/>
      <c r="AS227" s="344"/>
      <c r="AT227" s="344"/>
      <c r="AU227" s="344"/>
      <c r="AV227" s="344"/>
      <c r="AW227" s="344"/>
      <c r="AX227" s="358"/>
    </row>
    <row r="228" spans="29:50" x14ac:dyDescent="0.25">
      <c r="AC228" s="424" t="s">
        <v>935</v>
      </c>
      <c r="AD228" s="232">
        <f>AD212+AD222+AD223+AD226</f>
        <v>25.1</v>
      </c>
      <c r="AE228" s="232">
        <f t="shared" ref="AE228:AI228" si="17">AE212+AE222+AE223+AE226</f>
        <v>26.4</v>
      </c>
      <c r="AF228" s="232">
        <f t="shared" si="17"/>
        <v>28.299999999999997</v>
      </c>
      <c r="AG228" s="232">
        <f t="shared" si="17"/>
        <v>26.799999999999997</v>
      </c>
      <c r="AH228" s="232">
        <f t="shared" si="17"/>
        <v>27.8</v>
      </c>
      <c r="AI228" s="232">
        <f t="shared" si="17"/>
        <v>26.800000000000004</v>
      </c>
      <c r="AJ228" s="62"/>
      <c r="AK228" s="62"/>
      <c r="AL228" s="62"/>
      <c r="AM228" s="62"/>
      <c r="AN228" s="62"/>
      <c r="AO228" s="344"/>
      <c r="AP228" s="344"/>
      <c r="AQ228" s="344"/>
      <c r="AR228" s="344"/>
      <c r="AS228" s="344"/>
      <c r="AT228" s="344"/>
      <c r="AU228" s="344"/>
      <c r="AV228" s="344"/>
      <c r="AW228" s="344"/>
      <c r="AX228" s="358"/>
    </row>
    <row r="229" spans="29:50" x14ac:dyDescent="0.25">
      <c r="AC229" s="386"/>
      <c r="AD229" s="62"/>
      <c r="AE229" s="62"/>
      <c r="AF229" s="62"/>
      <c r="AG229" s="62"/>
      <c r="AH229" s="62"/>
      <c r="AI229" s="62"/>
      <c r="AJ229" s="62"/>
      <c r="AK229" s="62"/>
      <c r="AL229" s="62"/>
      <c r="AM229" s="62"/>
      <c r="AN229" s="62"/>
      <c r="AO229" s="344"/>
      <c r="AP229" s="344"/>
      <c r="AQ229" s="344"/>
      <c r="AR229" s="344"/>
      <c r="AS229" s="344"/>
      <c r="AT229" s="344"/>
      <c r="AU229" s="344"/>
      <c r="AV229" s="344"/>
      <c r="AW229" s="344"/>
      <c r="AX229" s="358"/>
    </row>
    <row r="230" spans="29:50" ht="15.75" x14ac:dyDescent="0.25">
      <c r="AC230" s="432" t="s">
        <v>953</v>
      </c>
      <c r="AD230"/>
      <c r="AE230"/>
      <c r="AF230"/>
      <c r="AG230" s="62"/>
      <c r="AH230" s="62"/>
      <c r="AI230" s="62"/>
      <c r="AJ230" s="433" t="s">
        <v>955</v>
      </c>
      <c r="AK230"/>
      <c r="AL230"/>
      <c r="AM230"/>
      <c r="AN230" s="62"/>
      <c r="AO230" s="62"/>
      <c r="AP230" s="344"/>
      <c r="AQ230" s="344"/>
      <c r="AR230" s="344"/>
      <c r="AS230" s="344"/>
      <c r="AT230" s="344"/>
      <c r="AU230" s="344"/>
      <c r="AV230" s="344"/>
      <c r="AW230" s="344"/>
      <c r="AX230" s="358"/>
    </row>
    <row r="231" spans="29:50" ht="15.75" thickBot="1" x14ac:dyDescent="0.3">
      <c r="AC231" s="59" t="s">
        <v>379</v>
      </c>
      <c r="AD231" s="14" t="s">
        <v>936</v>
      </c>
      <c r="AE231" s="14" t="s">
        <v>216</v>
      </c>
      <c r="AF231" s="14" t="s">
        <v>353</v>
      </c>
      <c r="AG231" s="234" t="s">
        <v>231</v>
      </c>
      <c r="AH231" s="378" t="s">
        <v>956</v>
      </c>
      <c r="AI231" s="62"/>
      <c r="AJ231" s="14" t="s">
        <v>379</v>
      </c>
      <c r="AK231" s="14" t="s">
        <v>936</v>
      </c>
      <c r="AL231" s="14" t="s">
        <v>216</v>
      </c>
      <c r="AM231" s="14" t="s">
        <v>353</v>
      </c>
      <c r="AN231" s="234" t="s">
        <v>231</v>
      </c>
      <c r="AO231" s="378" t="s">
        <v>954</v>
      </c>
      <c r="AP231" s="344"/>
      <c r="AQ231" s="344"/>
      <c r="AR231" s="344"/>
      <c r="AS231" s="344"/>
      <c r="AT231" s="344"/>
      <c r="AU231" s="344"/>
      <c r="AV231" s="344"/>
      <c r="AW231" s="344"/>
      <c r="AX231" s="358"/>
    </row>
    <row r="232" spans="29:50" ht="15.75" thickTop="1" x14ac:dyDescent="0.25">
      <c r="AC232" s="434" t="s">
        <v>937</v>
      </c>
      <c r="AD232" s="435">
        <v>213894.45907867007</v>
      </c>
      <c r="AE232" s="435">
        <v>0</v>
      </c>
      <c r="AF232" s="435">
        <v>73820.343306816299</v>
      </c>
      <c r="AG232" s="241">
        <v>287714.80238548637</v>
      </c>
      <c r="AH232" s="436">
        <f>AG232/$AH$247</f>
        <v>0.80089800013350954</v>
      </c>
      <c r="AI232" s="62"/>
      <c r="AJ232" s="378" t="s">
        <v>938</v>
      </c>
      <c r="AK232" s="419">
        <v>25339.11547538243</v>
      </c>
      <c r="AL232" s="419">
        <v>3299.6522131612251</v>
      </c>
      <c r="AM232" s="419">
        <v>13.111293274680284</v>
      </c>
      <c r="AN232" s="239">
        <v>28651.878981818343</v>
      </c>
      <c r="AO232" s="109">
        <f t="shared" ref="AO232:AO246" si="18">AN232/$AN$247</f>
        <v>0.22675162924846207</v>
      </c>
      <c r="AP232" s="344"/>
      <c r="AQ232" s="344"/>
      <c r="AR232" s="344"/>
      <c r="AS232" s="344"/>
      <c r="AT232" s="344"/>
      <c r="AU232" s="344"/>
      <c r="AV232" s="344"/>
      <c r="AW232" s="344"/>
      <c r="AX232" s="358"/>
    </row>
    <row r="233" spans="29:50" x14ac:dyDescent="0.25">
      <c r="AC233" s="437" t="s">
        <v>950</v>
      </c>
      <c r="AD233" s="435">
        <v>42104.143513958472</v>
      </c>
      <c r="AE233" s="435">
        <v>0</v>
      </c>
      <c r="AF233" s="435">
        <v>0</v>
      </c>
      <c r="AG233" s="241">
        <v>42104.143513958472</v>
      </c>
      <c r="AH233" s="436">
        <f>AG233/$AH$247</f>
        <v>0.11720330013637374</v>
      </c>
      <c r="AI233" s="62"/>
      <c r="AJ233" s="378" t="s">
        <v>939</v>
      </c>
      <c r="AK233" s="419">
        <v>28423.58504645104</v>
      </c>
      <c r="AL233" s="419">
        <v>0</v>
      </c>
      <c r="AM233" s="419">
        <v>0</v>
      </c>
      <c r="AN233" s="239">
        <v>28423.58504645104</v>
      </c>
      <c r="AO233" s="109">
        <f t="shared" si="18"/>
        <v>0.2249449057932594</v>
      </c>
      <c r="AP233" s="344"/>
      <c r="AQ233" s="344"/>
      <c r="AR233" s="344"/>
      <c r="AS233" s="344"/>
      <c r="AT233" s="344"/>
      <c r="AU233" s="344"/>
      <c r="AV233" s="344"/>
      <c r="AW233" s="344"/>
      <c r="AX233" s="358"/>
    </row>
    <row r="234" spans="29:50" x14ac:dyDescent="0.25">
      <c r="AC234" s="434" t="s">
        <v>938</v>
      </c>
      <c r="AD234" s="435">
        <v>22620.955952597076</v>
      </c>
      <c r="AE234" s="435">
        <v>1127.6445326635462</v>
      </c>
      <c r="AF234" s="435">
        <v>33.677637283515054</v>
      </c>
      <c r="AG234" s="241">
        <v>23782.278122544129</v>
      </c>
      <c r="AH234" s="436">
        <f>AG234/$AH$247</f>
        <v>6.6201595569784749E-2</v>
      </c>
      <c r="AI234" s="62"/>
      <c r="AJ234" s="378" t="s">
        <v>937</v>
      </c>
      <c r="AK234" s="419">
        <v>27255.617771881625</v>
      </c>
      <c r="AL234" s="419">
        <v>0</v>
      </c>
      <c r="AM234" s="419">
        <v>289.34049015292186</v>
      </c>
      <c r="AN234" s="239">
        <v>27544.95826203455</v>
      </c>
      <c r="AO234" s="109">
        <f t="shared" si="18"/>
        <v>0.21799143321318176</v>
      </c>
      <c r="AP234" s="344"/>
      <c r="AQ234" s="344"/>
      <c r="AR234" s="344"/>
      <c r="AS234" s="344"/>
      <c r="AT234" s="344"/>
      <c r="AU234" s="344"/>
      <c r="AV234" s="344"/>
      <c r="AW234" s="344"/>
      <c r="AX234" s="358"/>
    </row>
    <row r="235" spans="29:50" x14ac:dyDescent="0.25">
      <c r="AC235" s="317" t="s">
        <v>942</v>
      </c>
      <c r="AD235" s="419">
        <v>9375.0883725728308</v>
      </c>
      <c r="AE235" s="419">
        <v>0</v>
      </c>
      <c r="AF235" s="419">
        <v>0</v>
      </c>
      <c r="AG235" s="235">
        <v>9375.0883725728308</v>
      </c>
      <c r="AH235" s="109"/>
      <c r="AI235" s="62"/>
      <c r="AJ235" s="378" t="s">
        <v>947</v>
      </c>
      <c r="AK235" s="419">
        <v>15735.94700513102</v>
      </c>
      <c r="AL235" s="419">
        <v>1461.7424347507826</v>
      </c>
      <c r="AM235" s="419">
        <v>0</v>
      </c>
      <c r="AN235" s="239">
        <v>17197.6894398818</v>
      </c>
      <c r="AO235" s="109">
        <f t="shared" si="18"/>
        <v>0.13610290976996117</v>
      </c>
      <c r="AP235" s="344"/>
      <c r="AQ235" s="344"/>
      <c r="AR235" s="344"/>
      <c r="AS235" s="344"/>
      <c r="AT235" s="344"/>
      <c r="AU235" s="344"/>
      <c r="AV235" s="344"/>
      <c r="AW235" s="344"/>
      <c r="AX235" s="358"/>
    </row>
    <row r="236" spans="29:50" x14ac:dyDescent="0.25">
      <c r="AC236" s="438" t="s">
        <v>949</v>
      </c>
      <c r="AD236" s="419">
        <v>7559.9764701268941</v>
      </c>
      <c r="AE236" s="419">
        <v>0</v>
      </c>
      <c r="AF236" s="419">
        <v>0</v>
      </c>
      <c r="AG236" s="235">
        <v>7559.9764701268941</v>
      </c>
      <c r="AH236" s="109"/>
      <c r="AI236" s="62"/>
      <c r="AJ236" s="378" t="s">
        <v>942</v>
      </c>
      <c r="AK236" s="419">
        <v>5639.0147018100588</v>
      </c>
      <c r="AL236" s="419">
        <v>2475.4333637437012</v>
      </c>
      <c r="AM236" s="419">
        <v>0</v>
      </c>
      <c r="AN236" s="239">
        <v>8114.44806555376</v>
      </c>
      <c r="AO236" s="109">
        <f t="shared" si="18"/>
        <v>6.4217928621153775E-2</v>
      </c>
      <c r="AP236" s="344"/>
      <c r="AQ236" s="344"/>
      <c r="AR236" s="344"/>
      <c r="AS236" s="344"/>
      <c r="AT236" s="344"/>
      <c r="AU236" s="344"/>
      <c r="AV236" s="344"/>
      <c r="AW236" s="344"/>
      <c r="AX236" s="358"/>
    </row>
    <row r="237" spans="29:50" x14ac:dyDescent="0.25">
      <c r="AC237" s="437" t="s">
        <v>947</v>
      </c>
      <c r="AD237" s="435">
        <v>4356.4854746913661</v>
      </c>
      <c r="AE237" s="435">
        <v>674.45703377343852</v>
      </c>
      <c r="AF237" s="435">
        <v>0</v>
      </c>
      <c r="AG237" s="241">
        <v>5030.9425084648065</v>
      </c>
      <c r="AH237" s="436">
        <f>AG237/$AH$247</f>
        <v>1.400439518720911E-2</v>
      </c>
      <c r="AI237" s="62"/>
      <c r="AJ237" s="378" t="s">
        <v>940</v>
      </c>
      <c r="AK237" s="419">
        <v>5199.748082625083</v>
      </c>
      <c r="AL237" s="419">
        <v>0</v>
      </c>
      <c r="AM237" s="419">
        <v>1288.6969999999999</v>
      </c>
      <c r="AN237" s="239">
        <v>6488.4450826250832</v>
      </c>
      <c r="AO237" s="109">
        <f t="shared" si="18"/>
        <v>5.1349703616577196E-2</v>
      </c>
      <c r="AP237" s="344"/>
      <c r="AQ237" s="344"/>
      <c r="AR237" s="344"/>
      <c r="AS237" s="344"/>
      <c r="AT237" s="344"/>
      <c r="AU237" s="344"/>
      <c r="AV237" s="344"/>
      <c r="AW237" s="344"/>
      <c r="AX237" s="358"/>
    </row>
    <row r="238" spans="29:50" x14ac:dyDescent="0.25">
      <c r="AC238" s="317" t="s">
        <v>940</v>
      </c>
      <c r="AD238" s="419">
        <v>3369.6444170175837</v>
      </c>
      <c r="AE238" s="419">
        <v>0</v>
      </c>
      <c r="AF238" s="419">
        <v>0</v>
      </c>
      <c r="AG238" s="235">
        <v>3369.6444170175819</v>
      </c>
      <c r="AH238" s="109"/>
      <c r="AI238" s="62"/>
      <c r="AJ238" s="378" t="s">
        <v>950</v>
      </c>
      <c r="AK238" s="419">
        <v>3441.0163653973768</v>
      </c>
      <c r="AL238" s="419">
        <v>0</v>
      </c>
      <c r="AM238" s="419">
        <v>0</v>
      </c>
      <c r="AN238" s="239">
        <v>3441.0163653973768</v>
      </c>
      <c r="AO238" s="109">
        <f t="shared" si="18"/>
        <v>2.7232282658306788E-2</v>
      </c>
      <c r="AP238" s="344"/>
      <c r="AQ238" s="344"/>
      <c r="AR238" s="344"/>
      <c r="AS238" s="344"/>
      <c r="AT238" s="344"/>
      <c r="AU238" s="344"/>
      <c r="AV238" s="344"/>
      <c r="AW238" s="344"/>
      <c r="AX238" s="358"/>
    </row>
    <row r="239" spans="29:50" x14ac:dyDescent="0.25">
      <c r="AC239" s="317" t="s">
        <v>941</v>
      </c>
      <c r="AD239" s="419">
        <v>1426.8617243050026</v>
      </c>
      <c r="AE239" s="419">
        <v>0</v>
      </c>
      <c r="AF239" s="419">
        <v>0</v>
      </c>
      <c r="AG239" s="235">
        <v>1426.8617243050026</v>
      </c>
      <c r="AH239" s="109"/>
      <c r="AI239" s="62"/>
      <c r="AJ239" s="378" t="s">
        <v>949</v>
      </c>
      <c r="AK239" s="419">
        <v>2527.237640618494</v>
      </c>
      <c r="AL239" s="419">
        <v>0</v>
      </c>
      <c r="AM239" s="419">
        <v>0</v>
      </c>
      <c r="AN239" s="239">
        <v>2527.237640618494</v>
      </c>
      <c r="AO239" s="109">
        <f t="shared" si="18"/>
        <v>2.0000616813714976E-2</v>
      </c>
      <c r="AP239" s="344"/>
      <c r="AQ239" s="344"/>
      <c r="AR239" s="344"/>
      <c r="AS239" s="344"/>
      <c r="AT239" s="344"/>
      <c r="AU239" s="344"/>
      <c r="AV239" s="344"/>
      <c r="AW239" s="344"/>
      <c r="AX239" s="358"/>
    </row>
    <row r="240" spans="29:50" x14ac:dyDescent="0.25">
      <c r="AC240" s="434" t="s">
        <v>943</v>
      </c>
      <c r="AD240" s="435">
        <v>599.22467405849898</v>
      </c>
      <c r="AE240" s="435">
        <v>0</v>
      </c>
      <c r="AF240" s="435">
        <v>0</v>
      </c>
      <c r="AG240" s="241">
        <v>599.22467405849898</v>
      </c>
      <c r="AH240" s="436">
        <f>AG240/$AH$247</f>
        <v>1.6680332019939033E-3</v>
      </c>
      <c r="AI240" s="62"/>
      <c r="AJ240" s="378" t="s">
        <v>948</v>
      </c>
      <c r="AK240" s="419">
        <v>1682.2318424528971</v>
      </c>
      <c r="AL240" s="419">
        <v>0</v>
      </c>
      <c r="AM240" s="419">
        <v>16.477686882710081</v>
      </c>
      <c r="AN240" s="239">
        <v>1698.7095293356072</v>
      </c>
      <c r="AO240" s="109">
        <f t="shared" si="18"/>
        <v>1.3443626285074164E-2</v>
      </c>
      <c r="AP240" s="344"/>
      <c r="AQ240" s="344"/>
      <c r="AR240" s="344"/>
      <c r="AS240" s="344"/>
      <c r="AT240" s="344"/>
      <c r="AU240" s="344"/>
      <c r="AV240" s="344"/>
      <c r="AW240" s="344"/>
      <c r="AX240" s="358"/>
    </row>
    <row r="241" spans="29:50" x14ac:dyDescent="0.25">
      <c r="AC241" s="317" t="s">
        <v>944</v>
      </c>
      <c r="AD241" s="419">
        <v>440.39385739281192</v>
      </c>
      <c r="AE241" s="419">
        <v>0</v>
      </c>
      <c r="AF241" s="419">
        <v>0</v>
      </c>
      <c r="AG241" s="235">
        <v>440.39385739281192</v>
      </c>
      <c r="AH241" s="109"/>
      <c r="AI241" s="62"/>
      <c r="AJ241" s="378" t="s">
        <v>941</v>
      </c>
      <c r="AK241" s="419">
        <v>1663.4622786361865</v>
      </c>
      <c r="AL241" s="419">
        <v>0</v>
      </c>
      <c r="AM241" s="419">
        <v>0</v>
      </c>
      <c r="AN241" s="239">
        <v>1663.4622786361865</v>
      </c>
      <c r="AO241" s="109">
        <f t="shared" si="18"/>
        <v>1.3164678732360628E-2</v>
      </c>
      <c r="AP241" s="344"/>
      <c r="AQ241" s="344"/>
      <c r="AR241" s="344"/>
      <c r="AS241" s="344"/>
      <c r="AT241" s="344"/>
      <c r="AU241" s="344"/>
      <c r="AV241" s="344"/>
      <c r="AW241" s="344"/>
      <c r="AX241" s="358"/>
    </row>
    <row r="242" spans="29:50" x14ac:dyDescent="0.25">
      <c r="AC242" s="438" t="s">
        <v>951</v>
      </c>
      <c r="AD242" s="419">
        <v>383.87766353024227</v>
      </c>
      <c r="AE242" s="419">
        <v>0</v>
      </c>
      <c r="AF242" s="419">
        <v>0</v>
      </c>
      <c r="AG242" s="235">
        <v>383.87766353024227</v>
      </c>
      <c r="AH242" s="109"/>
      <c r="AI242" s="62"/>
      <c r="AJ242" s="378" t="s">
        <v>943</v>
      </c>
      <c r="AK242" s="419">
        <v>375.94327958485849</v>
      </c>
      <c r="AL242" s="419">
        <v>0</v>
      </c>
      <c r="AM242" s="419">
        <v>0</v>
      </c>
      <c r="AN242" s="239">
        <v>375.94327958485843</v>
      </c>
      <c r="AO242" s="109">
        <f t="shared" si="18"/>
        <v>2.9752237612399252E-3</v>
      </c>
      <c r="AP242" s="344"/>
      <c r="AQ242" s="344"/>
      <c r="AR242" s="344"/>
      <c r="AS242" s="344"/>
      <c r="AT242" s="344"/>
      <c r="AU242" s="344"/>
      <c r="AV242" s="344"/>
      <c r="AW242" s="344"/>
      <c r="AX242" s="358"/>
    </row>
    <row r="243" spans="29:50" x14ac:dyDescent="0.25">
      <c r="AC243" s="317" t="s">
        <v>946</v>
      </c>
      <c r="AD243" s="419">
        <v>273.57433864998029</v>
      </c>
      <c r="AE243" s="419">
        <v>0</v>
      </c>
      <c r="AF243" s="419">
        <v>0</v>
      </c>
      <c r="AG243" s="235">
        <v>273.57433864998029</v>
      </c>
      <c r="AH243" s="109"/>
      <c r="AI243" s="62"/>
      <c r="AJ243" s="378" t="s">
        <v>945</v>
      </c>
      <c r="AK243" s="419">
        <v>80.965649118675486</v>
      </c>
      <c r="AL243" s="419">
        <v>0</v>
      </c>
      <c r="AM243" s="419">
        <v>0</v>
      </c>
      <c r="AN243" s="239">
        <v>80.965649118675486</v>
      </c>
      <c r="AO243" s="109">
        <f t="shared" si="18"/>
        <v>6.4076400931572847E-4</v>
      </c>
      <c r="AP243" s="344"/>
      <c r="AQ243" s="344"/>
      <c r="AR243" s="344"/>
      <c r="AS243" s="344"/>
      <c r="AT243" s="344"/>
      <c r="AU243" s="344"/>
      <c r="AV243" s="344"/>
      <c r="AW243" s="344"/>
      <c r="AX243" s="358"/>
    </row>
    <row r="244" spans="29:50" x14ac:dyDescent="0.25">
      <c r="AC244" s="434" t="s">
        <v>939</v>
      </c>
      <c r="AD244" s="435">
        <v>0</v>
      </c>
      <c r="AE244" s="435">
        <v>0</v>
      </c>
      <c r="AF244" s="435">
        <v>8.8645303308155761</v>
      </c>
      <c r="AG244" s="241">
        <v>8.8645303308148868</v>
      </c>
      <c r="AH244" s="436">
        <f>AG244/$AH$247</f>
        <v>2.4675771128940067E-5</v>
      </c>
      <c r="AI244" s="62"/>
      <c r="AJ244" s="378" t="s">
        <v>946</v>
      </c>
      <c r="AK244" s="419">
        <v>73.127204069960385</v>
      </c>
      <c r="AL244" s="419">
        <v>0</v>
      </c>
      <c r="AM244" s="419">
        <v>0</v>
      </c>
      <c r="AN244" s="239">
        <v>73.127204069960385</v>
      </c>
      <c r="AO244" s="109">
        <f t="shared" si="18"/>
        <v>5.7873037491783903E-4</v>
      </c>
      <c r="AP244" s="344"/>
      <c r="AQ244" s="344"/>
      <c r="AR244" s="344"/>
      <c r="AS244" s="344"/>
      <c r="AT244" s="344"/>
      <c r="AU244" s="344"/>
      <c r="AV244" s="344"/>
      <c r="AW244" s="344"/>
      <c r="AX244" s="358"/>
    </row>
    <row r="245" spans="29:50" x14ac:dyDescent="0.25">
      <c r="AC245" s="317" t="s">
        <v>945</v>
      </c>
      <c r="AD245" s="419">
        <v>0</v>
      </c>
      <c r="AE245" s="419">
        <v>0</v>
      </c>
      <c r="AF245" s="419">
        <v>0</v>
      </c>
      <c r="AG245" s="235">
        <v>0</v>
      </c>
      <c r="AH245" s="109"/>
      <c r="AI245" s="62"/>
      <c r="AJ245" s="378" t="s">
        <v>951</v>
      </c>
      <c r="AK245" s="419">
        <v>67.730016423458622</v>
      </c>
      <c r="AL245" s="419">
        <v>0</v>
      </c>
      <c r="AM245" s="419">
        <v>0</v>
      </c>
      <c r="AN245" s="239">
        <v>67.730016423458622</v>
      </c>
      <c r="AO245" s="109">
        <f t="shared" si="18"/>
        <v>5.3601690774940142E-4</v>
      </c>
      <c r="AP245" s="344"/>
      <c r="AQ245" s="344"/>
      <c r="AR245" s="344"/>
      <c r="AS245" s="344"/>
      <c r="AT245" s="344"/>
      <c r="AU245" s="344"/>
      <c r="AV245" s="344"/>
      <c r="AW245" s="344"/>
      <c r="AX245" s="358"/>
    </row>
    <row r="246" spans="29:50" x14ac:dyDescent="0.25">
      <c r="AC246" s="438" t="s">
        <v>948</v>
      </c>
      <c r="AD246" s="419">
        <v>0</v>
      </c>
      <c r="AE246" s="419">
        <v>0</v>
      </c>
      <c r="AF246" s="419">
        <v>0</v>
      </c>
      <c r="AG246" s="235">
        <v>0</v>
      </c>
      <c r="AH246" s="109"/>
      <c r="AI246" s="62"/>
      <c r="AJ246" s="378" t="s">
        <v>944</v>
      </c>
      <c r="AK246" s="419">
        <v>8.7882224662907085</v>
      </c>
      <c r="AL246" s="419">
        <v>0</v>
      </c>
      <c r="AM246" s="419">
        <v>0</v>
      </c>
      <c r="AN246" s="239">
        <v>8.7882224662907085</v>
      </c>
      <c r="AO246" s="109">
        <f t="shared" si="18"/>
        <v>6.9550194725235756E-5</v>
      </c>
      <c r="AP246" s="344"/>
      <c r="AQ246" s="344"/>
      <c r="AR246" s="344"/>
      <c r="AS246" s="344"/>
      <c r="AT246" s="344"/>
      <c r="AU246" s="344"/>
      <c r="AV246" s="344"/>
      <c r="AW246" s="344"/>
      <c r="AX246" s="358"/>
    </row>
    <row r="247" spans="29:50" x14ac:dyDescent="0.25">
      <c r="AC247" s="439" t="s">
        <v>952</v>
      </c>
      <c r="AD247" s="237">
        <v>320884.93548899842</v>
      </c>
      <c r="AE247" s="237">
        <v>1802.1015664369843</v>
      </c>
      <c r="AF247" s="237">
        <v>59382.635523002944</v>
      </c>
      <c r="AG247" s="238">
        <v>382069.67257843842</v>
      </c>
      <c r="AH247" s="237">
        <f>AG232+AG234+AG237+AG240+AG244+AG233</f>
        <v>359240.25573484309</v>
      </c>
      <c r="AI247" s="62"/>
      <c r="AJ247" s="237" t="s">
        <v>952</v>
      </c>
      <c r="AK247" s="240">
        <v>103033.2806306218</v>
      </c>
      <c r="AL247" s="240">
        <v>7236.8280116557089</v>
      </c>
      <c r="AM247" s="240">
        <v>16087.876421737992</v>
      </c>
      <c r="AN247" s="238">
        <v>126357.98506401548</v>
      </c>
      <c r="AO247" s="344"/>
      <c r="AP247" s="344"/>
      <c r="AQ247" s="344"/>
      <c r="AR247" s="344"/>
      <c r="AS247" s="344"/>
      <c r="AT247" s="344"/>
      <c r="AU247" s="344"/>
      <c r="AV247" s="344"/>
      <c r="AW247" s="344"/>
      <c r="AX247" s="358"/>
    </row>
    <row r="248" spans="29:50" x14ac:dyDescent="0.25">
      <c r="AC248" s="386"/>
      <c r="AD248" s="62"/>
      <c r="AE248" s="62"/>
      <c r="AF248" s="62"/>
      <c r="AG248" s="62"/>
      <c r="AH248" s="62"/>
      <c r="AI248" s="62"/>
      <c r="AJ248" s="62"/>
      <c r="AK248" s="62"/>
      <c r="AL248" s="62"/>
      <c r="AM248" s="62"/>
      <c r="AN248" s="62"/>
      <c r="AO248" s="344"/>
      <c r="AP248" s="344"/>
      <c r="AQ248" s="344"/>
      <c r="AR248" s="344"/>
      <c r="AS248" s="344"/>
      <c r="AT248" s="344"/>
      <c r="AU248" s="344"/>
      <c r="AV248" s="344"/>
      <c r="AW248" s="344"/>
      <c r="AX248" s="358"/>
    </row>
    <row r="249" spans="29:50" ht="15.75" x14ac:dyDescent="0.25">
      <c r="AC249" s="432" t="s">
        <v>958</v>
      </c>
      <c r="AD249" s="62"/>
      <c r="AE249" s="62"/>
      <c r="AF249" s="62"/>
      <c r="AG249" s="433" t="s">
        <v>965</v>
      </c>
      <c r="AH249" s="62"/>
      <c r="AI249" s="62"/>
      <c r="AJ249" s="62"/>
      <c r="AK249" s="62"/>
      <c r="AL249" s="62"/>
      <c r="AM249" s="62"/>
      <c r="AN249" s="62"/>
      <c r="AO249" s="344"/>
      <c r="AP249" s="344"/>
      <c r="AQ249" s="344"/>
      <c r="AR249" s="344"/>
      <c r="AS249" s="344"/>
      <c r="AT249" s="344"/>
      <c r="AU249" s="344"/>
      <c r="AV249" s="344"/>
      <c r="AW249" s="344"/>
      <c r="AX249" s="358"/>
    </row>
    <row r="250" spans="29:50" ht="15.75" thickBot="1" x14ac:dyDescent="0.3">
      <c r="AC250" s="59" t="s">
        <v>379</v>
      </c>
      <c r="AD250" s="14" t="s">
        <v>985</v>
      </c>
      <c r="AE250" s="14" t="s">
        <v>231</v>
      </c>
      <c r="AF250" s="62"/>
      <c r="AG250" s="14" t="s">
        <v>379</v>
      </c>
      <c r="AH250" s="14" t="s">
        <v>985</v>
      </c>
      <c r="AI250" s="14" t="s">
        <v>231</v>
      </c>
      <c r="AJ250" s="62"/>
      <c r="AK250" s="62"/>
      <c r="AL250" s="62"/>
      <c r="AM250" s="62"/>
      <c r="AN250" s="62"/>
      <c r="AO250" s="344"/>
      <c r="AP250" s="344"/>
      <c r="AQ250" s="344"/>
      <c r="AR250" s="344"/>
      <c r="AS250" s="344"/>
      <c r="AT250" s="344"/>
      <c r="AU250" s="344"/>
      <c r="AV250" s="344"/>
      <c r="AW250" s="344"/>
      <c r="AX250" s="358"/>
    </row>
    <row r="251" spans="29:50" ht="15.75" thickTop="1" x14ac:dyDescent="0.25">
      <c r="AC251" s="386" t="s">
        <v>959</v>
      </c>
      <c r="AD251" s="62">
        <v>47</v>
      </c>
      <c r="AE251" s="62">
        <v>186</v>
      </c>
      <c r="AF251" s="62"/>
      <c r="AG251" s="344" t="s">
        <v>959</v>
      </c>
      <c r="AH251" s="62">
        <v>45</v>
      </c>
      <c r="AI251" s="62">
        <v>340</v>
      </c>
      <c r="AJ251" s="62"/>
      <c r="AK251" s="62"/>
      <c r="AL251" s="62"/>
      <c r="AM251" s="62"/>
      <c r="AN251" s="62"/>
      <c r="AO251" s="344"/>
      <c r="AP251" s="344"/>
      <c r="AQ251" s="344"/>
      <c r="AR251" s="344"/>
      <c r="AS251" s="344"/>
      <c r="AT251" s="344"/>
      <c r="AU251" s="344"/>
      <c r="AV251" s="344"/>
      <c r="AW251" s="344"/>
      <c r="AX251" s="358"/>
    </row>
    <row r="252" spans="29:50" x14ac:dyDescent="0.25">
      <c r="AC252" s="386" t="s">
        <v>960</v>
      </c>
      <c r="AD252" s="62">
        <v>21</v>
      </c>
      <c r="AE252" s="62">
        <v>66</v>
      </c>
      <c r="AF252" s="62"/>
      <c r="AG252" s="344" t="s">
        <v>960</v>
      </c>
      <c r="AH252" s="62">
        <v>23</v>
      </c>
      <c r="AI252" s="62">
        <v>206</v>
      </c>
      <c r="AJ252" s="62"/>
      <c r="AK252" s="62"/>
      <c r="AL252" s="62"/>
      <c r="AM252" s="62"/>
      <c r="AN252" s="62"/>
      <c r="AO252" s="344"/>
      <c r="AP252" s="344"/>
      <c r="AQ252" s="344"/>
      <c r="AR252" s="344"/>
      <c r="AS252" s="344"/>
      <c r="AT252" s="344"/>
      <c r="AU252" s="344"/>
      <c r="AV252" s="344"/>
      <c r="AW252" s="344"/>
      <c r="AX252" s="358"/>
    </row>
    <row r="253" spans="29:50" x14ac:dyDescent="0.25">
      <c r="AC253" s="386" t="s">
        <v>877</v>
      </c>
      <c r="AD253" s="62">
        <v>0</v>
      </c>
      <c r="AE253" s="62">
        <v>1</v>
      </c>
      <c r="AF253" s="62"/>
      <c r="AG253" s="344" t="s">
        <v>877</v>
      </c>
      <c r="AH253" s="62">
        <v>1</v>
      </c>
      <c r="AI253" s="62">
        <v>62</v>
      </c>
      <c r="AJ253" s="62"/>
      <c r="AK253" s="62"/>
      <c r="AL253" s="62"/>
      <c r="AM253" s="62"/>
      <c r="AN253" s="62"/>
      <c r="AO253" s="344"/>
      <c r="AP253" s="344"/>
      <c r="AQ253" s="344"/>
      <c r="AR253" s="344"/>
      <c r="AS253" s="344"/>
      <c r="AT253" s="344"/>
      <c r="AU253" s="344"/>
      <c r="AV253" s="344"/>
      <c r="AW253" s="344"/>
      <c r="AX253" s="358"/>
    </row>
    <row r="254" spans="29:50" x14ac:dyDescent="0.25">
      <c r="AC254" s="386" t="s">
        <v>961</v>
      </c>
      <c r="AD254" s="62">
        <v>4</v>
      </c>
      <c r="AE254" s="62">
        <v>7</v>
      </c>
      <c r="AF254" s="62"/>
      <c r="AG254" s="344" t="s">
        <v>961</v>
      </c>
      <c r="AH254" s="62">
        <v>16</v>
      </c>
      <c r="AI254" s="62">
        <v>17</v>
      </c>
      <c r="AJ254" s="62"/>
      <c r="AK254" s="62"/>
      <c r="AL254" s="62"/>
      <c r="AM254" s="62"/>
      <c r="AN254" s="62"/>
      <c r="AO254" s="344"/>
      <c r="AP254" s="344"/>
      <c r="AQ254" s="344"/>
      <c r="AR254" s="344"/>
      <c r="AS254" s="344"/>
      <c r="AT254" s="344"/>
      <c r="AU254" s="344"/>
      <c r="AV254" s="344"/>
      <c r="AW254" s="344"/>
      <c r="AX254" s="358"/>
    </row>
    <row r="255" spans="29:50" x14ac:dyDescent="0.25">
      <c r="AC255" s="386" t="s">
        <v>962</v>
      </c>
      <c r="AD255" s="62">
        <v>2</v>
      </c>
      <c r="AE255" s="62">
        <v>3</v>
      </c>
      <c r="AF255" s="62"/>
      <c r="AG255" s="344" t="s">
        <v>962</v>
      </c>
      <c r="AH255" s="62">
        <v>4</v>
      </c>
      <c r="AI255" s="62">
        <v>70</v>
      </c>
      <c r="AJ255" s="62"/>
      <c r="AK255" s="62"/>
      <c r="AL255" s="62"/>
      <c r="AM255" s="62"/>
      <c r="AN255" s="62"/>
      <c r="AO255" s="344"/>
      <c r="AP255" s="344"/>
      <c r="AQ255" s="344"/>
      <c r="AR255" s="344"/>
      <c r="AS255" s="344"/>
      <c r="AT255" s="344"/>
      <c r="AU255" s="344"/>
      <c r="AV255" s="344"/>
      <c r="AW255" s="344"/>
      <c r="AX255" s="358"/>
    </row>
    <row r="256" spans="29:50" x14ac:dyDescent="0.25">
      <c r="AC256" s="386" t="s">
        <v>963</v>
      </c>
      <c r="AD256" s="62">
        <v>26</v>
      </c>
      <c r="AE256" s="62">
        <v>72</v>
      </c>
      <c r="AF256" s="62"/>
      <c r="AG256" s="344" t="s">
        <v>963</v>
      </c>
      <c r="AH256" s="62">
        <v>37</v>
      </c>
      <c r="AI256" s="62">
        <v>48</v>
      </c>
      <c r="AJ256" s="62"/>
      <c r="AK256" s="62"/>
      <c r="AL256" s="62"/>
      <c r="AM256" s="62"/>
      <c r="AN256" s="62"/>
      <c r="AO256" s="344"/>
      <c r="AP256" s="344"/>
      <c r="AQ256" s="344"/>
      <c r="AR256" s="344"/>
      <c r="AS256" s="344"/>
      <c r="AT256" s="344"/>
      <c r="AU256" s="344"/>
      <c r="AV256" s="344"/>
      <c r="AW256" s="344"/>
      <c r="AX256" s="358"/>
    </row>
    <row r="257" spans="29:50" x14ac:dyDescent="0.25">
      <c r="AC257" s="386" t="s">
        <v>964</v>
      </c>
      <c r="AD257" s="62">
        <v>22</v>
      </c>
      <c r="AE257" s="62">
        <v>61</v>
      </c>
      <c r="AF257" s="62"/>
      <c r="AG257" s="344" t="s">
        <v>964</v>
      </c>
      <c r="AH257" s="62">
        <v>29</v>
      </c>
      <c r="AI257" s="62">
        <v>87</v>
      </c>
      <c r="AJ257" s="62"/>
      <c r="AK257" s="62"/>
      <c r="AL257" s="62"/>
      <c r="AM257" s="62"/>
      <c r="AN257" s="62"/>
      <c r="AO257" s="344"/>
      <c r="AP257" s="344"/>
      <c r="AQ257" s="344"/>
      <c r="AR257" s="344"/>
      <c r="AS257" s="344"/>
      <c r="AT257" s="344"/>
      <c r="AU257" s="344"/>
      <c r="AV257" s="344"/>
      <c r="AW257" s="344"/>
      <c r="AX257" s="358"/>
    </row>
    <row r="258" spans="29:50" ht="15.75" thickBot="1" x14ac:dyDescent="0.3">
      <c r="AC258" s="440" t="s">
        <v>231</v>
      </c>
      <c r="AD258" s="441">
        <f>SUM(AD251:AD257)</f>
        <v>122</v>
      </c>
      <c r="AE258" s="441">
        <v>396</v>
      </c>
      <c r="AF258" s="379"/>
      <c r="AG258" s="442" t="s">
        <v>231</v>
      </c>
      <c r="AH258" s="441">
        <f>SUM(AH251:AH257)</f>
        <v>155</v>
      </c>
      <c r="AI258" s="441">
        <v>830</v>
      </c>
      <c r="AJ258" s="379"/>
      <c r="AK258" s="379"/>
      <c r="AL258" s="379"/>
      <c r="AM258" s="379"/>
      <c r="AN258" s="379"/>
      <c r="AO258" s="364"/>
      <c r="AP258" s="364"/>
      <c r="AQ258" s="364"/>
      <c r="AR258" s="364"/>
      <c r="AS258" s="364"/>
      <c r="AT258" s="364"/>
      <c r="AU258" s="364"/>
      <c r="AV258" s="364"/>
      <c r="AW258" s="364"/>
      <c r="AX258" s="443"/>
    </row>
    <row r="259" spans="29:50" x14ac:dyDescent="0.25">
      <c r="AX259" s="344"/>
    </row>
    <row r="260" spans="29:50" x14ac:dyDescent="0.25">
      <c r="AX260" s="344"/>
    </row>
    <row r="261" spans="29:50" x14ac:dyDescent="0.25">
      <c r="AX261" s="344"/>
    </row>
    <row r="262" spans="29:50" x14ac:dyDescent="0.25">
      <c r="AC262" s="12"/>
      <c r="AH262" s="3"/>
      <c r="AI262" s="3"/>
      <c r="AJ262" s="3"/>
      <c r="AK262" s="3"/>
      <c r="AL262" s="3"/>
      <c r="AM262" s="3"/>
      <c r="AN262" s="3"/>
      <c r="AX262" s="344"/>
    </row>
    <row r="263" spans="29:50" ht="16.5" thickBot="1" x14ac:dyDescent="0.3">
      <c r="AC263" s="380" t="s">
        <v>1206</v>
      </c>
      <c r="AD263" s="311"/>
      <c r="AE263" s="637"/>
      <c r="AF263" s="310"/>
      <c r="AG263" s="310"/>
      <c r="AH263" s="310"/>
      <c r="AI263" s="310"/>
      <c r="AJ263" s="310"/>
      <c r="AK263" s="310"/>
      <c r="AL263" s="310"/>
      <c r="AM263" s="310"/>
      <c r="AN263" s="310"/>
      <c r="AX263" s="344"/>
    </row>
    <row r="264" spans="29:50" ht="15.75" thickBot="1" x14ac:dyDescent="0.3">
      <c r="AC264" s="305" t="s">
        <v>1207</v>
      </c>
      <c r="AD264" s="306" t="s">
        <v>1218</v>
      </c>
      <c r="AE264" s="19" t="s">
        <v>84</v>
      </c>
      <c r="AF264" s="19" t="s">
        <v>1214</v>
      </c>
      <c r="AG264" s="19" t="s">
        <v>1217</v>
      </c>
      <c r="AH264" s="19" t="s">
        <v>1219</v>
      </c>
      <c r="AI264" s="19" t="s">
        <v>1216</v>
      </c>
      <c r="AJ264" s="19" t="s">
        <v>1215</v>
      </c>
      <c r="AK264" s="305" t="s">
        <v>1212</v>
      </c>
      <c r="AL264" s="305" t="s">
        <v>1210</v>
      </c>
      <c r="AM264" s="305" t="s">
        <v>1213</v>
      </c>
      <c r="AN264" s="305" t="s">
        <v>1211</v>
      </c>
      <c r="AX264" s="344"/>
    </row>
    <row r="265" spans="29:50" ht="15.75" thickTop="1" x14ac:dyDescent="0.25">
      <c r="AC265" s="11" t="s">
        <v>1208</v>
      </c>
      <c r="AD265" s="307">
        <f t="shared" ref="AD265:AN265" si="19">SUM(AD266:AD280)</f>
        <v>2861.3349990000002</v>
      </c>
      <c r="AE265" s="4">
        <f t="shared" si="19"/>
        <v>943.24800100000004</v>
      </c>
      <c r="AF265" s="4">
        <f t="shared" si="19"/>
        <v>564.17499799999996</v>
      </c>
      <c r="AG265" s="4">
        <f t="shared" si="19"/>
        <v>473.24599999999998</v>
      </c>
      <c r="AH265" s="4">
        <f t="shared" si="19"/>
        <v>421.9800019999999</v>
      </c>
      <c r="AI265" s="4">
        <f t="shared" si="19"/>
        <v>147.30099999999999</v>
      </c>
      <c r="AJ265" s="4">
        <f t="shared" si="19"/>
        <v>108.879</v>
      </c>
      <c r="AK265" s="4">
        <f t="shared" si="19"/>
        <v>75.875000000000014</v>
      </c>
      <c r="AL265" s="4">
        <f t="shared" si="19"/>
        <v>61.468999999999987</v>
      </c>
      <c r="AM265" s="4">
        <f t="shared" si="19"/>
        <v>53.11399999999999</v>
      </c>
      <c r="AN265" s="4">
        <f t="shared" si="19"/>
        <v>12.047998999999999</v>
      </c>
      <c r="AX265" s="344"/>
    </row>
    <row r="266" spans="29:50" x14ac:dyDescent="0.25">
      <c r="AC266" s="160" t="s">
        <v>8</v>
      </c>
      <c r="AD266" s="95">
        <v>495.67861799999997</v>
      </c>
      <c r="AE266" s="3">
        <v>204.62799999999999</v>
      </c>
      <c r="AF266" s="3">
        <v>128.92182600000001</v>
      </c>
      <c r="AG266" s="3">
        <v>40.891452999999998</v>
      </c>
      <c r="AH266" s="3">
        <v>53.944958</v>
      </c>
      <c r="AI266" s="3">
        <v>15.969873</v>
      </c>
      <c r="AJ266" s="3">
        <v>15.367122999999999</v>
      </c>
      <c r="AK266" s="3">
        <v>15.238616</v>
      </c>
      <c r="AL266" s="3">
        <v>7.4787999999999997</v>
      </c>
      <c r="AM266" s="3">
        <v>10.681227</v>
      </c>
      <c r="AN266" s="3">
        <v>2.556743</v>
      </c>
      <c r="AX266" s="344"/>
    </row>
    <row r="267" spans="29:50" x14ac:dyDescent="0.25">
      <c r="AC267" s="160" t="s">
        <v>17</v>
      </c>
      <c r="AD267" s="95">
        <v>619.459474</v>
      </c>
      <c r="AE267" s="3">
        <v>240.92600999999999</v>
      </c>
      <c r="AF267" s="3">
        <v>110.53612200000001</v>
      </c>
      <c r="AG267" s="3">
        <v>81.704438999999994</v>
      </c>
      <c r="AH267" s="3">
        <v>72.658223000000007</v>
      </c>
      <c r="AI267" s="3">
        <v>29.79335</v>
      </c>
      <c r="AJ267" s="3">
        <v>30.069115</v>
      </c>
      <c r="AK267" s="3">
        <v>20.364955999999999</v>
      </c>
      <c r="AL267" s="3">
        <v>14.443417999999999</v>
      </c>
      <c r="AM267" s="3">
        <v>15.651263999999999</v>
      </c>
      <c r="AN267" s="3">
        <v>3.3125770000000001</v>
      </c>
      <c r="AX267" s="344"/>
    </row>
    <row r="268" spans="29:50" x14ac:dyDescent="0.25">
      <c r="AC268" s="160" t="s">
        <v>18</v>
      </c>
      <c r="AD268" s="95">
        <v>242.09872899999999</v>
      </c>
      <c r="AE268" s="3">
        <v>80.682991999999999</v>
      </c>
      <c r="AF268" s="3">
        <v>43.532196999999996</v>
      </c>
      <c r="AG268" s="3">
        <v>46.443370999999999</v>
      </c>
      <c r="AH268" s="3">
        <v>29.048418000000002</v>
      </c>
      <c r="AI268" s="3">
        <v>17.012062</v>
      </c>
      <c r="AJ268" s="3">
        <v>10.013590000000001</v>
      </c>
      <c r="AK268" s="3">
        <v>5.7977439999999998</v>
      </c>
      <c r="AL268" s="3">
        <v>4.1126750000000003</v>
      </c>
      <c r="AM268" s="3">
        <v>4.4978619999999996</v>
      </c>
      <c r="AN268" s="3">
        <v>0.95781799999999995</v>
      </c>
      <c r="AX268" s="344"/>
    </row>
    <row r="269" spans="29:50" x14ac:dyDescent="0.25">
      <c r="AC269" s="160" t="s">
        <v>19</v>
      </c>
      <c r="AD269" s="95">
        <v>307.10633100000001</v>
      </c>
      <c r="AE269" s="3">
        <v>63.404946000000002</v>
      </c>
      <c r="AF269" s="3">
        <v>36.620252000000001</v>
      </c>
      <c r="AG269" s="3">
        <v>97.129846999999998</v>
      </c>
      <c r="AH269" s="3">
        <v>67.707296999999997</v>
      </c>
      <c r="AI269" s="3">
        <v>22.808747</v>
      </c>
      <c r="AJ269" s="3">
        <v>5.9143420000000004</v>
      </c>
      <c r="AK269" s="3">
        <v>5.1733849999999997</v>
      </c>
      <c r="AL269" s="3">
        <v>3.9285320000000001</v>
      </c>
      <c r="AM269" s="3">
        <v>3.6166749999999999</v>
      </c>
      <c r="AN269" s="3">
        <v>0.80230699999999999</v>
      </c>
      <c r="AX269" s="344"/>
    </row>
    <row r="270" spans="29:50" x14ac:dyDescent="0.25">
      <c r="AC270" s="160" t="s">
        <v>20</v>
      </c>
      <c r="AD270" s="95">
        <v>487.65670899999998</v>
      </c>
      <c r="AE270" s="3">
        <v>152.51835500000001</v>
      </c>
      <c r="AF270" s="3">
        <v>91.149905000000004</v>
      </c>
      <c r="AG270" s="3">
        <v>116.970714</v>
      </c>
      <c r="AH270" s="3">
        <v>44.528669999999998</v>
      </c>
      <c r="AI270" s="3">
        <v>35.183593000000002</v>
      </c>
      <c r="AJ270" s="3">
        <v>19.846063999999998</v>
      </c>
      <c r="AK270" s="3">
        <v>11.090538</v>
      </c>
      <c r="AL270" s="3">
        <v>8.434151</v>
      </c>
      <c r="AM270" s="3">
        <v>6.6552090000000002</v>
      </c>
      <c r="AN270" s="3">
        <v>1.279509</v>
      </c>
      <c r="AX270" s="344"/>
    </row>
    <row r="271" spans="29:50" x14ac:dyDescent="0.25">
      <c r="AC271" s="160" t="s">
        <v>37</v>
      </c>
      <c r="AD271" s="95">
        <v>5.8405180000000003</v>
      </c>
      <c r="AE271" s="3">
        <v>1.897419</v>
      </c>
      <c r="AF271" s="3">
        <v>1.631027</v>
      </c>
      <c r="AG271" s="3">
        <v>0.924794</v>
      </c>
      <c r="AH271" s="3">
        <v>0.568164</v>
      </c>
      <c r="AI271" s="3">
        <v>7.7663999999999997E-2</v>
      </c>
      <c r="AJ271" s="3">
        <v>0.230458</v>
      </c>
      <c r="AK271" s="3">
        <v>0.20172599999999999</v>
      </c>
      <c r="AL271" s="3">
        <v>0.118247</v>
      </c>
      <c r="AM271" s="3">
        <v>0.16524900000000001</v>
      </c>
      <c r="AN271" s="3">
        <v>2.5770999999999999E-2</v>
      </c>
      <c r="AX271" s="344"/>
    </row>
    <row r="272" spans="29:50" x14ac:dyDescent="0.25">
      <c r="AC272" s="160" t="s">
        <v>38</v>
      </c>
      <c r="AD272" s="95">
        <v>12.702928</v>
      </c>
      <c r="AE272" s="3">
        <v>3.899724</v>
      </c>
      <c r="AF272" s="3">
        <v>2.431168</v>
      </c>
      <c r="AG272" s="3">
        <v>2.560476</v>
      </c>
      <c r="AH272" s="3">
        <v>1.8392219999999999</v>
      </c>
      <c r="AI272" s="3">
        <v>0.51991200000000004</v>
      </c>
      <c r="AJ272" s="3">
        <v>0.31283899999999998</v>
      </c>
      <c r="AK272" s="3">
        <v>0.38728099999999999</v>
      </c>
      <c r="AL272" s="3">
        <v>0.29013499999999998</v>
      </c>
      <c r="AM272" s="3">
        <v>0.44609399999999999</v>
      </c>
      <c r="AN272" s="3">
        <v>1.6077000000000001E-2</v>
      </c>
      <c r="AX272" s="344"/>
    </row>
    <row r="273" spans="29:50" x14ac:dyDescent="0.25">
      <c r="AC273" s="160" t="s">
        <v>39</v>
      </c>
      <c r="AD273" s="95">
        <v>39.395448999999999</v>
      </c>
      <c r="AE273" s="3">
        <v>12.674037999999999</v>
      </c>
      <c r="AF273" s="3">
        <v>8.0895799999999998</v>
      </c>
      <c r="AG273" s="3">
        <v>6.9768759999999999</v>
      </c>
      <c r="AH273" s="3">
        <v>5.9737309999999999</v>
      </c>
      <c r="AI273" s="3">
        <v>1.5514209999999999</v>
      </c>
      <c r="AJ273" s="3">
        <v>0.85526400000000002</v>
      </c>
      <c r="AK273" s="3">
        <v>0.92099600000000004</v>
      </c>
      <c r="AL273" s="3">
        <v>0.92689600000000005</v>
      </c>
      <c r="AM273" s="3">
        <v>1.375761</v>
      </c>
      <c r="AN273" s="3">
        <v>5.0887000000000002E-2</v>
      </c>
      <c r="AX273" s="344"/>
    </row>
    <row r="274" spans="29:50" x14ac:dyDescent="0.25">
      <c r="AC274" s="160" t="s">
        <v>40</v>
      </c>
      <c r="AD274" s="95">
        <v>2.397243</v>
      </c>
      <c r="AE274" s="3">
        <v>0.80151700000000003</v>
      </c>
      <c r="AF274" s="3">
        <v>0.41792099999999999</v>
      </c>
      <c r="AG274" s="3">
        <v>0.42003000000000001</v>
      </c>
      <c r="AH274" s="3">
        <v>0.34231899999999998</v>
      </c>
      <c r="AI274" s="3">
        <v>0.11437799999999999</v>
      </c>
      <c r="AJ274" s="3">
        <v>7.7204999999999996E-2</v>
      </c>
      <c r="AK274" s="3">
        <v>5.9757999999999999E-2</v>
      </c>
      <c r="AL274" s="3">
        <v>6.2146E-2</v>
      </c>
      <c r="AM274" s="3">
        <v>9.8658999999999997E-2</v>
      </c>
      <c r="AN274" s="3">
        <v>3.31E-3</v>
      </c>
      <c r="AX274" s="344"/>
    </row>
    <row r="275" spans="29:50" x14ac:dyDescent="0.25">
      <c r="AC275" s="160" t="s">
        <v>182</v>
      </c>
      <c r="AD275" s="95">
        <v>336.53069599999998</v>
      </c>
      <c r="AE275" s="3">
        <v>94.636471999999998</v>
      </c>
      <c r="AF275" s="3">
        <v>85.715624000000005</v>
      </c>
      <c r="AG275" s="3">
        <v>40.076287999999998</v>
      </c>
      <c r="AH275" s="3">
        <v>80.253975999999994</v>
      </c>
      <c r="AI275" s="3">
        <v>2.9255040000000001</v>
      </c>
      <c r="AJ275" s="3">
        <v>10.516176</v>
      </c>
      <c r="AK275" s="3">
        <v>6.3998160000000004</v>
      </c>
      <c r="AL275" s="3">
        <v>13.997968</v>
      </c>
      <c r="AM275" s="3">
        <v>1.595928</v>
      </c>
      <c r="AN275" s="3">
        <v>0.41294399999999998</v>
      </c>
    </row>
    <row r="276" spans="29:50" x14ac:dyDescent="0.25">
      <c r="AC276" s="160" t="s">
        <v>183</v>
      </c>
      <c r="AD276" s="95">
        <v>7.6613040000000003</v>
      </c>
      <c r="AE276" s="3">
        <v>2.259528</v>
      </c>
      <c r="AF276" s="3">
        <v>2.0183759999999999</v>
      </c>
      <c r="AG276" s="3">
        <v>0.86371200000000004</v>
      </c>
      <c r="AH276" s="3">
        <v>1.869024</v>
      </c>
      <c r="AI276" s="3">
        <v>5.3496000000000002E-2</v>
      </c>
      <c r="AJ276" s="3">
        <v>0.23582400000000001</v>
      </c>
      <c r="AK276" s="3">
        <v>9.8183999999999994E-2</v>
      </c>
      <c r="AL276" s="3">
        <v>0.22603200000000001</v>
      </c>
      <c r="AM276" s="3">
        <v>3.0072000000000002E-2</v>
      </c>
      <c r="AN276" s="3">
        <v>7.0559999999999998E-3</v>
      </c>
    </row>
    <row r="277" spans="29:50" x14ac:dyDescent="0.25">
      <c r="AC277" s="160" t="s">
        <v>56</v>
      </c>
      <c r="AD277" s="95">
        <v>2.2888579999999998</v>
      </c>
      <c r="AE277" s="3">
        <v>0.46299200000000001</v>
      </c>
      <c r="AF277" s="3">
        <v>0.190194</v>
      </c>
      <c r="AG277" s="3">
        <v>0.58012300000000006</v>
      </c>
      <c r="AH277" s="3">
        <v>0.29265099999999999</v>
      </c>
      <c r="AI277" s="3">
        <v>0.404532</v>
      </c>
      <c r="AJ277" s="3">
        <v>0.26605699999999999</v>
      </c>
      <c r="AK277" s="3">
        <v>4.7308999999999997E-2</v>
      </c>
      <c r="AL277" s="3">
        <v>0</v>
      </c>
      <c r="AM277" s="3">
        <v>4.4999999999999998E-2</v>
      </c>
      <c r="AN277" s="3">
        <v>0</v>
      </c>
    </row>
    <row r="278" spans="29:50" x14ac:dyDescent="0.25">
      <c r="AC278" s="160" t="s">
        <v>57</v>
      </c>
      <c r="AD278" s="95">
        <v>95.827141999999995</v>
      </c>
      <c r="AE278" s="3">
        <v>19.384008000000001</v>
      </c>
      <c r="AF278" s="3">
        <v>7.9628059999999996</v>
      </c>
      <c r="AG278" s="3">
        <v>24.287877000000002</v>
      </c>
      <c r="AH278" s="3">
        <v>12.252349000000001</v>
      </c>
      <c r="AI278" s="3">
        <v>16.936468000000001</v>
      </c>
      <c r="AJ278" s="3">
        <v>11.138942999999999</v>
      </c>
      <c r="AK278" s="3">
        <v>1.980691</v>
      </c>
      <c r="AL278" s="3">
        <v>0</v>
      </c>
      <c r="AM278" s="3">
        <v>1.8839999999999999</v>
      </c>
      <c r="AN278" s="3">
        <v>0</v>
      </c>
    </row>
    <row r="279" spans="29:50" x14ac:dyDescent="0.25">
      <c r="AC279" s="160" t="s">
        <v>184</v>
      </c>
      <c r="AD279" s="95">
        <v>82.674999999999997</v>
      </c>
      <c r="AE279" s="3">
        <v>18.692</v>
      </c>
      <c r="AF279" s="3">
        <v>19.358000000000001</v>
      </c>
      <c r="AG279" s="3">
        <v>4.5999999999999999E-2</v>
      </c>
      <c r="AH279" s="3">
        <v>32.371000000000002</v>
      </c>
      <c r="AI279" s="3">
        <v>0</v>
      </c>
      <c r="AJ279" s="3">
        <v>6.6000000000000003E-2</v>
      </c>
      <c r="AK279" s="3">
        <v>4.1340000000000003</v>
      </c>
      <c r="AL279" s="3">
        <v>3.44</v>
      </c>
      <c r="AM279" s="3">
        <v>2.4609999999999999</v>
      </c>
      <c r="AN279" s="3">
        <v>2.1070000000000002</v>
      </c>
    </row>
    <row r="280" spans="29:50" x14ac:dyDescent="0.25">
      <c r="AC280" s="160" t="s">
        <v>1209</v>
      </c>
      <c r="AD280" s="95">
        <v>124.01600000000001</v>
      </c>
      <c r="AE280" s="3">
        <v>46.38</v>
      </c>
      <c r="AF280" s="3">
        <v>25.6</v>
      </c>
      <c r="AG280" s="3">
        <v>13.37</v>
      </c>
      <c r="AH280" s="3">
        <v>18.329999999999998</v>
      </c>
      <c r="AI280" s="3">
        <v>3.95</v>
      </c>
      <c r="AJ280" s="3">
        <v>3.97</v>
      </c>
      <c r="AK280" s="3">
        <v>3.98</v>
      </c>
      <c r="AL280" s="3">
        <v>4.01</v>
      </c>
      <c r="AM280" s="3">
        <v>3.91</v>
      </c>
      <c r="AN280" s="3">
        <v>0.51600000000000001</v>
      </c>
    </row>
    <row r="281" spans="29:50" x14ac:dyDescent="0.25">
      <c r="AC281" s="11" t="s">
        <v>275</v>
      </c>
      <c r="AD281" s="308"/>
      <c r="AE281" s="3"/>
      <c r="AF281" s="3"/>
      <c r="AG281" s="3"/>
      <c r="AH281" s="3"/>
      <c r="AI281" s="3"/>
      <c r="AJ281" s="3"/>
    </row>
    <row r="282" spans="29:50" x14ac:dyDescent="0.25">
      <c r="AC282" s="160" t="s">
        <v>17</v>
      </c>
      <c r="AD282" s="94">
        <v>0.21649316637740534</v>
      </c>
      <c r="AE282" s="27">
        <v>0.25542170218710059</v>
      </c>
      <c r="AF282" s="27">
        <v>0.19592524020357246</v>
      </c>
      <c r="AG282" s="27">
        <v>0.1726468665345296</v>
      </c>
      <c r="AH282" s="27">
        <v>0.1721840434514241</v>
      </c>
      <c r="AI282" s="27">
        <v>0.20226169543994951</v>
      </c>
      <c r="AJ282" s="27">
        <v>0.27617001441967687</v>
      </c>
      <c r="AK282" s="27">
        <v>0.26840139703459631</v>
      </c>
      <c r="AL282" s="27">
        <v>0.23497076575184242</v>
      </c>
      <c r="AM282" s="27">
        <v>0.29467304288888058</v>
      </c>
      <c r="AN282" s="27">
        <v>0.27494831299371791</v>
      </c>
    </row>
    <row r="283" spans="29:50" x14ac:dyDescent="0.25">
      <c r="AC283" s="160" t="s">
        <v>8</v>
      </c>
      <c r="AD283" s="94">
        <v>0.1732333397428939</v>
      </c>
      <c r="AE283" s="27">
        <v>0.21693976534597498</v>
      </c>
      <c r="AF283" s="27">
        <v>0.22851389454872656</v>
      </c>
      <c r="AG283" s="27">
        <v>8.6406336239503348E-2</v>
      </c>
      <c r="AH283" s="27">
        <v>0.1278377120819105</v>
      </c>
      <c r="AI283" s="27">
        <v>0.10841659594978989</v>
      </c>
      <c r="AJ283" s="27">
        <v>0.14113945756298274</v>
      </c>
      <c r="AK283" s="27">
        <v>0.20083843163097195</v>
      </c>
      <c r="AL283" s="27">
        <v>0.1216678325660089</v>
      </c>
      <c r="AM283" s="27">
        <v>0.2011000301238845</v>
      </c>
      <c r="AN283" s="27">
        <v>0.21221308202299818</v>
      </c>
      <c r="AO283" s="80"/>
    </row>
    <row r="284" spans="29:50" x14ac:dyDescent="0.25">
      <c r="AC284" s="160" t="s">
        <v>20</v>
      </c>
      <c r="AD284" s="94">
        <v>0.17042978510745149</v>
      </c>
      <c r="AE284" s="27">
        <v>0.161694861625262</v>
      </c>
      <c r="AF284" s="27">
        <v>0.1615631768921458</v>
      </c>
      <c r="AG284" s="27">
        <v>0.24716683078145404</v>
      </c>
      <c r="AH284" s="27">
        <v>0.10552317595372686</v>
      </c>
      <c r="AI284" s="27">
        <v>0.23885508584463108</v>
      </c>
      <c r="AJ284" s="27">
        <v>0.18227632509483002</v>
      </c>
      <c r="AK284" s="27">
        <v>0.1461685403624382</v>
      </c>
      <c r="AL284" s="27">
        <v>0.13720982934487305</v>
      </c>
      <c r="AM284" s="27">
        <v>0.12530046692020938</v>
      </c>
      <c r="AN284" s="27">
        <v>0.10620095502995976</v>
      </c>
      <c r="AO284" s="80"/>
    </row>
    <row r="285" spans="29:50" x14ac:dyDescent="0.25">
      <c r="AC285" s="160" t="s">
        <v>182</v>
      </c>
      <c r="AD285" s="94">
        <v>0.11761317570910541</v>
      </c>
      <c r="AE285" s="27">
        <v>0.10033042412988903</v>
      </c>
      <c r="AF285" s="27">
        <v>0.15193091559154845</v>
      </c>
      <c r="AG285" s="27">
        <v>8.468383884913977E-2</v>
      </c>
      <c r="AH285" s="27">
        <v>0.19018431115131379</v>
      </c>
      <c r="AI285" s="27">
        <v>1.9860720565372945E-2</v>
      </c>
      <c r="AJ285" s="27">
        <v>9.6585898107072979E-2</v>
      </c>
      <c r="AK285" s="27">
        <v>8.4346833607907734E-2</v>
      </c>
      <c r="AL285" s="27">
        <v>0.2277240234915161</v>
      </c>
      <c r="AM285" s="27">
        <v>3.0047219188914415E-2</v>
      </c>
      <c r="AN285" s="27">
        <v>3.4274903243268866E-2</v>
      </c>
      <c r="AO285" s="80"/>
    </row>
    <row r="286" spans="29:50" x14ac:dyDescent="0.25">
      <c r="AC286" s="160" t="s">
        <v>19</v>
      </c>
      <c r="AD286" s="94">
        <v>0.10732973633193238</v>
      </c>
      <c r="AE286" s="27">
        <v>6.7219804264393029E-2</v>
      </c>
      <c r="AF286" s="27">
        <v>6.4909384729594136E-2</v>
      </c>
      <c r="AG286" s="27">
        <v>0.20524177066472829</v>
      </c>
      <c r="AH286" s="27">
        <v>0.16045143532654899</v>
      </c>
      <c r="AI286" s="27">
        <v>0.15484448170752407</v>
      </c>
      <c r="AJ286" s="27">
        <v>5.4320318886102927E-2</v>
      </c>
      <c r="AK286" s="27">
        <v>6.8182998352553523E-2</v>
      </c>
      <c r="AL286" s="27">
        <v>6.3910784297776135E-2</v>
      </c>
      <c r="AM286" s="27">
        <v>6.8092687427043733E-2</v>
      </c>
      <c r="AN286" s="27">
        <v>6.659255200801395E-2</v>
      </c>
      <c r="AO286" s="80"/>
    </row>
    <row r="287" spans="29:50" x14ac:dyDescent="0.25">
      <c r="AC287" s="160" t="s">
        <v>18</v>
      </c>
      <c r="AD287" s="94">
        <v>8.461041055472722E-2</v>
      </c>
      <c r="AE287" s="27">
        <v>8.5537411067357239E-2</v>
      </c>
      <c r="AF287" s="27">
        <v>7.7160804988384124E-2</v>
      </c>
      <c r="AG287" s="27">
        <v>9.8137905021912497E-2</v>
      </c>
      <c r="AH287" s="27">
        <v>6.8838375900097767E-2</v>
      </c>
      <c r="AI287" s="27">
        <v>0.11549182965492429</v>
      </c>
      <c r="AJ287" s="27">
        <v>9.1969893184176935E-2</v>
      </c>
      <c r="AK287" s="27">
        <v>7.6411782537067527E-2</v>
      </c>
      <c r="AL287" s="27">
        <v>6.6906489449966675E-2</v>
      </c>
      <c r="AM287" s="27">
        <v>8.4683172045035213E-2</v>
      </c>
      <c r="AN287" s="27">
        <v>7.9500172601275954E-2</v>
      </c>
      <c r="AO287" s="80"/>
    </row>
    <row r="288" spans="29:50" x14ac:dyDescent="0.25">
      <c r="AC288" s="160" t="s">
        <v>1209</v>
      </c>
      <c r="AD288" s="94">
        <v>4.3342006456196847E-2</v>
      </c>
      <c r="AE288" s="27">
        <v>4.9170525620864797E-2</v>
      </c>
      <c r="AF288" s="27">
        <v>4.5375991652859458E-2</v>
      </c>
      <c r="AG288" s="27">
        <v>2.8251691509278472E-2</v>
      </c>
      <c r="AH288" s="27">
        <v>4.3438077428133673E-2</v>
      </c>
      <c r="AI288" s="27">
        <v>2.6815839675222847E-2</v>
      </c>
      <c r="AJ288" s="27">
        <v>3.6462495063327181E-2</v>
      </c>
      <c r="AK288" s="27">
        <v>5.2454695222405263E-2</v>
      </c>
      <c r="AL288" s="27">
        <v>6.5236135287706012E-2</v>
      </c>
      <c r="AM288" s="27">
        <v>7.3615242685544313E-2</v>
      </c>
      <c r="AN288" s="27">
        <v>4.2828688813802196E-2</v>
      </c>
      <c r="AO288" s="80"/>
    </row>
    <row r="289" spans="29:41" x14ac:dyDescent="0.25">
      <c r="AC289" s="160" t="s">
        <v>57</v>
      </c>
      <c r="AD289" s="94">
        <v>3.3490360979574342E-2</v>
      </c>
      <c r="AE289" s="27">
        <v>2.0550277317788877E-2</v>
      </c>
      <c r="AF289" s="27">
        <v>1.4114071038646063E-2</v>
      </c>
      <c r="AG289" s="27">
        <v>5.1321885446469706E-2</v>
      </c>
      <c r="AH289" s="27">
        <v>2.9035378316340222E-2</v>
      </c>
      <c r="AI289" s="27">
        <v>0.11497863558292207</v>
      </c>
      <c r="AJ289" s="27">
        <v>0.10230570633455487</v>
      </c>
      <c r="AK289" s="27">
        <v>2.610465897858319E-2</v>
      </c>
      <c r="AL289" s="27">
        <v>0</v>
      </c>
      <c r="AM289" s="27">
        <v>3.5470873969198333E-2</v>
      </c>
      <c r="AN289" s="27">
        <v>0</v>
      </c>
      <c r="AO289" s="80"/>
    </row>
    <row r="290" spans="29:41" x14ac:dyDescent="0.25">
      <c r="AC290" s="160" t="s">
        <v>184</v>
      </c>
      <c r="AD290" s="94">
        <v>2.8893855500629548E-2</v>
      </c>
      <c r="AE290" s="27">
        <v>1.9816633568460643E-2</v>
      </c>
      <c r="AF290" s="27">
        <v>3.4312048688127088E-2</v>
      </c>
      <c r="AG290" s="27">
        <v>9.7201032866627504E-5</v>
      </c>
      <c r="AH290" s="27">
        <v>7.671216608980444E-2</v>
      </c>
      <c r="AI290" s="27">
        <v>0</v>
      </c>
      <c r="AJ290" s="27">
        <v>6.0617749979334859E-4</v>
      </c>
      <c r="AK290" s="27">
        <v>5.448434925864909E-2</v>
      </c>
      <c r="AL290" s="27">
        <v>5.5963168426361266E-2</v>
      </c>
      <c r="AM290" s="27">
        <v>4.6334299807960243E-2</v>
      </c>
      <c r="AN290" s="27">
        <v>0.17488381265635899</v>
      </c>
      <c r="AO290" s="80"/>
    </row>
    <row r="291" spans="29:41" x14ac:dyDescent="0.25">
      <c r="AC291" s="160" t="s">
        <v>39</v>
      </c>
      <c r="AD291" s="94">
        <v>1.3768205754924958E-2</v>
      </c>
      <c r="AE291" s="27">
        <v>1.3436591423001593E-2</v>
      </c>
      <c r="AF291" s="27">
        <v>1.433877791231011E-2</v>
      </c>
      <c r="AG291" s="27">
        <v>1.4742598986573579E-2</v>
      </c>
      <c r="AH291" s="27">
        <v>1.4156431517340012E-2</v>
      </c>
      <c r="AI291" s="27">
        <v>1.0532318178423773E-2</v>
      </c>
      <c r="AJ291" s="27">
        <v>7.8551786845948261E-3</v>
      </c>
      <c r="AK291" s="27">
        <v>1.2138332784184512E-2</v>
      </c>
      <c r="AL291" s="27">
        <v>1.5079080512128069E-2</v>
      </c>
      <c r="AM291" s="27">
        <v>2.5902040893173179E-2</v>
      </c>
      <c r="AN291" s="27">
        <v>4.2236889295890548E-3</v>
      </c>
      <c r="AO291" s="80"/>
    </row>
    <row r="292" spans="29:41" x14ac:dyDescent="0.25">
      <c r="AC292" s="160" t="s">
        <v>38</v>
      </c>
      <c r="AD292" s="94">
        <v>4.4395109291430436E-3</v>
      </c>
      <c r="AE292" s="27">
        <v>4.1343570257934741E-3</v>
      </c>
      <c r="AF292" s="27">
        <v>4.3092444872929302E-3</v>
      </c>
      <c r="AG292" s="27">
        <v>5.4104546050045858E-3</v>
      </c>
      <c r="AH292" s="27">
        <v>4.3585525173773527E-3</v>
      </c>
      <c r="AI292" s="27">
        <v>3.5295890727150532E-3</v>
      </c>
      <c r="AJ292" s="27">
        <v>2.8732721645128995E-3</v>
      </c>
      <c r="AK292" s="27">
        <v>5.1041976935749574E-3</v>
      </c>
      <c r="AL292" s="27">
        <v>4.7200214742390478E-3</v>
      </c>
      <c r="AM292" s="27">
        <v>8.3988025755921247E-3</v>
      </c>
      <c r="AN292" s="27">
        <v>1.3344124613556161E-3</v>
      </c>
      <c r="AO292" s="80"/>
    </row>
    <row r="293" spans="29:41" x14ac:dyDescent="0.25">
      <c r="AC293" s="160" t="s">
        <v>183</v>
      </c>
      <c r="AD293" s="94">
        <v>2.6775277982751156E-3</v>
      </c>
      <c r="AE293" s="27">
        <v>2.3954760546585031E-3</v>
      </c>
      <c r="AF293" s="27">
        <v>3.5775708018879631E-3</v>
      </c>
      <c r="AG293" s="27">
        <v>1.8250804021587082E-3</v>
      </c>
      <c r="AH293" s="27">
        <v>4.429176717241687E-3</v>
      </c>
      <c r="AI293" s="27">
        <v>3.631747238647396E-4</v>
      </c>
      <c r="AJ293" s="27">
        <v>2.1659273138070704E-3</v>
      </c>
      <c r="AK293" s="27">
        <v>1.2940230642504115E-3</v>
      </c>
      <c r="AL293" s="27">
        <v>3.6771706063218868E-3</v>
      </c>
      <c r="AM293" s="27">
        <v>5.6617840870580279E-4</v>
      </c>
      <c r="AN293" s="27">
        <v>5.8565741912827186E-4</v>
      </c>
      <c r="AO293" s="80"/>
    </row>
    <row r="294" spans="29:41" x14ac:dyDescent="0.25">
      <c r="AC294" s="160" t="s">
        <v>37</v>
      </c>
      <c r="AD294" s="94">
        <v>2.0411863700130137E-3</v>
      </c>
      <c r="AE294" s="27">
        <v>2.0115801973483323E-3</v>
      </c>
      <c r="AF294" s="27">
        <v>2.890994825687047E-3</v>
      </c>
      <c r="AG294" s="27">
        <v>1.9541506954099982E-3</v>
      </c>
      <c r="AH294" s="27">
        <v>1.3464239947560362E-3</v>
      </c>
      <c r="AI294" s="27">
        <v>5.2724692975607767E-4</v>
      </c>
      <c r="AJ294" s="27">
        <v>2.1166432461723565E-3</v>
      </c>
      <c r="AK294" s="27">
        <v>2.6586622734761116E-3</v>
      </c>
      <c r="AL294" s="27">
        <v>1.9236851095674246E-3</v>
      </c>
      <c r="AM294" s="27">
        <v>3.1112136159957833E-3</v>
      </c>
      <c r="AN294" s="27">
        <v>2.1390274019777063E-3</v>
      </c>
      <c r="AO294" s="80"/>
    </row>
    <row r="295" spans="29:41" x14ac:dyDescent="0.25">
      <c r="AC295" s="160" t="s">
        <v>40</v>
      </c>
      <c r="AD295" s="94">
        <v>8.3780577976287488E-4</v>
      </c>
      <c r="AE295" s="27">
        <v>8.4974153048854436E-4</v>
      </c>
      <c r="AF295" s="27">
        <v>7.4076483623260463E-4</v>
      </c>
      <c r="AG295" s="27">
        <v>8.8755108336890335E-4</v>
      </c>
      <c r="AH295" s="27">
        <v>8.1122090709881574E-4</v>
      </c>
      <c r="AI295" s="27">
        <v>7.7649167351206039E-4</v>
      </c>
      <c r="AJ295" s="27">
        <v>7.0908990714462839E-4</v>
      </c>
      <c r="AK295" s="27">
        <v>7.8758484349258635E-4</v>
      </c>
      <c r="AL295" s="27">
        <v>1.0110136816932115E-3</v>
      </c>
      <c r="AM295" s="27">
        <v>1.857495199005912E-3</v>
      </c>
      <c r="AN295" s="27">
        <v>2.747344185536536E-4</v>
      </c>
      <c r="AO295" s="80"/>
    </row>
    <row r="296" spans="29:41" ht="15.75" thickBot="1" x14ac:dyDescent="0.3">
      <c r="AC296" s="160" t="s">
        <v>56</v>
      </c>
      <c r="AD296" s="96">
        <v>7.9992660796443841E-4</v>
      </c>
      <c r="AE296" s="27">
        <v>4.9084864161827153E-4</v>
      </c>
      <c r="AF296" s="27">
        <v>3.3711880298531064E-4</v>
      </c>
      <c r="AG296" s="27">
        <v>1.2258381476018816E-3</v>
      </c>
      <c r="AH296" s="27">
        <v>6.9351864688602007E-4</v>
      </c>
      <c r="AI296" s="27">
        <v>2.7462950013917085E-3</v>
      </c>
      <c r="AJ296" s="27">
        <v>2.4436025312502868E-3</v>
      </c>
      <c r="AK296" s="27">
        <v>6.2351235584843481E-4</v>
      </c>
      <c r="AL296" s="27">
        <v>0</v>
      </c>
      <c r="AM296" s="27">
        <v>8.4723425085664805E-4</v>
      </c>
      <c r="AN296" s="27">
        <v>0</v>
      </c>
      <c r="AO296" s="80"/>
    </row>
    <row r="297" spans="29:41" x14ac:dyDescent="0.25">
      <c r="AC297" s="242" t="s">
        <v>85</v>
      </c>
      <c r="AD297" s="80"/>
      <c r="AE297" s="80"/>
      <c r="AF297" s="80"/>
      <c r="AG297" s="80"/>
      <c r="AH297" s="80"/>
      <c r="AI297" s="80"/>
      <c r="AJ297" s="80"/>
      <c r="AK297" s="80"/>
      <c r="AL297" s="80"/>
      <c r="AM297" s="80"/>
      <c r="AN297" s="80"/>
      <c r="AO297" s="80"/>
    </row>
    <row r="298" spans="29:41" x14ac:dyDescent="0.25">
      <c r="AC298" s="12"/>
      <c r="AH298" s="3"/>
      <c r="AI298" s="3"/>
      <c r="AJ298" s="3"/>
      <c r="AK298" s="3"/>
      <c r="AL298" s="3"/>
      <c r="AM298" s="3"/>
      <c r="AN298" s="3"/>
    </row>
    <row r="299" spans="29:41" x14ac:dyDescent="0.25">
      <c r="AC299" s="12"/>
      <c r="AH299" s="3"/>
      <c r="AI299" s="3"/>
      <c r="AJ299" s="3"/>
      <c r="AK299" s="3"/>
      <c r="AL299" s="3"/>
      <c r="AM299" s="3"/>
      <c r="AN299" s="3"/>
    </row>
    <row r="300" spans="29:41" x14ac:dyDescent="0.25">
      <c r="AC300" s="12"/>
      <c r="AH300" s="3"/>
      <c r="AI300" s="3"/>
      <c r="AJ300" s="3"/>
      <c r="AK300" s="3"/>
      <c r="AL300" s="3"/>
      <c r="AM300" s="3"/>
      <c r="AN300" s="3"/>
    </row>
    <row r="301" spans="29:41" x14ac:dyDescent="0.25">
      <c r="AC301" s="12"/>
      <c r="AH301" s="3"/>
      <c r="AI301" s="3"/>
      <c r="AJ301" s="3"/>
      <c r="AK301" s="3"/>
      <c r="AL301" s="3"/>
      <c r="AM301" s="3"/>
      <c r="AN301" s="3"/>
    </row>
    <row r="302" spans="29:41" x14ac:dyDescent="0.25">
      <c r="AC302" s="12"/>
      <c r="AH302" s="3"/>
      <c r="AI302" s="3"/>
      <c r="AJ302" s="3"/>
      <c r="AK302" s="3"/>
      <c r="AL302" s="3"/>
      <c r="AM302" s="3"/>
      <c r="AN302" s="3"/>
    </row>
    <row r="303" spans="29:41" x14ac:dyDescent="0.25">
      <c r="AC303" s="12"/>
      <c r="AH303" s="3"/>
      <c r="AI303" s="3"/>
      <c r="AJ303" s="3"/>
      <c r="AK303" s="3"/>
      <c r="AL303" s="3"/>
      <c r="AM303" s="3"/>
      <c r="AN303" s="3"/>
    </row>
    <row r="304" spans="29:41" x14ac:dyDescent="0.25">
      <c r="AC304" s="12"/>
      <c r="AH304" s="3"/>
      <c r="AI304" s="3"/>
      <c r="AJ304" s="3"/>
      <c r="AK304" s="3"/>
      <c r="AL304" s="3"/>
      <c r="AM304" s="3"/>
      <c r="AN304" s="3"/>
    </row>
    <row r="305" spans="29:40" x14ac:dyDescent="0.25">
      <c r="AC305" s="12"/>
      <c r="AH305" s="3"/>
      <c r="AI305" s="3"/>
      <c r="AJ305" s="3"/>
      <c r="AK305" s="3"/>
      <c r="AL305" s="3"/>
      <c r="AM305" s="3"/>
      <c r="AN305" s="3"/>
    </row>
    <row r="306" spans="29:40" x14ac:dyDescent="0.25">
      <c r="AC306" s="12"/>
      <c r="AH306" s="3"/>
      <c r="AI306" s="3"/>
      <c r="AJ306" s="3"/>
      <c r="AK306" s="3"/>
      <c r="AL306" s="3"/>
      <c r="AM306" s="3"/>
      <c r="AN306" s="3"/>
    </row>
    <row r="307" spans="29:40" x14ac:dyDescent="0.25">
      <c r="AC307" s="12"/>
      <c r="AH307" s="3"/>
      <c r="AI307" s="3"/>
      <c r="AJ307" s="3"/>
      <c r="AK307" s="3"/>
      <c r="AL307" s="3"/>
      <c r="AM307" s="3"/>
      <c r="AN307" s="3"/>
    </row>
    <row r="308" spans="29:40" x14ac:dyDescent="0.25">
      <c r="AC308" s="12"/>
      <c r="AH308" s="3"/>
      <c r="AI308" s="3"/>
      <c r="AJ308" s="3"/>
      <c r="AK308" s="3"/>
      <c r="AL308" s="3"/>
      <c r="AM308" s="3"/>
      <c r="AN308" s="3"/>
    </row>
    <row r="309" spans="29:40" x14ac:dyDescent="0.25">
      <c r="AC309" s="12"/>
      <c r="AH309" s="3"/>
      <c r="AI309" s="3"/>
      <c r="AJ309" s="3"/>
      <c r="AK309" s="3"/>
      <c r="AL309" s="3"/>
      <c r="AM309" s="3"/>
      <c r="AN309" s="3"/>
    </row>
    <row r="310" spans="29:40" x14ac:dyDescent="0.25">
      <c r="AC310" s="12"/>
      <c r="AH310" s="3"/>
      <c r="AI310" s="3"/>
      <c r="AJ310" s="3"/>
      <c r="AK310" s="3"/>
      <c r="AL310" s="3"/>
      <c r="AM310" s="3"/>
      <c r="AN310" s="3"/>
    </row>
    <row r="311" spans="29:40" x14ac:dyDescent="0.25">
      <c r="AC311" s="12"/>
      <c r="AH311" s="3"/>
      <c r="AI311" s="3"/>
      <c r="AJ311" s="3"/>
      <c r="AK311" s="3"/>
      <c r="AL311" s="3"/>
      <c r="AM311" s="3"/>
      <c r="AN311" s="3"/>
    </row>
    <row r="312" spans="29:40" x14ac:dyDescent="0.25">
      <c r="AC312" s="12"/>
      <c r="AH312" s="3"/>
      <c r="AI312" s="3"/>
      <c r="AJ312" s="3"/>
      <c r="AK312" s="3"/>
      <c r="AL312" s="3"/>
      <c r="AM312" s="3"/>
      <c r="AN312" s="3"/>
    </row>
    <row r="313" spans="29:40" x14ac:dyDescent="0.25">
      <c r="AC313" s="12"/>
      <c r="AH313" s="3"/>
      <c r="AI313" s="3"/>
      <c r="AJ313" s="3"/>
      <c r="AK313" s="3"/>
      <c r="AL313" s="3"/>
      <c r="AM313" s="3"/>
      <c r="AN313" s="3"/>
    </row>
    <row r="314" spans="29:40" x14ac:dyDescent="0.25">
      <c r="AC314" s="12"/>
      <c r="AH314" s="3"/>
      <c r="AI314" s="3"/>
      <c r="AJ314" s="3"/>
      <c r="AK314" s="3"/>
      <c r="AL314" s="3"/>
      <c r="AM314" s="3"/>
      <c r="AN314" s="3"/>
    </row>
    <row r="315" spans="29:40" x14ac:dyDescent="0.25">
      <c r="AC315" s="12"/>
      <c r="AH315" s="3"/>
      <c r="AI315" s="3"/>
      <c r="AJ315" s="3"/>
      <c r="AK315" s="3"/>
      <c r="AL315" s="3"/>
      <c r="AM315" s="3"/>
      <c r="AN315" s="3"/>
    </row>
    <row r="316" spans="29:40" x14ac:dyDescent="0.25">
      <c r="AC316" s="12"/>
      <c r="AH316" s="3"/>
      <c r="AI316" s="3"/>
      <c r="AJ316" s="3"/>
      <c r="AK316" s="3"/>
      <c r="AL316" s="3"/>
      <c r="AM316" s="3"/>
      <c r="AN316" s="3"/>
    </row>
    <row r="317" spans="29:40" x14ac:dyDescent="0.25">
      <c r="AC317" s="12"/>
      <c r="AH317" s="3"/>
      <c r="AI317" s="3"/>
      <c r="AJ317" s="3"/>
      <c r="AK317" s="3"/>
      <c r="AL317" s="3"/>
      <c r="AM317" s="3"/>
      <c r="AN317" s="3"/>
    </row>
    <row r="318" spans="29:40" x14ac:dyDescent="0.25">
      <c r="AC318" s="12"/>
      <c r="AH318" s="3"/>
      <c r="AI318" s="3"/>
      <c r="AJ318" s="3"/>
      <c r="AK318" s="3"/>
      <c r="AL318" s="3"/>
      <c r="AM318" s="3"/>
      <c r="AN318" s="3"/>
    </row>
    <row r="319" spans="29:40" x14ac:dyDescent="0.25">
      <c r="AC319" s="12"/>
      <c r="AH319" s="3"/>
      <c r="AI319" s="3"/>
      <c r="AJ319" s="3"/>
      <c r="AK319" s="3"/>
      <c r="AL319" s="3"/>
      <c r="AM319" s="3"/>
      <c r="AN319" s="3"/>
    </row>
    <row r="320" spans="29:40" x14ac:dyDescent="0.25">
      <c r="AC320" s="12"/>
      <c r="AH320" s="3"/>
      <c r="AI320" s="3"/>
      <c r="AJ320" s="3"/>
      <c r="AK320" s="3"/>
      <c r="AL320" s="3"/>
      <c r="AM320" s="3"/>
      <c r="AN320" s="3"/>
    </row>
    <row r="321" spans="29:40" x14ac:dyDescent="0.25">
      <c r="AC321" s="12"/>
      <c r="AH321" s="3"/>
      <c r="AI321" s="3"/>
      <c r="AJ321" s="3"/>
      <c r="AK321" s="3"/>
      <c r="AL321" s="3"/>
      <c r="AM321" s="3"/>
      <c r="AN321" s="3"/>
    </row>
    <row r="322" spans="29:40" x14ac:dyDescent="0.25">
      <c r="AC322" s="12"/>
      <c r="AH322" s="3"/>
      <c r="AI322" s="3"/>
      <c r="AJ322" s="3"/>
      <c r="AK322" s="3"/>
      <c r="AL322" s="3"/>
      <c r="AM322" s="3"/>
      <c r="AN322" s="3"/>
    </row>
    <row r="323" spans="29:40" x14ac:dyDescent="0.25">
      <c r="AC323" s="12"/>
      <c r="AH323" s="3"/>
      <c r="AI323" s="3"/>
      <c r="AJ323" s="3"/>
      <c r="AK323" s="3"/>
      <c r="AL323" s="3"/>
      <c r="AM323" s="3"/>
      <c r="AN323" s="3"/>
    </row>
    <row r="324" spans="29:40" x14ac:dyDescent="0.25">
      <c r="AC324" s="12"/>
      <c r="AH324" s="3"/>
      <c r="AI324" s="3"/>
      <c r="AJ324" s="3"/>
      <c r="AK324" s="3"/>
      <c r="AL324" s="3"/>
      <c r="AM324" s="3"/>
      <c r="AN324" s="3"/>
    </row>
    <row r="325" spans="29:40" x14ac:dyDescent="0.25">
      <c r="AC325" s="12"/>
      <c r="AH325" s="3"/>
      <c r="AI325" s="3"/>
      <c r="AJ325" s="3"/>
      <c r="AK325" s="3"/>
      <c r="AL325" s="3"/>
      <c r="AM325" s="3"/>
      <c r="AN325" s="3"/>
    </row>
    <row r="326" spans="29:40" x14ac:dyDescent="0.25">
      <c r="AC326" s="12"/>
      <c r="AH326" s="3"/>
      <c r="AI326" s="3"/>
      <c r="AJ326" s="3"/>
      <c r="AK326" s="3"/>
      <c r="AL326" s="3"/>
      <c r="AM326" s="3"/>
      <c r="AN326" s="3"/>
    </row>
    <row r="327" spans="29:40" x14ac:dyDescent="0.25">
      <c r="AC327" s="12"/>
      <c r="AH327" s="3"/>
      <c r="AI327" s="3"/>
      <c r="AJ327" s="3"/>
      <c r="AK327" s="3"/>
      <c r="AL327" s="3"/>
      <c r="AM327" s="3"/>
      <c r="AN327" s="3"/>
    </row>
    <row r="328" spans="29:40" x14ac:dyDescent="0.25">
      <c r="AC328" s="12"/>
      <c r="AH328" s="3"/>
      <c r="AI328" s="3"/>
      <c r="AJ328" s="3"/>
      <c r="AK328" s="3"/>
      <c r="AL328" s="3"/>
      <c r="AM328" s="3"/>
      <c r="AN328" s="3"/>
    </row>
    <row r="329" spans="29:40" x14ac:dyDescent="0.25">
      <c r="AC329" s="12"/>
      <c r="AH329" s="3"/>
      <c r="AI329" s="3"/>
      <c r="AJ329" s="3"/>
      <c r="AK329" s="3"/>
      <c r="AL329" s="3"/>
      <c r="AM329" s="3"/>
      <c r="AN329" s="3"/>
    </row>
    <row r="330" spans="29:40" x14ac:dyDescent="0.25">
      <c r="AC330" s="12"/>
      <c r="AH330" s="3"/>
      <c r="AI330" s="3"/>
      <c r="AJ330" s="3"/>
      <c r="AK330" s="3"/>
      <c r="AL330" s="3"/>
      <c r="AM330" s="3"/>
      <c r="AN330" s="3"/>
    </row>
    <row r="331" spans="29:40" x14ac:dyDescent="0.25">
      <c r="AC331" s="12"/>
      <c r="AH331" s="3"/>
      <c r="AI331" s="3"/>
      <c r="AJ331" s="3"/>
      <c r="AK331" s="3"/>
      <c r="AL331" s="3"/>
      <c r="AM331" s="3"/>
      <c r="AN331" s="3"/>
    </row>
    <row r="332" spans="29:40" x14ac:dyDescent="0.25">
      <c r="AC332" s="12"/>
      <c r="AH332" s="3"/>
      <c r="AI332" s="3"/>
      <c r="AJ332" s="3"/>
      <c r="AK332" s="3"/>
      <c r="AL332" s="3"/>
      <c r="AM332" s="3"/>
      <c r="AN332" s="3"/>
    </row>
    <row r="333" spans="29:40" x14ac:dyDescent="0.25">
      <c r="AC333" s="12"/>
      <c r="AH333" s="3"/>
      <c r="AI333" s="3"/>
      <c r="AJ333" s="3"/>
      <c r="AK333" s="3"/>
      <c r="AL333" s="3"/>
      <c r="AM333" s="3"/>
      <c r="AN333" s="3"/>
    </row>
    <row r="334" spans="29:40" x14ac:dyDescent="0.25">
      <c r="AC334" s="12"/>
      <c r="AH334" s="3"/>
      <c r="AI334" s="3"/>
      <c r="AJ334" s="3"/>
      <c r="AK334" s="3"/>
      <c r="AL334" s="3"/>
      <c r="AM334" s="3"/>
      <c r="AN334" s="3"/>
    </row>
    <row r="335" spans="29:40" x14ac:dyDescent="0.25">
      <c r="AC335" s="12"/>
      <c r="AH335" s="3"/>
      <c r="AI335" s="3"/>
      <c r="AJ335" s="3"/>
      <c r="AK335" s="3"/>
      <c r="AL335" s="3"/>
      <c r="AM335" s="3"/>
      <c r="AN335" s="3"/>
    </row>
    <row r="336" spans="29:40" x14ac:dyDescent="0.25">
      <c r="AC336" s="12"/>
      <c r="AH336" s="3"/>
      <c r="AI336" s="3"/>
      <c r="AJ336" s="3"/>
      <c r="AK336" s="3"/>
      <c r="AL336" s="3"/>
      <c r="AM336" s="3"/>
      <c r="AN336" s="3"/>
    </row>
    <row r="337" spans="29:40" x14ac:dyDescent="0.25">
      <c r="AC337" s="12"/>
      <c r="AH337" s="3"/>
      <c r="AI337" s="3"/>
      <c r="AJ337" s="3"/>
      <c r="AK337" s="3"/>
      <c r="AL337" s="3"/>
      <c r="AM337" s="3"/>
      <c r="AN337" s="3"/>
    </row>
  </sheetData>
  <sortState xmlns:xlrd2="http://schemas.microsoft.com/office/spreadsheetml/2017/richdata2" columnSort="1" ref="AE264:AN296">
    <sortCondition descending="1" ref="AE265:AN265"/>
  </sortState>
  <mergeCells count="13">
    <mergeCell ref="AM145:AO145"/>
    <mergeCell ref="AC1:AR1"/>
    <mergeCell ref="AD157:AF157"/>
    <mergeCell ref="AG157:AI157"/>
    <mergeCell ref="AC2:AL2"/>
    <mergeCell ref="AP145:AP146"/>
    <mergeCell ref="AQ145:AQ146"/>
    <mergeCell ref="AR145:AR146"/>
    <mergeCell ref="AL145:AL146"/>
    <mergeCell ref="AC22:AX22"/>
    <mergeCell ref="AT1:BQ1"/>
    <mergeCell ref="AO2:AR2"/>
    <mergeCell ref="BA22:BL22"/>
  </mergeCells>
  <conditionalFormatting sqref="C45:W93">
    <cfRule type="cellIs" dxfId="15" priority="7" operator="lessThan">
      <formula>0.005</formula>
    </cfRule>
  </conditionalFormatting>
  <conditionalFormatting sqref="X45">
    <cfRule type="cellIs" dxfId="14" priority="5" operator="lessThan">
      <formula>0.005</formula>
    </cfRule>
  </conditionalFormatting>
  <conditionalFormatting sqref="X51">
    <cfRule type="cellIs" dxfId="13" priority="3" operator="lessThan">
      <formula>0.005</formula>
    </cfRule>
  </conditionalFormatting>
  <conditionalFormatting sqref="X56">
    <cfRule type="cellIs" dxfId="12" priority="1" operator="lessThan">
      <formula>0.005</formula>
    </cfRule>
  </conditionalFormatting>
  <conditionalFormatting sqref="X62">
    <cfRule type="cellIs" dxfId="11" priority="4" operator="lessThan">
      <formula>0.005</formula>
    </cfRule>
  </conditionalFormatting>
  <conditionalFormatting sqref="X68">
    <cfRule type="cellIs" dxfId="10" priority="2" operator="lessThan">
      <formula>0.005</formula>
    </cfRule>
  </conditionalFormatting>
  <hyperlinks>
    <hyperlink ref="B41" r:id="rId1" display="*StatCan - Vehicle registrations, by type of vehicle table" xr:uid="{8BDE5951-88B5-47C7-822D-507C4DA7AA90}"/>
    <hyperlink ref="AC23" r:id="rId2" display="Average expected useful life of new publicly owned public transit assets in Ontario" xr:uid="{C875ACDA-C7E2-4A09-A881-5AF3306D4648}"/>
    <hyperlink ref="BC29" r:id="rId3" xr:uid="{E4062ADE-E8B4-4E06-AA4C-AF8A3E4C8D5D}"/>
    <hyperlink ref="BC30" r:id="rId4" xr:uid="{18880838-364B-481D-BDA4-478168E80C3D}"/>
    <hyperlink ref="BC31" r:id="rId5" xr:uid="{8B5D2450-37B7-4A71-9D33-C39125039924}"/>
    <hyperlink ref="BC25" r:id="rId6" display="(NHTA, 2022) - CAFE model survival rates" xr:uid="{2D8D27D7-953E-42DC-8D2D-E48E6E2469FF}"/>
    <hyperlink ref="BC32" r:id="rId7" xr:uid="{1E1E16AC-0ED8-4B31-915F-AD335BE3762C}"/>
    <hyperlink ref="BC33" r:id="rId8" xr:uid="{61E1FD0C-4C94-4A4D-B222-0D1257630577}"/>
    <hyperlink ref="AC156:AI156" r:id="rId9" display="Canadian registered fleet by vessel type - Transportation Data Information Hub, Table M10 Statistical Addendum" xr:uid="{D6305D45-1BB2-49AB-AA16-CEB1E718F600}"/>
    <hyperlink ref="AQ23:AV23" r:id="rId10" display="Vehicle registrations by vehicle and fuel type in Ontario - StatCan Table: 23-10-0308-01" xr:uid="{1873F35E-C8DA-4839-8532-2F48FAE26C32}"/>
    <hyperlink ref="BA38" r:id="rId11" display="Vehicle mileage design - NREL/TP-5400-71796" xr:uid="{49D1CEC8-7887-4F0D-A92E-F69D0D9E51AF}"/>
    <hyperlink ref="BC40" r:id="rId12" xr:uid="{33C16D56-011C-4453-91B5-680CA2A9D3FC}"/>
    <hyperlink ref="BC41" r:id="rId13" xr:uid="{A4FBC73E-ABD9-4D04-B0E3-B198D3B6DA35}"/>
    <hyperlink ref="BC42" r:id="rId14" xr:uid="{ACD8FF0F-14C6-43B6-976F-C87B6A4B0D0D}"/>
    <hyperlink ref="BC43" r:id="rId15" xr:uid="{AE0085E9-2922-4C5A-90AA-0DF1855C81E7}"/>
    <hyperlink ref="BC45" r:id="rId16" xr:uid="{8F74C65E-C066-4769-8CFB-6A0DD38EB9CB}"/>
    <hyperlink ref="BC44" r:id="rId17" xr:uid="{5604B94A-C1A6-4DAC-A6B9-3C8EAE374BFC}"/>
    <hyperlink ref="BA47" r:id="rId18" display="Vehicle max VMT - ANL/ESD-22/6 LDV &amp; MHDV Techno-economic Analysis" xr:uid="{D3EA9DF3-25DD-443A-B6D5-92DD4B938A22}"/>
    <hyperlink ref="BC49" r:id="rId19" display="(ANL, 2022) - NHTSA NPRM 2016" xr:uid="{D8618AA1-FD62-4C52-81A9-36C7CA81572A}"/>
    <hyperlink ref="BC50:BC54" r:id="rId20" display="(ANL, 2022) - NHTSA NPRM 2016" xr:uid="{0667990C-CF4F-4768-95F8-878C0F20F5CE}"/>
    <hyperlink ref="BA81" r:id="rId21" display="Fuel economy projections of HDV - FASTSim " xr:uid="{B8CF8F61-FFF3-4C6D-B36B-75293F617E54}"/>
    <hyperlink ref="BF81" r:id="rId22" display="Fuel economy projections of HDV - FASTSim " xr:uid="{2C3B8005-88E5-492A-A481-CF8484121AB6}"/>
    <hyperlink ref="BA114" r:id="rId23" display="Fuel economy projections of HDV - FASTSim " xr:uid="{FD2E34D6-8272-4668-853F-6EEA67762789}"/>
    <hyperlink ref="AP10" r:id="rId24" xr:uid="{B71B4796-D24A-417C-AF76-666EB1898E2A}"/>
    <hyperlink ref="AC167" r:id="rId25" xr:uid="{534AD801-EF90-4A21-BF60-FE0DD85848F2}"/>
    <hyperlink ref="AC208" r:id="rId26" display="Cargo handled by Canada Port Authorities - Transportation Data Information Hub, Table M17 Statistical Addendum" xr:uid="{F66217F2-4675-4E54-B3BF-D00A8DCA7B28}"/>
    <hyperlink ref="AC230" r:id="rId27" xr:uid="{CA633A6E-9FFD-4CEF-B5B7-E0AA403CE97D}"/>
    <hyperlink ref="AJ230" r:id="rId28" display="Fuel consumption in tonnes by type of vessel in the Great Lakes Region - ICCT Briefing, Great Lakes-St Lawrence Seaway Ship Emissions Inventory, 2019" xr:uid="{509404DE-A961-40F6-8906-FC1C8335F6A9}"/>
    <hyperlink ref="AC249" r:id="rId29" display="Fuel consumption in tonnes by type of vessel in the Great Lakes Region - ICCT Briefing, Great Lakes-St Lawrence Seaway Ship Emissions Inventory, 2019" xr:uid="{32119AA5-ADD5-4A6E-9B57-6846BAA31A5B}"/>
    <hyperlink ref="AG249" r:id="rId30" display="Fuel consumption in tonnes by type of vessel in the Great Lakes Region - ICCT Briefing, Great Lakes-St Lawrence Seaway Ship Emissions Inventory, 2019" xr:uid="{1B515CA4-90D0-4B2D-9DEC-D7F4A27D148D}"/>
    <hyperlink ref="AC144" r:id="rId31" display="Full voyage energy efficiency of Great Lakes-Seaway System operating vessels - " xr:uid="{C364189C-52F5-44D7-8111-C1760A8517AA}"/>
    <hyperlink ref="AC57:AO57" r:id="rId32" display="New motor vehicle registrations by vehicle type and fuel type - StatCan Table: 20-10-0021-01 &amp; 20-10-0024-02" xr:uid="{84403A6E-4FEC-429B-A481-5F9142913E64}"/>
    <hyperlink ref="BD38:BE38" r:id="rId33" display="Passenger load factors - TEDB 40 Table 2.13 &amp; NHTS 2017" xr:uid="{BAF1E3DD-5957-4256-B644-2DC3439A7FBE}"/>
    <hyperlink ref="AC149" r:id="rId34" display="Domestic freight activity by mode in Canada - Transportation Data and Information Hub, North American Transportation Statistics, Table 5-2" xr:uid="{AEADEAF7-4CED-44A3-B25B-B15165FF77CF}"/>
    <hyperlink ref="AT2" r:id="rId35" xr:uid="{2AC0C261-E5BF-4B44-BB9E-816A0C3BC77A}"/>
    <hyperlink ref="AT8" r:id="rId36" display="Canada Energy Regulator - Canada's Energy Future 2021 Data Appendices, Macro Indicators from ON, Current Policies Scenario" xr:uid="{DAAF7A9C-FC7C-45BA-AAD1-03047D3C21CB}"/>
    <hyperlink ref="BA123" r:id="rId37" xr:uid="{9F097224-0F29-4760-8409-3731971B733F}"/>
    <hyperlink ref="BC28" r:id="rId38" xr:uid="{5541BDF5-416B-418D-A4CF-D7308E4EE8E1}"/>
    <hyperlink ref="BA56" r:id="rId39" location="on-road-fleet-vehicles:~:text=Chart%204%3A%20Medium%2DDuty%20and%20Heavy%2DDuty%20Vehicle%20Efficiency%20Assumptions" display="Chart 4: Medium-Duty and Heavy-Duty Vehicle Efficiency Assumptions" xr:uid="{89AD8765-864E-47AB-AB4B-365FC48BDA47}"/>
    <hyperlink ref="BA68" r:id="rId40" location="on-road-fleet-vehicles:~:text=Chart%204%3A%20Medium%2DDuty%20and%20Heavy%2DDuty%20Vehicle%20Efficiency%20Assumptions" display="Chart 4: Medium-Duty and Heavy-Duty Vehicle Efficiency Assumptions" xr:uid="{4B88B925-732A-481F-9E35-E00E52F3C4ED}"/>
    <hyperlink ref="AC100" r:id="rId41" xr:uid="{3C36C28B-90E2-4A42-9405-24E1049E99A1}"/>
    <hyperlink ref="AT14" r:id="rId42" display="Canada Energy Regulator - Canada's Energy Future 2021 Data Appendices, Macro Indicators from ON, Current Policies Scenario" xr:uid="{B314BCE2-7F91-402F-BD3E-11BA9A69CE46}"/>
    <hyperlink ref="AC42" r:id="rId43" xr:uid="{DFD557A8-A144-41C8-8069-C44BCE6060B5}"/>
    <hyperlink ref="BC26:BC27" r:id="rId44" display="(NHTA, 2022) - CAFE model survival rates" xr:uid="{DCD2BA2B-FF39-4371-9B33-961CB69073A7}"/>
    <hyperlink ref="AC57" r:id="rId45" xr:uid="{7A1EBC26-8FE7-4F6E-8A69-A409D891A1D3}"/>
  </hyperlinks>
  <pageMargins left="0.7" right="0.7" top="0.75" bottom="0.75" header="0.3" footer="0.3"/>
  <pageSetup orientation="portrait" r:id="rId46"/>
  <drawing r:id="rId47"/>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4C32D-20B7-4E39-BAE1-5DBA5728AE74}">
  <sheetPr codeName="Sheet17">
    <tabColor theme="7" tint="0.59999389629810485"/>
  </sheetPr>
  <dimension ref="A1:AQ63"/>
  <sheetViews>
    <sheetView topLeftCell="AD1" workbookViewId="0">
      <selection activeCell="AR13" sqref="AR13"/>
    </sheetView>
  </sheetViews>
  <sheetFormatPr defaultRowHeight="15" x14ac:dyDescent="0.25"/>
  <cols>
    <col min="1" max="1" width="25.140625" bestFit="1" customWidth="1"/>
    <col min="2" max="2" width="14.42578125" bestFit="1" customWidth="1"/>
    <col min="3" max="3" width="13.85546875" bestFit="1" customWidth="1"/>
    <col min="4" max="4" width="13.140625" bestFit="1" customWidth="1"/>
    <col min="5" max="5" width="14.42578125" customWidth="1"/>
    <col min="6" max="6" width="11.5703125" customWidth="1"/>
    <col min="7" max="7" width="25.140625" bestFit="1" customWidth="1"/>
    <col min="8" max="8" width="14.42578125" bestFit="1" customWidth="1"/>
    <col min="9" max="9" width="15.42578125" customWidth="1"/>
    <col min="10" max="10" width="13.140625" bestFit="1" customWidth="1"/>
    <col min="11" max="11" width="13.28515625" customWidth="1"/>
    <col min="13" max="13" width="22.140625" customWidth="1"/>
    <col min="14" max="14" width="14.42578125" bestFit="1" customWidth="1"/>
    <col min="15" max="15" width="14" bestFit="1" customWidth="1"/>
    <col min="16" max="16" width="13.42578125" bestFit="1" customWidth="1"/>
    <col min="17" max="17" width="12" customWidth="1"/>
    <col min="19" max="19" width="21.5703125" bestFit="1" customWidth="1"/>
    <col min="20" max="20" width="14.42578125" bestFit="1" customWidth="1"/>
    <col min="21" max="21" width="13.85546875" bestFit="1" customWidth="1"/>
    <col min="22" max="22" width="13.140625" bestFit="1" customWidth="1"/>
    <col min="23" max="23" width="12.5703125" customWidth="1"/>
    <col min="25" max="25" width="21.5703125" bestFit="1" customWidth="1"/>
    <col min="26" max="26" width="14.42578125" bestFit="1" customWidth="1"/>
    <col min="27" max="27" width="13.42578125" bestFit="1" customWidth="1"/>
    <col min="28" max="28" width="10.42578125" customWidth="1"/>
    <col min="29" max="29" width="12.5703125" customWidth="1"/>
    <col min="31" max="31" width="19.7109375" bestFit="1" customWidth="1"/>
    <col min="32" max="32" width="10.7109375" customWidth="1"/>
    <col min="33" max="33" width="13.42578125" bestFit="1" customWidth="1"/>
    <col min="34" max="34" width="9" customWidth="1"/>
    <col min="35" max="35" width="12.28515625" customWidth="1"/>
    <col min="37" max="37" width="18.85546875" bestFit="1" customWidth="1"/>
    <col min="38" max="38" width="10.7109375" bestFit="1" customWidth="1"/>
    <col min="39" max="39" width="13.140625" bestFit="1" customWidth="1"/>
    <col min="40" max="40" width="13.85546875" customWidth="1"/>
    <col min="41" max="41" width="9.28515625" bestFit="1" customWidth="1"/>
    <col min="43" max="43" width="11.85546875" customWidth="1"/>
  </cols>
  <sheetData>
    <row r="1" spans="1:43" s="646" customFormat="1" ht="27" customHeight="1" x14ac:dyDescent="0.25">
      <c r="A1" s="645" t="s">
        <v>1368</v>
      </c>
      <c r="E1" s="101" t="s">
        <v>1711</v>
      </c>
    </row>
    <row r="2" spans="1:43" x14ac:dyDescent="0.25">
      <c r="A2" s="848" t="s">
        <v>439</v>
      </c>
      <c r="B2" s="848"/>
      <c r="C2" s="848"/>
      <c r="D2" s="848"/>
      <c r="E2" s="1"/>
      <c r="G2" s="848" t="s">
        <v>440</v>
      </c>
      <c r="H2" s="848"/>
      <c r="I2" s="848"/>
      <c r="J2" s="848"/>
      <c r="M2" s="848" t="s">
        <v>441</v>
      </c>
      <c r="N2" s="848"/>
      <c r="O2" s="848"/>
      <c r="P2" s="848"/>
      <c r="S2" s="848" t="s">
        <v>450</v>
      </c>
      <c r="T2" s="848"/>
      <c r="U2" s="848"/>
      <c r="V2" s="848"/>
      <c r="Y2" s="848" t="s">
        <v>442</v>
      </c>
      <c r="Z2" s="848"/>
      <c r="AA2" s="848"/>
      <c r="AB2" s="848"/>
      <c r="AE2" s="848" t="s">
        <v>436</v>
      </c>
      <c r="AF2" s="848"/>
      <c r="AG2" s="848"/>
      <c r="AH2" s="848"/>
      <c r="AK2" s="879" t="s">
        <v>448</v>
      </c>
      <c r="AL2" s="879"/>
      <c r="AM2" s="879"/>
      <c r="AN2" s="879"/>
      <c r="AO2" s="879"/>
      <c r="AP2" s="879"/>
    </row>
    <row r="3" spans="1:43" ht="87.6" customHeight="1" thickBot="1" x14ac:dyDescent="0.3">
      <c r="A3" s="98" t="s">
        <v>404</v>
      </c>
      <c r="B3" s="98" t="s">
        <v>242</v>
      </c>
      <c r="C3" s="99" t="s">
        <v>434</v>
      </c>
      <c r="D3" s="99" t="s">
        <v>403</v>
      </c>
      <c r="E3" s="299" t="s">
        <v>1195</v>
      </c>
      <c r="G3" s="98" t="s">
        <v>404</v>
      </c>
      <c r="H3" s="98" t="s">
        <v>242</v>
      </c>
      <c r="I3" s="99" t="s">
        <v>434</v>
      </c>
      <c r="J3" s="99" t="s">
        <v>403</v>
      </c>
      <c r="K3" s="299" t="s">
        <v>1195</v>
      </c>
      <c r="M3" s="98" t="s">
        <v>404</v>
      </c>
      <c r="N3" s="98" t="s">
        <v>242</v>
      </c>
      <c r="O3" s="99" t="s">
        <v>434</v>
      </c>
      <c r="P3" s="99" t="s">
        <v>403</v>
      </c>
      <c r="Q3" s="299" t="s">
        <v>1195</v>
      </c>
      <c r="S3" s="98" t="s">
        <v>404</v>
      </c>
      <c r="T3" s="98" t="s">
        <v>242</v>
      </c>
      <c r="U3" s="99" t="s">
        <v>434</v>
      </c>
      <c r="V3" s="99" t="s">
        <v>403</v>
      </c>
      <c r="W3" s="299" t="s">
        <v>1195</v>
      </c>
      <c r="Y3" s="98" t="s">
        <v>404</v>
      </c>
      <c r="Z3" s="98" t="s">
        <v>242</v>
      </c>
      <c r="AA3" s="99" t="s">
        <v>434</v>
      </c>
      <c r="AB3" s="99" t="s">
        <v>403</v>
      </c>
      <c r="AC3" s="299" t="s">
        <v>1195</v>
      </c>
      <c r="AE3" s="98" t="s">
        <v>404</v>
      </c>
      <c r="AF3" s="98" t="s">
        <v>435</v>
      </c>
      <c r="AG3" s="99" t="s">
        <v>437</v>
      </c>
      <c r="AH3" s="99" t="s">
        <v>443</v>
      </c>
      <c r="AI3" s="299" t="s">
        <v>1195</v>
      </c>
      <c r="AK3" s="98" t="s">
        <v>404</v>
      </c>
      <c r="AL3" s="99" t="s">
        <v>449</v>
      </c>
      <c r="AM3" s="99" t="s">
        <v>1231</v>
      </c>
      <c r="AN3" s="99" t="s">
        <v>1230</v>
      </c>
      <c r="AO3" s="99" t="s">
        <v>403</v>
      </c>
      <c r="AP3" s="99" t="s">
        <v>1728</v>
      </c>
      <c r="AQ3" s="299" t="s">
        <v>1195</v>
      </c>
    </row>
    <row r="4" spans="1:43" ht="15.75" thickTop="1" x14ac:dyDescent="0.25">
      <c r="A4" s="101" t="s">
        <v>405</v>
      </c>
      <c r="B4" t="s">
        <v>97</v>
      </c>
      <c r="C4" s="67">
        <v>11.710878661087801</v>
      </c>
      <c r="D4" s="67">
        <v>269.39330543932999</v>
      </c>
      <c r="E4" s="27">
        <f>INDEX($H$46:$H$51,MATCH(A4,_xlfn.ANCHORARRAY($F$46), 0))</f>
        <v>4.4278342824028288E-3</v>
      </c>
      <c r="G4" s="101" t="s">
        <v>405</v>
      </c>
      <c r="H4" t="s">
        <v>97</v>
      </c>
      <c r="I4" s="67">
        <v>10.4385826771653</v>
      </c>
      <c r="J4" s="67">
        <v>240.173228346456</v>
      </c>
      <c r="K4" s="27">
        <f>INDEX($H$46:$H$51,MATCH(G4,_xlfn.ANCHORARRAY($F$46), 0))</f>
        <v>4.4278342824028288E-3</v>
      </c>
      <c r="M4" s="101" t="s">
        <v>420</v>
      </c>
      <c r="N4" t="s">
        <v>97</v>
      </c>
      <c r="O4" s="67">
        <v>10.009803921568601</v>
      </c>
      <c r="P4" s="67">
        <v>234.01960784313701</v>
      </c>
      <c r="Q4" s="27">
        <f>INDEX($H$46:$H$51,MATCH(M4,$G$46:$G$51, 0))</f>
        <v>4.4278342824028288E-3</v>
      </c>
      <c r="S4" t="s">
        <v>420</v>
      </c>
      <c r="T4" t="s">
        <v>97</v>
      </c>
      <c r="U4" s="67">
        <v>10.6571428571428</v>
      </c>
      <c r="V4" s="67">
        <v>250.09523809523799</v>
      </c>
      <c r="W4" s="27">
        <f>INDEX($I$46:$I$51,MATCH(S4,$G$46:$G$51, 0))</f>
        <v>5.9556466062645284E-3</v>
      </c>
      <c r="Y4" t="s">
        <v>420</v>
      </c>
      <c r="Z4" t="s">
        <v>97</v>
      </c>
      <c r="AA4" s="67">
        <v>10.689473684210499</v>
      </c>
      <c r="AB4" s="67">
        <v>250.68421052631501</v>
      </c>
      <c r="AC4" s="27">
        <f>INDEX($I$46:$I$51,MATCH(Y4,$G$46:$G$51, 0))</f>
        <v>5.9556466062645284E-3</v>
      </c>
      <c r="AE4" s="300" t="s">
        <v>421</v>
      </c>
      <c r="AF4">
        <v>250</v>
      </c>
      <c r="AG4" s="67">
        <v>18.34</v>
      </c>
      <c r="AH4" s="67">
        <v>164.68</v>
      </c>
      <c r="AI4" s="27">
        <f>INDEX($I$46:$I$51,MATCH(AE4,$G$46:$G$51, 0))</f>
        <v>7.4528035619713884E-2</v>
      </c>
      <c r="AK4" t="s">
        <v>420</v>
      </c>
      <c r="AL4">
        <v>90</v>
      </c>
      <c r="AM4" s="67">
        <v>3.9</v>
      </c>
      <c r="AN4" s="67">
        <v>9.1999999999999993</v>
      </c>
      <c r="AO4" s="67">
        <v>54</v>
      </c>
      <c r="AP4" s="67">
        <v>84</v>
      </c>
      <c r="AQ4" s="27">
        <f>INDEX($I$46:$I$51,MATCH(AK4,$G$46:$G$51, 0))</f>
        <v>5.9556466062645284E-3</v>
      </c>
    </row>
    <row r="5" spans="1:43" x14ac:dyDescent="0.25">
      <c r="A5" s="101" t="s">
        <v>406</v>
      </c>
      <c r="B5" t="s">
        <v>96</v>
      </c>
      <c r="C5" s="67">
        <v>6.85</v>
      </c>
      <c r="D5" s="67">
        <v>184.75</v>
      </c>
      <c r="E5" s="27">
        <f t="shared" ref="E5:E21" si="0">INDEX($H$46:$H$51,MATCH(A5,_xlfn.ANCHORARRAY($F$46), 0))</f>
        <v>7.4903618262387353E-2</v>
      </c>
      <c r="G5" s="101" t="s">
        <v>406</v>
      </c>
      <c r="H5" t="s">
        <v>223</v>
      </c>
      <c r="I5" s="67">
        <v>14.4333333333333</v>
      </c>
      <c r="J5" s="67">
        <v>231</v>
      </c>
      <c r="K5" s="27">
        <f t="shared" ref="K5:K21" si="1">INDEX($H$46:$H$51,MATCH(G5,_xlfn.ANCHORARRAY($F$46), 0))</f>
        <v>7.4903618262387353E-2</v>
      </c>
      <c r="M5" s="101" t="s">
        <v>421</v>
      </c>
      <c r="N5" t="s">
        <v>97</v>
      </c>
      <c r="O5" s="67">
        <v>10.3615384615384</v>
      </c>
      <c r="P5" s="67">
        <v>242.450549450549</v>
      </c>
      <c r="Q5" s="27">
        <f t="shared" ref="Q5:Q18" si="2">INDEX($H$46:$H$51,MATCH(M5,$G$46:$G$51, 0))</f>
        <v>7.4903618262387353E-2</v>
      </c>
      <c r="S5" t="s">
        <v>421</v>
      </c>
      <c r="T5" t="s">
        <v>97</v>
      </c>
      <c r="U5" s="67">
        <v>10.682222222222199</v>
      </c>
      <c r="V5" s="67">
        <v>250.03333333333299</v>
      </c>
      <c r="W5" s="27">
        <f t="shared" ref="W5:W14" si="3">INDEX($I$46:$I$51,MATCH(S5,$G$46:$G$51, 0))</f>
        <v>7.4528035619713884E-2</v>
      </c>
      <c r="Y5" t="s">
        <v>421</v>
      </c>
      <c r="Z5" t="s">
        <v>97</v>
      </c>
      <c r="AA5" s="67">
        <v>10.42</v>
      </c>
      <c r="AB5" s="67">
        <v>243.585714285714</v>
      </c>
      <c r="AC5" s="27">
        <f t="shared" ref="AC5:AC13" si="4">INDEX($I$46:$I$51,MATCH(Y5,$G$46:$G$51, 0))</f>
        <v>7.4528035619713884E-2</v>
      </c>
      <c r="AE5" s="101" t="s">
        <v>421</v>
      </c>
      <c r="AF5">
        <v>500</v>
      </c>
      <c r="AG5" s="67">
        <v>21.55</v>
      </c>
      <c r="AH5" s="67">
        <v>426.7</v>
      </c>
      <c r="AI5" s="27">
        <f t="shared" ref="AI5:AI15" si="5">INDEX($I$46:$I$51,MATCH(AE5,$G$46:$G$51, 0))</f>
        <v>7.4528035619713884E-2</v>
      </c>
      <c r="AK5" t="s">
        <v>421</v>
      </c>
      <c r="AL5">
        <v>55</v>
      </c>
      <c r="AM5" s="67">
        <v>3.44999999999999</v>
      </c>
      <c r="AN5" s="67">
        <v>9.1333333333333293</v>
      </c>
      <c r="AO5" s="67">
        <v>119.833333333333</v>
      </c>
      <c r="AP5" s="67">
        <v>30.1666666666666</v>
      </c>
      <c r="AQ5" s="27">
        <f t="shared" ref="AQ5:AQ14" si="6">INDEX($I$46:$I$51,MATCH(AK5,$G$46:$G$51, 0))</f>
        <v>7.4528035619713884E-2</v>
      </c>
    </row>
    <row r="6" spans="1:43" x14ac:dyDescent="0.25">
      <c r="A6" s="101" t="s">
        <v>406</v>
      </c>
      <c r="B6" t="s">
        <v>97</v>
      </c>
      <c r="C6" s="67">
        <v>11.1608899297423</v>
      </c>
      <c r="D6" s="67">
        <v>256.742388758782</v>
      </c>
      <c r="E6" s="27">
        <f t="shared" si="0"/>
        <v>7.4903618262387353E-2</v>
      </c>
      <c r="G6" s="101" t="s">
        <v>406</v>
      </c>
      <c r="H6" t="s">
        <v>97</v>
      </c>
      <c r="I6" s="67">
        <v>10.761036036036</v>
      </c>
      <c r="J6" s="67">
        <v>247.617117117117</v>
      </c>
      <c r="K6" s="27">
        <f t="shared" si="1"/>
        <v>7.4903618262387353E-2</v>
      </c>
      <c r="M6" s="101" t="s">
        <v>422</v>
      </c>
      <c r="N6" t="s">
        <v>96</v>
      </c>
      <c r="O6" s="67">
        <v>6.6749999999999998</v>
      </c>
      <c r="P6" s="67">
        <v>178.75</v>
      </c>
      <c r="Q6" s="27">
        <f t="shared" si="2"/>
        <v>0.53368242434337232</v>
      </c>
      <c r="S6" t="s">
        <v>422</v>
      </c>
      <c r="T6" t="s">
        <v>97</v>
      </c>
      <c r="U6" s="67">
        <v>9.0704761904761906</v>
      </c>
      <c r="V6" s="67">
        <v>212.11428571428499</v>
      </c>
      <c r="W6" s="27">
        <f t="shared" si="3"/>
        <v>0.47363564001002123</v>
      </c>
      <c r="Y6" t="s">
        <v>422</v>
      </c>
      <c r="Z6" t="s">
        <v>97</v>
      </c>
      <c r="AA6" s="67">
        <v>9.2135593220338894</v>
      </c>
      <c r="AB6" s="67">
        <v>215.796610169491</v>
      </c>
      <c r="AC6" s="27">
        <f t="shared" si="4"/>
        <v>0.47363564001002123</v>
      </c>
      <c r="AE6" s="101" t="s">
        <v>422</v>
      </c>
      <c r="AF6">
        <v>250</v>
      </c>
      <c r="AG6" s="67">
        <v>19</v>
      </c>
      <c r="AH6" s="67">
        <v>165.9</v>
      </c>
      <c r="AI6" s="27">
        <f t="shared" si="5"/>
        <v>0.47363564001002123</v>
      </c>
      <c r="AK6" t="s">
        <v>421</v>
      </c>
      <c r="AL6">
        <v>90</v>
      </c>
      <c r="AM6" s="67">
        <v>2.77368421052631</v>
      </c>
      <c r="AN6" s="67">
        <v>8.2368421052631504</v>
      </c>
      <c r="AO6" s="67">
        <v>36.842105263157897</v>
      </c>
      <c r="AP6" s="67">
        <v>133.157894736842</v>
      </c>
      <c r="AQ6" s="27">
        <f t="shared" si="6"/>
        <v>7.4528035619713884E-2</v>
      </c>
    </row>
    <row r="7" spans="1:43" x14ac:dyDescent="0.25">
      <c r="A7" s="101" t="s">
        <v>407</v>
      </c>
      <c r="B7" t="s">
        <v>96</v>
      </c>
      <c r="C7" s="67">
        <v>7.2545454545454504</v>
      </c>
      <c r="D7" s="67">
        <v>195.54545454545399</v>
      </c>
      <c r="E7" s="27">
        <f t="shared" si="0"/>
        <v>0.53368242434337232</v>
      </c>
      <c r="G7" s="101" t="s">
        <v>407</v>
      </c>
      <c r="H7" t="s">
        <v>96</v>
      </c>
      <c r="I7" s="67">
        <v>7.4560000000000004</v>
      </c>
      <c r="J7" s="67">
        <v>200.28</v>
      </c>
      <c r="K7" s="27">
        <f t="shared" si="1"/>
        <v>0.53368242434337232</v>
      </c>
      <c r="M7" s="101" t="s">
        <v>422</v>
      </c>
      <c r="N7" t="s">
        <v>97</v>
      </c>
      <c r="O7" s="67">
        <v>9.0798245614035</v>
      </c>
      <c r="P7" s="67">
        <v>212.68421052631501</v>
      </c>
      <c r="Q7" s="27">
        <f t="shared" si="2"/>
        <v>0.53368242434337232</v>
      </c>
      <c r="S7" t="s">
        <v>422</v>
      </c>
      <c r="T7" t="s">
        <v>438</v>
      </c>
      <c r="U7" s="67">
        <v>4.5</v>
      </c>
      <c r="V7" s="67">
        <v>106</v>
      </c>
      <c r="W7" s="27">
        <f t="shared" si="3"/>
        <v>0.47363564001002123</v>
      </c>
      <c r="Y7" t="s">
        <v>422</v>
      </c>
      <c r="Z7" t="s">
        <v>438</v>
      </c>
      <c r="AA7" s="67">
        <v>4.9666666666666597</v>
      </c>
      <c r="AB7" s="67">
        <v>116.333333333333</v>
      </c>
      <c r="AC7" s="27">
        <f t="shared" si="4"/>
        <v>0.47363564001002123</v>
      </c>
      <c r="AE7" s="101" t="s">
        <v>422</v>
      </c>
      <c r="AF7">
        <v>500</v>
      </c>
      <c r="AG7" s="67">
        <v>27.615789473684199</v>
      </c>
      <c r="AH7" s="67">
        <v>347.15789473684202</v>
      </c>
      <c r="AI7" s="27">
        <f t="shared" si="5"/>
        <v>0.47363564001002123</v>
      </c>
      <c r="AK7" t="s">
        <v>422</v>
      </c>
      <c r="AL7">
        <v>55</v>
      </c>
      <c r="AM7" s="67">
        <v>3.2333333333333298</v>
      </c>
      <c r="AN7" s="67">
        <v>8.0428571428571392</v>
      </c>
      <c r="AO7" s="67">
        <v>107.714285714285</v>
      </c>
      <c r="AP7" s="67">
        <v>29.238095238095202</v>
      </c>
      <c r="AQ7" s="27">
        <f t="shared" si="6"/>
        <v>0.47363564001002123</v>
      </c>
    </row>
    <row r="8" spans="1:43" x14ac:dyDescent="0.25">
      <c r="A8" s="101" t="s">
        <v>407</v>
      </c>
      <c r="B8" t="s">
        <v>223</v>
      </c>
      <c r="C8" s="67">
        <v>15.066666666666601</v>
      </c>
      <c r="D8" s="67">
        <v>241</v>
      </c>
      <c r="E8" s="27">
        <f t="shared" si="0"/>
        <v>0.53368242434337232</v>
      </c>
      <c r="G8" s="101" t="s">
        <v>407</v>
      </c>
      <c r="H8" t="s">
        <v>223</v>
      </c>
      <c r="I8" s="67">
        <v>12.566666666666601</v>
      </c>
      <c r="J8" s="67">
        <v>201.055555555555</v>
      </c>
      <c r="K8" s="27">
        <f t="shared" si="1"/>
        <v>0.53368242434337232</v>
      </c>
      <c r="M8" s="101" t="s">
        <v>422</v>
      </c>
      <c r="N8" t="s">
        <v>438</v>
      </c>
      <c r="O8" s="67">
        <v>8.5</v>
      </c>
      <c r="P8" s="67">
        <v>200</v>
      </c>
      <c r="Q8" s="27">
        <f t="shared" si="2"/>
        <v>0.53368242434337232</v>
      </c>
      <c r="S8" t="s">
        <v>423</v>
      </c>
      <c r="T8" t="s">
        <v>97</v>
      </c>
      <c r="U8" s="67">
        <v>9.2945454545454496</v>
      </c>
      <c r="V8" s="67">
        <v>217.790909090909</v>
      </c>
      <c r="W8" s="27">
        <f t="shared" si="3"/>
        <v>0.35458613330119781</v>
      </c>
      <c r="Y8" t="s">
        <v>423</v>
      </c>
      <c r="Z8" t="s">
        <v>97</v>
      </c>
      <c r="AA8" s="67">
        <v>9.4762886597938092</v>
      </c>
      <c r="AB8" s="67">
        <v>222.02061855670101</v>
      </c>
      <c r="AC8" s="27">
        <f t="shared" si="4"/>
        <v>0.35458613330119781</v>
      </c>
      <c r="AE8" s="101" t="s">
        <v>423</v>
      </c>
      <c r="AF8">
        <v>250</v>
      </c>
      <c r="AG8" s="67">
        <v>18.376190476190398</v>
      </c>
      <c r="AH8" s="67">
        <v>176.619047619047</v>
      </c>
      <c r="AI8" s="27">
        <f t="shared" si="5"/>
        <v>0.35458613330119781</v>
      </c>
      <c r="AK8" t="s">
        <v>422</v>
      </c>
      <c r="AL8">
        <v>90</v>
      </c>
      <c r="AM8" s="67">
        <v>2.4909090909090899</v>
      </c>
      <c r="AN8" s="67">
        <v>6.4</v>
      </c>
      <c r="AO8" s="67">
        <v>44.363636363636303</v>
      </c>
      <c r="AP8" s="67">
        <v>69.636363636363598</v>
      </c>
      <c r="AQ8" s="27">
        <f t="shared" si="6"/>
        <v>0.47363564001002123</v>
      </c>
    </row>
    <row r="9" spans="1:43" x14ac:dyDescent="0.25">
      <c r="A9" s="101" t="s">
        <v>407</v>
      </c>
      <c r="B9" t="s">
        <v>97</v>
      </c>
      <c r="C9" s="67">
        <v>10.790476190476101</v>
      </c>
      <c r="D9" s="67">
        <v>248.216589861751</v>
      </c>
      <c r="E9" s="27">
        <f t="shared" si="0"/>
        <v>0.53368242434337232</v>
      </c>
      <c r="G9" s="101" t="s">
        <v>407</v>
      </c>
      <c r="H9" t="s">
        <v>97</v>
      </c>
      <c r="I9" s="67">
        <v>9.6191063174114007</v>
      </c>
      <c r="J9" s="67">
        <v>221.32357473035401</v>
      </c>
      <c r="K9" s="27">
        <f t="shared" si="1"/>
        <v>0.53368242434337232</v>
      </c>
      <c r="M9" s="101" t="s">
        <v>423</v>
      </c>
      <c r="N9" t="s">
        <v>96</v>
      </c>
      <c r="O9" s="67">
        <v>6.7333333333333298</v>
      </c>
      <c r="P9" s="67">
        <v>181.333333333333</v>
      </c>
      <c r="Q9" s="27">
        <f t="shared" si="2"/>
        <v>0.27985404803297975</v>
      </c>
      <c r="S9" t="s">
        <v>423</v>
      </c>
      <c r="T9" t="s">
        <v>438</v>
      </c>
      <c r="U9" s="67">
        <v>5.86666666666666</v>
      </c>
      <c r="V9" s="67">
        <v>137.333333333333</v>
      </c>
      <c r="W9" s="27">
        <f t="shared" si="3"/>
        <v>0.35458613330119781</v>
      </c>
      <c r="Y9" t="s">
        <v>423</v>
      </c>
      <c r="Z9" t="s">
        <v>438</v>
      </c>
      <c r="AA9" s="67">
        <v>5</v>
      </c>
      <c r="AB9" s="67">
        <v>117</v>
      </c>
      <c r="AC9" s="27">
        <f t="shared" si="4"/>
        <v>0.35458613330119781</v>
      </c>
      <c r="AE9" s="101" t="s">
        <v>423</v>
      </c>
      <c r="AF9">
        <v>500</v>
      </c>
      <c r="AG9" s="67">
        <v>21.3698113207547</v>
      </c>
      <c r="AH9" s="67">
        <v>394.66037735849</v>
      </c>
      <c r="AI9" s="27">
        <f t="shared" si="5"/>
        <v>0.35458613330119781</v>
      </c>
      <c r="AK9" t="s">
        <v>423</v>
      </c>
      <c r="AL9">
        <v>55</v>
      </c>
      <c r="AM9" s="67">
        <v>2.8236363636363602</v>
      </c>
      <c r="AN9" s="67">
        <v>6.6763636363636296</v>
      </c>
      <c r="AO9" s="67">
        <v>83.472727272727198</v>
      </c>
      <c r="AP9" s="67">
        <v>36.1636363636363</v>
      </c>
      <c r="AQ9" s="27">
        <f t="shared" si="6"/>
        <v>0.35458613330119781</v>
      </c>
    </row>
    <row r="10" spans="1:43" x14ac:dyDescent="0.25">
      <c r="A10" s="101" t="s">
        <v>407</v>
      </c>
      <c r="B10" t="s">
        <v>438</v>
      </c>
      <c r="C10" s="67">
        <v>5.6</v>
      </c>
      <c r="D10" s="67">
        <v>129</v>
      </c>
      <c r="E10" s="27">
        <f t="shared" si="0"/>
        <v>0.53368242434337232</v>
      </c>
      <c r="G10" s="101" t="s">
        <v>407</v>
      </c>
      <c r="H10" t="s">
        <v>438</v>
      </c>
      <c r="I10" s="67">
        <v>6.3833333333333302</v>
      </c>
      <c r="J10" s="67">
        <v>146.916666666666</v>
      </c>
      <c r="K10" s="27">
        <f t="shared" si="1"/>
        <v>0.53368242434337232</v>
      </c>
      <c r="M10" s="101" t="s">
        <v>423</v>
      </c>
      <c r="N10" t="s">
        <v>223</v>
      </c>
      <c r="O10" s="67">
        <v>15</v>
      </c>
      <c r="P10" s="67">
        <v>248</v>
      </c>
      <c r="Q10" s="27">
        <f t="shared" si="2"/>
        <v>0.27985404803297975</v>
      </c>
      <c r="S10" t="s">
        <v>424</v>
      </c>
      <c r="T10" t="s">
        <v>223</v>
      </c>
      <c r="U10" s="67">
        <v>14.7</v>
      </c>
      <c r="V10" s="67">
        <v>246</v>
      </c>
      <c r="W10" s="27">
        <f t="shared" si="3"/>
        <v>6.6840875143896417E-2</v>
      </c>
      <c r="Y10" t="s">
        <v>424</v>
      </c>
      <c r="Z10" t="s">
        <v>97</v>
      </c>
      <c r="AA10" s="67">
        <v>9.8972972972972908</v>
      </c>
      <c r="AB10" s="67">
        <v>231.729729729729</v>
      </c>
      <c r="AC10" s="27">
        <f t="shared" si="4"/>
        <v>6.6840875143896417E-2</v>
      </c>
      <c r="AE10" s="101" t="s">
        <v>423</v>
      </c>
      <c r="AF10">
        <v>800</v>
      </c>
      <c r="AG10" s="67">
        <v>16.933333333333302</v>
      </c>
      <c r="AH10" s="67">
        <v>536</v>
      </c>
      <c r="AI10" s="27">
        <f t="shared" si="5"/>
        <v>0.35458613330119781</v>
      </c>
      <c r="AK10" t="s">
        <v>423</v>
      </c>
      <c r="AL10">
        <v>90</v>
      </c>
      <c r="AM10" s="67">
        <v>2.3875000000000002</v>
      </c>
      <c r="AN10" s="67">
        <v>6</v>
      </c>
      <c r="AO10" s="67">
        <v>42.75</v>
      </c>
      <c r="AP10" s="67">
        <v>70.75</v>
      </c>
      <c r="AQ10" s="27">
        <f t="shared" si="6"/>
        <v>0.35458613330119781</v>
      </c>
    </row>
    <row r="11" spans="1:43" x14ac:dyDescent="0.25">
      <c r="A11" s="101" t="s">
        <v>408</v>
      </c>
      <c r="B11" t="s">
        <v>96</v>
      </c>
      <c r="C11" s="67">
        <v>8.85</v>
      </c>
      <c r="D11" s="67">
        <v>239</v>
      </c>
      <c r="E11" s="27">
        <f t="shared" si="0"/>
        <v>0.27985404803297975</v>
      </c>
      <c r="G11" s="101" t="s">
        <v>408</v>
      </c>
      <c r="H11" t="s">
        <v>96</v>
      </c>
      <c r="I11" s="67">
        <v>7.9249999999999998</v>
      </c>
      <c r="J11" s="67">
        <v>211.916666666666</v>
      </c>
      <c r="K11" s="27">
        <f t="shared" si="1"/>
        <v>0.27985404803297975</v>
      </c>
      <c r="M11" s="101" t="s">
        <v>423</v>
      </c>
      <c r="N11" t="s">
        <v>97</v>
      </c>
      <c r="O11" s="67">
        <v>9.3537313432835791</v>
      </c>
      <c r="P11" s="67">
        <v>219.32089552238801</v>
      </c>
      <c r="Q11" s="27">
        <f t="shared" si="2"/>
        <v>0.27985404803297975</v>
      </c>
      <c r="S11" t="s">
        <v>424</v>
      </c>
      <c r="T11" t="s">
        <v>97</v>
      </c>
      <c r="U11" s="67">
        <v>10.453846153846101</v>
      </c>
      <c r="V11" s="67">
        <v>245.184615384615</v>
      </c>
      <c r="W11" s="27">
        <f t="shared" si="3"/>
        <v>6.6840875143896417E-2</v>
      </c>
      <c r="Y11" t="s">
        <v>424</v>
      </c>
      <c r="Z11" t="s">
        <v>438</v>
      </c>
      <c r="AA11" s="67">
        <v>5</v>
      </c>
      <c r="AB11" s="67">
        <v>117</v>
      </c>
      <c r="AC11" s="27">
        <f t="shared" si="4"/>
        <v>6.6840875143896417E-2</v>
      </c>
      <c r="AE11" s="101" t="s">
        <v>424</v>
      </c>
      <c r="AF11">
        <v>250</v>
      </c>
      <c r="AG11" s="67">
        <v>22.2</v>
      </c>
      <c r="AH11" s="67">
        <v>224</v>
      </c>
      <c r="AI11" s="27">
        <f t="shared" si="5"/>
        <v>6.6840875143896417E-2</v>
      </c>
      <c r="AK11" t="s">
        <v>424</v>
      </c>
      <c r="AL11">
        <v>55</v>
      </c>
      <c r="AM11" s="67">
        <v>4.3636363636363598</v>
      </c>
      <c r="AN11" s="67">
        <v>10.272727272727201</v>
      </c>
      <c r="AO11" s="67">
        <v>148.90909090909</v>
      </c>
      <c r="AP11" s="67">
        <v>26</v>
      </c>
      <c r="AQ11" s="27">
        <f t="shared" si="6"/>
        <v>6.6840875143896417E-2</v>
      </c>
    </row>
    <row r="12" spans="1:43" x14ac:dyDescent="0.25">
      <c r="A12" s="101" t="s">
        <v>408</v>
      </c>
      <c r="B12" t="s">
        <v>223</v>
      </c>
      <c r="C12" s="67">
        <v>14.590909090908999</v>
      </c>
      <c r="D12" s="67">
        <v>233.363636363636</v>
      </c>
      <c r="E12" s="27">
        <f t="shared" si="0"/>
        <v>0.27985404803297975</v>
      </c>
      <c r="G12" s="101" t="s">
        <v>408</v>
      </c>
      <c r="H12" t="s">
        <v>223</v>
      </c>
      <c r="I12" s="67">
        <v>14.5026315789473</v>
      </c>
      <c r="J12" s="67">
        <v>231.894736842105</v>
      </c>
      <c r="K12" s="27">
        <f t="shared" si="1"/>
        <v>0.27985404803297975</v>
      </c>
      <c r="M12" s="101" t="s">
        <v>423</v>
      </c>
      <c r="N12" t="s">
        <v>438</v>
      </c>
      <c r="O12" s="67">
        <v>5.7666666666666604</v>
      </c>
      <c r="P12" s="67">
        <v>135.555555555555</v>
      </c>
      <c r="Q12" s="27">
        <f t="shared" si="2"/>
        <v>0.27985404803297975</v>
      </c>
      <c r="S12" t="s">
        <v>424</v>
      </c>
      <c r="T12" t="s">
        <v>438</v>
      </c>
      <c r="U12" s="67">
        <v>5</v>
      </c>
      <c r="V12" s="67">
        <v>117</v>
      </c>
      <c r="W12" s="27">
        <f t="shared" si="3"/>
        <v>6.6840875143896417E-2</v>
      </c>
      <c r="Y12" t="s">
        <v>425</v>
      </c>
      <c r="Z12" t="s">
        <v>97</v>
      </c>
      <c r="AA12" s="67">
        <v>8.1857142857142797</v>
      </c>
      <c r="AB12" s="67">
        <v>192</v>
      </c>
      <c r="AC12" s="27">
        <f t="shared" si="4"/>
        <v>2.4453669318906166E-2</v>
      </c>
      <c r="AE12" s="101" t="s">
        <v>424</v>
      </c>
      <c r="AF12">
        <v>500</v>
      </c>
      <c r="AG12" s="67">
        <v>21.651063829787201</v>
      </c>
      <c r="AH12" s="67">
        <v>409.93617021276498</v>
      </c>
      <c r="AI12" s="27">
        <f t="shared" si="5"/>
        <v>6.6840875143896417E-2</v>
      </c>
      <c r="AK12" t="s">
        <v>424</v>
      </c>
      <c r="AL12">
        <v>90</v>
      </c>
      <c r="AM12" s="67">
        <v>4.5999999999999996</v>
      </c>
      <c r="AN12" s="67">
        <v>10</v>
      </c>
      <c r="AO12" s="67">
        <v>67</v>
      </c>
      <c r="AP12" s="67">
        <v>90</v>
      </c>
      <c r="AQ12" s="27">
        <f t="shared" si="6"/>
        <v>6.6840875143896417E-2</v>
      </c>
    </row>
    <row r="13" spans="1:43" x14ac:dyDescent="0.25">
      <c r="A13" s="101" t="s">
        <v>408</v>
      </c>
      <c r="B13" t="s">
        <v>97</v>
      </c>
      <c r="C13" s="67">
        <v>11.2667903525046</v>
      </c>
      <c r="D13" s="67">
        <v>259.16697588126101</v>
      </c>
      <c r="E13" s="27">
        <f t="shared" si="0"/>
        <v>0.27985404803297975</v>
      </c>
      <c r="G13" s="101" t="s">
        <v>408</v>
      </c>
      <c r="H13" t="s">
        <v>97</v>
      </c>
      <c r="I13" s="67">
        <v>10.109682804674399</v>
      </c>
      <c r="J13" s="67">
        <v>232.626043405676</v>
      </c>
      <c r="K13" s="27">
        <f t="shared" si="1"/>
        <v>0.27985404803297975</v>
      </c>
      <c r="M13" s="101" t="s">
        <v>424</v>
      </c>
      <c r="N13" t="s">
        <v>223</v>
      </c>
      <c r="O13" s="67">
        <v>15.05</v>
      </c>
      <c r="P13" s="67">
        <v>249.625</v>
      </c>
      <c r="Q13" s="27">
        <f t="shared" si="2"/>
        <v>8.1399625924345104E-2</v>
      </c>
      <c r="S13" t="s">
        <v>425</v>
      </c>
      <c r="T13" t="s">
        <v>97</v>
      </c>
      <c r="U13" s="67">
        <v>8.1199999999999992</v>
      </c>
      <c r="V13" s="67">
        <v>190.72</v>
      </c>
      <c r="W13" s="27">
        <f t="shared" si="3"/>
        <v>2.4453669318906166E-2</v>
      </c>
      <c r="Y13" t="s">
        <v>426</v>
      </c>
      <c r="Z13" t="s">
        <v>97</v>
      </c>
      <c r="AA13" s="67">
        <v>10.9</v>
      </c>
      <c r="AB13" s="67">
        <v>258.142857142857</v>
      </c>
      <c r="AC13" s="27" t="e">
        <f t="shared" si="4"/>
        <v>#N/A</v>
      </c>
      <c r="AE13" s="101" t="s">
        <v>424</v>
      </c>
      <c r="AF13">
        <v>800</v>
      </c>
      <c r="AG13" s="67">
        <v>19.1108695652173</v>
      </c>
      <c r="AH13" s="67">
        <v>624.02173913043396</v>
      </c>
      <c r="AI13" s="27">
        <f t="shared" si="5"/>
        <v>6.6840875143896417E-2</v>
      </c>
      <c r="AK13" t="s">
        <v>425</v>
      </c>
      <c r="AL13">
        <v>55</v>
      </c>
      <c r="AM13" s="67">
        <v>2.5625</v>
      </c>
      <c r="AN13" s="67">
        <v>6.0749999999999904</v>
      </c>
      <c r="AO13" s="67">
        <v>68.5</v>
      </c>
      <c r="AP13" s="67">
        <v>41</v>
      </c>
      <c r="AQ13" s="27">
        <f t="shared" si="6"/>
        <v>2.4453669318906166E-2</v>
      </c>
    </row>
    <row r="14" spans="1:43" x14ac:dyDescent="0.25">
      <c r="A14" s="101" t="s">
        <v>408</v>
      </c>
      <c r="B14" t="s">
        <v>438</v>
      </c>
      <c r="C14" s="67">
        <v>7.8357142857142801</v>
      </c>
      <c r="D14" s="67">
        <v>180.28571428571399</v>
      </c>
      <c r="E14" s="27">
        <f t="shared" si="0"/>
        <v>0.27985404803297975</v>
      </c>
      <c r="G14" s="101" t="s">
        <v>408</v>
      </c>
      <c r="H14" t="s">
        <v>438</v>
      </c>
      <c r="I14" s="67">
        <v>6.5054054054053996</v>
      </c>
      <c r="J14" s="67">
        <v>149.62162162162099</v>
      </c>
      <c r="K14" s="27">
        <f t="shared" si="1"/>
        <v>0.27985404803297975</v>
      </c>
      <c r="M14" s="101" t="s">
        <v>424</v>
      </c>
      <c r="N14" t="s">
        <v>97</v>
      </c>
      <c r="O14" s="67">
        <v>10.446067415730299</v>
      </c>
      <c r="P14" s="67">
        <v>245.112359550561</v>
      </c>
      <c r="Q14" s="27">
        <f t="shared" si="2"/>
        <v>8.1399625924345104E-2</v>
      </c>
      <c r="S14" t="s">
        <v>426</v>
      </c>
      <c r="T14" t="s">
        <v>97</v>
      </c>
      <c r="U14" s="67">
        <v>10.799999999999899</v>
      </c>
      <c r="V14" s="67">
        <v>253.5</v>
      </c>
      <c r="W14" s="27" t="e">
        <f t="shared" si="3"/>
        <v>#N/A</v>
      </c>
      <c r="Y14" t="s">
        <v>427</v>
      </c>
      <c r="Z14" t="s">
        <v>97</v>
      </c>
      <c r="AA14" s="67">
        <v>12.13125</v>
      </c>
      <c r="AB14" s="67">
        <v>284.375</v>
      </c>
      <c r="AC14" s="27">
        <f>INDEX($I$56:$I$61,MATCH(Y14,$G$56:$G$61, 0))</f>
        <v>2.0672849126717584E-2</v>
      </c>
      <c r="AE14" s="101" t="s">
        <v>425</v>
      </c>
      <c r="AF14">
        <v>250</v>
      </c>
      <c r="AG14" s="67">
        <v>18.855555555555501</v>
      </c>
      <c r="AH14" s="67">
        <v>199.777777777777</v>
      </c>
      <c r="AI14" s="27">
        <f t="shared" si="5"/>
        <v>2.4453669318906166E-2</v>
      </c>
      <c r="AK14" t="s">
        <v>425</v>
      </c>
      <c r="AL14">
        <v>90</v>
      </c>
      <c r="AM14" s="67">
        <v>3</v>
      </c>
      <c r="AN14" s="67">
        <v>7.6</v>
      </c>
      <c r="AO14" s="67">
        <v>58</v>
      </c>
      <c r="AP14" s="67">
        <v>64</v>
      </c>
      <c r="AQ14" s="27">
        <f t="shared" si="6"/>
        <v>2.4453669318906166E-2</v>
      </c>
    </row>
    <row r="15" spans="1:43" x14ac:dyDescent="0.25">
      <c r="A15" s="101" t="s">
        <v>409</v>
      </c>
      <c r="B15" t="s">
        <v>223</v>
      </c>
      <c r="C15" s="67">
        <v>16.100000000000001</v>
      </c>
      <c r="D15" s="67">
        <v>257.73333333333301</v>
      </c>
      <c r="E15" s="27">
        <f t="shared" si="0"/>
        <v>8.1399625924345104E-2</v>
      </c>
      <c r="G15" s="101" t="s">
        <v>409</v>
      </c>
      <c r="H15" t="s">
        <v>96</v>
      </c>
      <c r="I15" s="67">
        <v>9.3333333333333304</v>
      </c>
      <c r="J15" s="67">
        <v>251.333333333333</v>
      </c>
      <c r="K15" s="27">
        <f t="shared" si="1"/>
        <v>8.1399625924345104E-2</v>
      </c>
      <c r="M15" s="101" t="s">
        <v>424</v>
      </c>
      <c r="N15" t="s">
        <v>438</v>
      </c>
      <c r="O15" s="67">
        <v>5.5</v>
      </c>
      <c r="P15" s="67">
        <v>128</v>
      </c>
      <c r="Q15" s="27">
        <f t="shared" si="2"/>
        <v>8.1399625924345104E-2</v>
      </c>
      <c r="S15" t="s">
        <v>427</v>
      </c>
      <c r="T15" t="s">
        <v>96</v>
      </c>
      <c r="U15" s="67">
        <v>10.7</v>
      </c>
      <c r="V15" s="67">
        <v>286.8</v>
      </c>
      <c r="W15" s="27">
        <f>INDEX($I$56:$I$61,MATCH(S15,$G$56:$G$61, 0))</f>
        <v>2.0672849126717584E-2</v>
      </c>
      <c r="Y15" t="s">
        <v>427</v>
      </c>
      <c r="Z15" t="s">
        <v>438</v>
      </c>
      <c r="AA15" s="67">
        <v>6.4</v>
      </c>
      <c r="AB15" s="67">
        <v>149</v>
      </c>
      <c r="AC15" s="27">
        <f t="shared" ref="AC15:AC27" si="7">INDEX($I$56:$I$61,MATCH(Y15,$G$56:$G$61, 0))</f>
        <v>2.0672849126717584E-2</v>
      </c>
      <c r="AE15" s="101" t="s">
        <v>425</v>
      </c>
      <c r="AF15">
        <v>500</v>
      </c>
      <c r="AG15" s="67">
        <v>19.425000000000001</v>
      </c>
      <c r="AH15" s="67">
        <v>406.375</v>
      </c>
      <c r="AI15" s="27">
        <f t="shared" si="5"/>
        <v>2.4453669318906166E-2</v>
      </c>
      <c r="AK15" t="s">
        <v>429</v>
      </c>
      <c r="AL15">
        <v>55</v>
      </c>
      <c r="AM15" s="67">
        <v>3.5315789473684198</v>
      </c>
      <c r="AN15" s="67">
        <v>8.60263157894736</v>
      </c>
      <c r="AO15" s="67">
        <v>103.973684210526</v>
      </c>
      <c r="AP15" s="67">
        <v>35.921052631578902</v>
      </c>
      <c r="AQ15" s="27">
        <f>INDEX($I$56:$I$61,MATCH(AK15,$G$56:$G$61, 0))</f>
        <v>0.56868624710569682</v>
      </c>
    </row>
    <row r="16" spans="1:43" x14ac:dyDescent="0.25">
      <c r="A16" s="101" t="s">
        <v>409</v>
      </c>
      <c r="B16" t="s">
        <v>97</v>
      </c>
      <c r="C16" s="67">
        <v>12.4788990825688</v>
      </c>
      <c r="D16" s="67">
        <v>287.03211009174299</v>
      </c>
      <c r="E16" s="27">
        <f t="shared" si="0"/>
        <v>8.1399625924345104E-2</v>
      </c>
      <c r="G16" s="100" t="s">
        <v>409</v>
      </c>
      <c r="H16" t="s">
        <v>223</v>
      </c>
      <c r="I16" s="67">
        <v>15.2631578947368</v>
      </c>
      <c r="J16" s="67">
        <v>244.13157894736801</v>
      </c>
      <c r="K16" s="27">
        <f t="shared" si="1"/>
        <v>8.1399625924345104E-2</v>
      </c>
      <c r="M16" s="101" t="s">
        <v>425</v>
      </c>
      <c r="N16" t="s">
        <v>96</v>
      </c>
      <c r="O16" s="67">
        <v>7</v>
      </c>
      <c r="P16" s="67">
        <v>184</v>
      </c>
      <c r="Q16" s="27">
        <f t="shared" si="2"/>
        <v>2.5732449154512678E-2</v>
      </c>
      <c r="S16" t="s">
        <v>427</v>
      </c>
      <c r="T16" t="s">
        <v>97</v>
      </c>
      <c r="U16" s="67">
        <v>11.8928571428571</v>
      </c>
      <c r="V16" s="67">
        <v>278.35714285714198</v>
      </c>
      <c r="W16" s="27">
        <f t="shared" ref="W16:W31" si="8">INDEX($I$56:$I$61,MATCH(S16,$G$56:$G$61, 0))</f>
        <v>2.0672849126717584E-2</v>
      </c>
      <c r="Y16" t="s">
        <v>428</v>
      </c>
      <c r="Z16" t="s">
        <v>96</v>
      </c>
      <c r="AA16" s="67">
        <v>9.8777777777777693</v>
      </c>
      <c r="AB16" s="67">
        <v>265.77777777777698</v>
      </c>
      <c r="AC16" s="27">
        <f t="shared" si="7"/>
        <v>0.23647015701501611</v>
      </c>
      <c r="AE16" s="101" t="s">
        <v>428</v>
      </c>
      <c r="AF16">
        <v>500</v>
      </c>
      <c r="AG16" s="67">
        <v>31.3333333333333</v>
      </c>
      <c r="AH16" s="67">
        <v>456</v>
      </c>
      <c r="AI16" s="27">
        <f t="shared" ref="AI16:AI21" si="9">INDEX($I$56:$I$61,MATCH(AE16,$G$56:$G$61, 0))</f>
        <v>0.23647015701501611</v>
      </c>
      <c r="AK16" t="s">
        <v>429</v>
      </c>
      <c r="AL16">
        <v>90</v>
      </c>
      <c r="AM16" s="67">
        <v>2.6454545454545402</v>
      </c>
      <c r="AN16" s="67">
        <v>6.5</v>
      </c>
      <c r="AO16" s="67">
        <v>52.454545454545404</v>
      </c>
      <c r="AP16" s="67">
        <v>62</v>
      </c>
      <c r="AQ16" s="27">
        <f t="shared" ref="AQ16:AQ19" si="10">INDEX($I$56:$I$61,MATCH(AK16,$G$56:$G$61, 0))</f>
        <v>0.56868624710569682</v>
      </c>
    </row>
    <row r="17" spans="1:43" x14ac:dyDescent="0.25">
      <c r="A17" s="101" t="s">
        <v>410</v>
      </c>
      <c r="B17" t="s">
        <v>96</v>
      </c>
      <c r="C17" s="67">
        <v>7.25</v>
      </c>
      <c r="D17" s="67">
        <v>195.333333333333</v>
      </c>
      <c r="E17" s="27">
        <f t="shared" si="0"/>
        <v>2.5732449154512678E-2</v>
      </c>
      <c r="G17" s="100" t="s">
        <v>409</v>
      </c>
      <c r="H17" t="s">
        <v>97</v>
      </c>
      <c r="I17" s="67">
        <v>11.944128113879</v>
      </c>
      <c r="J17" s="67">
        <v>274.78291814946601</v>
      </c>
      <c r="K17" s="27">
        <f t="shared" si="1"/>
        <v>8.1399625924345104E-2</v>
      </c>
      <c r="M17" s="101" t="s">
        <v>425</v>
      </c>
      <c r="N17" t="s">
        <v>97</v>
      </c>
      <c r="O17" s="67">
        <v>8.2894736842105203</v>
      </c>
      <c r="P17" s="67">
        <v>194.447368421052</v>
      </c>
      <c r="Q17" s="27">
        <f t="shared" si="2"/>
        <v>2.5732449154512678E-2</v>
      </c>
      <c r="S17" t="s">
        <v>428</v>
      </c>
      <c r="T17" t="s">
        <v>96</v>
      </c>
      <c r="U17" s="67">
        <v>9.6636363636363605</v>
      </c>
      <c r="V17" s="67">
        <v>259.636363636363</v>
      </c>
      <c r="W17" s="27">
        <f t="shared" si="8"/>
        <v>0.23647015701501611</v>
      </c>
      <c r="Y17" t="s">
        <v>428</v>
      </c>
      <c r="Z17" t="s">
        <v>223</v>
      </c>
      <c r="AA17" s="67">
        <v>17.486666666666601</v>
      </c>
      <c r="AB17" s="67">
        <v>287.2</v>
      </c>
      <c r="AC17" s="27">
        <f t="shared" si="7"/>
        <v>0.23647015701501611</v>
      </c>
      <c r="AE17" s="101" t="s">
        <v>428</v>
      </c>
      <c r="AF17">
        <v>800</v>
      </c>
      <c r="AG17" s="67">
        <v>28.4</v>
      </c>
      <c r="AH17" s="67">
        <v>536.625</v>
      </c>
      <c r="AI17" s="27">
        <f t="shared" si="9"/>
        <v>0.23647015701501611</v>
      </c>
      <c r="AK17" t="s">
        <v>430</v>
      </c>
      <c r="AL17">
        <v>55</v>
      </c>
      <c r="AM17" s="67">
        <v>4.6457142857142797</v>
      </c>
      <c r="AN17" s="67">
        <v>10.7657142857142</v>
      </c>
      <c r="AO17" s="67">
        <v>144.085714285714</v>
      </c>
      <c r="AP17" s="67">
        <v>30.542857142857098</v>
      </c>
      <c r="AQ17" s="27">
        <f t="shared" si="10"/>
        <v>0.1224010870958033</v>
      </c>
    </row>
    <row r="18" spans="1:43" x14ac:dyDescent="0.25">
      <c r="A18" s="101" t="s">
        <v>410</v>
      </c>
      <c r="B18" t="s">
        <v>97</v>
      </c>
      <c r="C18" s="67">
        <v>10.5819672131147</v>
      </c>
      <c r="D18" s="67">
        <v>243.42213114754099</v>
      </c>
      <c r="E18" s="27">
        <f t="shared" si="0"/>
        <v>2.5732449154512678E-2</v>
      </c>
      <c r="G18" s="101" t="s">
        <v>409</v>
      </c>
      <c r="H18" t="s">
        <v>438</v>
      </c>
      <c r="I18" s="67">
        <v>9.7583333333333293</v>
      </c>
      <c r="J18" s="67">
        <v>224.5</v>
      </c>
      <c r="K18" s="27">
        <f t="shared" si="1"/>
        <v>8.1399625924345104E-2</v>
      </c>
      <c r="M18" s="101" t="s">
        <v>426</v>
      </c>
      <c r="N18" t="s">
        <v>97</v>
      </c>
      <c r="O18" s="67">
        <v>9.7099999999999902</v>
      </c>
      <c r="P18" s="67">
        <v>227.1</v>
      </c>
      <c r="Q18" s="27" t="e">
        <f t="shared" si="2"/>
        <v>#N/A</v>
      </c>
      <c r="S18" t="s">
        <v>428</v>
      </c>
      <c r="T18" t="s">
        <v>223</v>
      </c>
      <c r="U18" s="67">
        <v>18.079999999999998</v>
      </c>
      <c r="V18" s="67">
        <v>301.2</v>
      </c>
      <c r="W18" s="27">
        <f t="shared" si="8"/>
        <v>0.23647015701501611</v>
      </c>
      <c r="Y18" t="s">
        <v>428</v>
      </c>
      <c r="Z18" t="s">
        <v>97</v>
      </c>
      <c r="AA18" s="67">
        <v>12.829032258064499</v>
      </c>
      <c r="AB18" s="67">
        <v>301.40322580645102</v>
      </c>
      <c r="AC18" s="27">
        <f t="shared" si="7"/>
        <v>0.23647015701501611</v>
      </c>
      <c r="AE18" s="101" t="s">
        <v>429</v>
      </c>
      <c r="AF18">
        <v>500</v>
      </c>
      <c r="AG18" s="67">
        <v>22.0474576271186</v>
      </c>
      <c r="AH18" s="67">
        <v>404.23728813559302</v>
      </c>
      <c r="AI18" s="27">
        <f t="shared" si="9"/>
        <v>0.56868624710569682</v>
      </c>
      <c r="AK18" t="s">
        <v>430</v>
      </c>
      <c r="AL18">
        <v>90</v>
      </c>
      <c r="AM18" s="67">
        <v>3.5</v>
      </c>
      <c r="AN18" s="67">
        <v>8.9499999999999993</v>
      </c>
      <c r="AO18" s="67">
        <v>74</v>
      </c>
      <c r="AP18" s="67">
        <v>59.5</v>
      </c>
      <c r="AQ18" s="27">
        <f t="shared" si="10"/>
        <v>0.1224010870958033</v>
      </c>
    </row>
    <row r="19" spans="1:43" x14ac:dyDescent="0.25">
      <c r="A19" s="101" t="s">
        <v>411</v>
      </c>
      <c r="B19" t="s">
        <v>96</v>
      </c>
      <c r="C19" s="67">
        <v>8.6</v>
      </c>
      <c r="D19" s="67">
        <v>232</v>
      </c>
      <c r="E19" s="27" t="e">
        <f t="shared" si="0"/>
        <v>#N/A</v>
      </c>
      <c r="G19" s="101" t="s">
        <v>410</v>
      </c>
      <c r="H19" t="s">
        <v>96</v>
      </c>
      <c r="I19" s="67">
        <v>7.3199999999999896</v>
      </c>
      <c r="J19" s="67">
        <v>196.2</v>
      </c>
      <c r="K19" s="27">
        <f t="shared" si="1"/>
        <v>2.5732449154512678E-2</v>
      </c>
      <c r="M19" s="101" t="s">
        <v>427</v>
      </c>
      <c r="N19" t="s">
        <v>96</v>
      </c>
      <c r="O19" s="67">
        <v>10.34</v>
      </c>
      <c r="P19" s="67">
        <v>277.39999999999998</v>
      </c>
      <c r="Q19" s="27">
        <f>INDEX($H$56:$H$61,MATCH(M19,$G$56:$G$61, 0))</f>
        <v>2.1325397463433791E-2</v>
      </c>
      <c r="S19" t="s">
        <v>428</v>
      </c>
      <c r="T19" t="s">
        <v>97</v>
      </c>
      <c r="U19" s="67">
        <v>12.9230769230769</v>
      </c>
      <c r="V19" s="67">
        <v>303.35384615384601</v>
      </c>
      <c r="W19" s="27">
        <f t="shared" si="8"/>
        <v>0.23647015701501611</v>
      </c>
      <c r="Y19" t="s">
        <v>428</v>
      </c>
      <c r="Z19" t="s">
        <v>438</v>
      </c>
      <c r="AA19" s="67">
        <v>11.125</v>
      </c>
      <c r="AB19" s="67">
        <v>260.5</v>
      </c>
      <c r="AC19" s="27">
        <f t="shared" si="7"/>
        <v>0.23647015701501611</v>
      </c>
      <c r="AE19" s="101" t="s">
        <v>429</v>
      </c>
      <c r="AF19">
        <v>800</v>
      </c>
      <c r="AG19" s="67">
        <v>19.177777777777699</v>
      </c>
      <c r="AH19" s="67">
        <v>512.66666666666595</v>
      </c>
      <c r="AI19" s="27">
        <f t="shared" si="9"/>
        <v>0.56868624710569682</v>
      </c>
      <c r="AK19" t="s">
        <v>431</v>
      </c>
      <c r="AL19">
        <v>55</v>
      </c>
      <c r="AM19" s="67">
        <v>2.8714285714285701</v>
      </c>
      <c r="AN19" s="67">
        <v>7.8</v>
      </c>
      <c r="AO19" s="67">
        <v>71.714285714285694</v>
      </c>
      <c r="AP19" s="67">
        <v>51.571428571428498</v>
      </c>
      <c r="AQ19" s="27">
        <f t="shared" si="10"/>
        <v>2.506757099051473E-2</v>
      </c>
    </row>
    <row r="20" spans="1:43" ht="14.45" customHeight="1" x14ac:dyDescent="0.25">
      <c r="A20" s="101" t="s">
        <v>411</v>
      </c>
      <c r="B20" t="s">
        <v>223</v>
      </c>
      <c r="C20" s="67">
        <v>16.2</v>
      </c>
      <c r="D20" s="67">
        <v>259</v>
      </c>
      <c r="E20" s="27" t="e">
        <f t="shared" si="0"/>
        <v>#N/A</v>
      </c>
      <c r="G20" s="101" t="s">
        <v>410</v>
      </c>
      <c r="H20" t="s">
        <v>97</v>
      </c>
      <c r="I20" s="67">
        <v>9.6362068965517196</v>
      </c>
      <c r="J20" s="67">
        <v>221.702586206896</v>
      </c>
      <c r="K20" s="27">
        <f t="shared" si="1"/>
        <v>2.5732449154512678E-2</v>
      </c>
      <c r="M20" s="101" t="s">
        <v>427</v>
      </c>
      <c r="N20" t="s">
        <v>97</v>
      </c>
      <c r="O20" s="67">
        <v>11.9727272727272</v>
      </c>
      <c r="P20" s="67">
        <v>281.04545454545399</v>
      </c>
      <c r="Q20" s="27">
        <f t="shared" ref="Q20:Q36" si="11">INDEX($H$56:$H$61,MATCH(M20,$G$56:$G$61, 0))</f>
        <v>2.1325397463433791E-2</v>
      </c>
      <c r="S20" t="s">
        <v>429</v>
      </c>
      <c r="T20" t="s">
        <v>96</v>
      </c>
      <c r="U20" s="67">
        <v>9.5</v>
      </c>
      <c r="V20" s="67">
        <v>255</v>
      </c>
      <c r="W20" s="27">
        <f t="shared" si="8"/>
        <v>0.56868624710569682</v>
      </c>
      <c r="Y20" t="s">
        <v>429</v>
      </c>
      <c r="Z20" t="s">
        <v>96</v>
      </c>
      <c r="AA20" s="67">
        <v>9.85</v>
      </c>
      <c r="AB20" s="67">
        <v>265</v>
      </c>
      <c r="AC20" s="27">
        <f t="shared" si="7"/>
        <v>0.56868624710569682</v>
      </c>
      <c r="AE20" s="101" t="s">
        <v>430</v>
      </c>
      <c r="AF20">
        <v>500</v>
      </c>
      <c r="AG20" s="67">
        <v>25.5461538461538</v>
      </c>
      <c r="AH20" s="67">
        <v>417.53846153846098</v>
      </c>
      <c r="AI20" s="27">
        <f t="shared" si="9"/>
        <v>0.1224010870958033</v>
      </c>
      <c r="AK20" s="912" t="s">
        <v>1727</v>
      </c>
      <c r="AL20" s="912"/>
      <c r="AM20" s="912"/>
      <c r="AN20" s="912"/>
      <c r="AO20" s="912"/>
      <c r="AP20" s="912"/>
      <c r="AQ20" s="912"/>
    </row>
    <row r="21" spans="1:43" x14ac:dyDescent="0.25">
      <c r="A21" s="101" t="s">
        <v>411</v>
      </c>
      <c r="B21" t="s">
        <v>97</v>
      </c>
      <c r="C21" s="67">
        <v>11.546456692913299</v>
      </c>
      <c r="D21" s="67">
        <v>265.62992125984198</v>
      </c>
      <c r="E21" s="27" t="e">
        <f t="shared" si="0"/>
        <v>#N/A</v>
      </c>
      <c r="G21" s="101" t="s">
        <v>411</v>
      </c>
      <c r="H21" t="s">
        <v>97</v>
      </c>
      <c r="I21" s="67">
        <v>10.7814814814814</v>
      </c>
      <c r="J21" s="67">
        <v>248.03703703703701</v>
      </c>
      <c r="K21" s="27" t="e">
        <f t="shared" si="1"/>
        <v>#N/A</v>
      </c>
      <c r="M21" s="101" t="s">
        <v>428</v>
      </c>
      <c r="N21" t="s">
        <v>96</v>
      </c>
      <c r="O21" s="67">
        <v>10.242857142857099</v>
      </c>
      <c r="P21" s="67">
        <v>275</v>
      </c>
      <c r="Q21" s="27">
        <f t="shared" si="11"/>
        <v>0.25696837153644597</v>
      </c>
      <c r="S21" t="s">
        <v>429</v>
      </c>
      <c r="T21" t="s">
        <v>97</v>
      </c>
      <c r="U21" s="67">
        <v>10.078688524590101</v>
      </c>
      <c r="V21" s="67">
        <v>236.07650273223999</v>
      </c>
      <c r="W21" s="27">
        <f t="shared" si="8"/>
        <v>0.56868624710569682</v>
      </c>
      <c r="Y21" t="s">
        <v>429</v>
      </c>
      <c r="Z21" t="s">
        <v>97</v>
      </c>
      <c r="AA21" s="67">
        <v>9.8994535519125595</v>
      </c>
      <c r="AB21" s="67">
        <v>232.032786885245</v>
      </c>
      <c r="AC21" s="27">
        <f t="shared" si="7"/>
        <v>0.56868624710569682</v>
      </c>
      <c r="AE21" s="101" t="s">
        <v>430</v>
      </c>
      <c r="AF21">
        <v>800</v>
      </c>
      <c r="AG21" s="67">
        <v>23.7523809523809</v>
      </c>
      <c r="AH21" s="67">
        <v>543.33333333333303</v>
      </c>
      <c r="AI21" s="27">
        <f t="shared" si="9"/>
        <v>0.1224010870958033</v>
      </c>
      <c r="AK21" s="912"/>
      <c r="AL21" s="912"/>
      <c r="AM21" s="912"/>
      <c r="AN21" s="912"/>
      <c r="AO21" s="912"/>
      <c r="AP21" s="912"/>
      <c r="AQ21" s="912"/>
    </row>
    <row r="22" spans="1:43" ht="17.100000000000001" customHeight="1" x14ac:dyDescent="0.25">
      <c r="A22" s="101" t="s">
        <v>412</v>
      </c>
      <c r="B22" t="s">
        <v>97</v>
      </c>
      <c r="C22" s="67">
        <v>13.040540540540499</v>
      </c>
      <c r="D22" s="67">
        <v>300</v>
      </c>
      <c r="E22" s="27">
        <f>INDEX($F$56:$F$60,MATCH(A22,$E$56:$E$60, 0))</f>
        <v>2.1325397463433791E-2</v>
      </c>
      <c r="G22" s="101" t="s">
        <v>412</v>
      </c>
      <c r="H22" t="s">
        <v>97</v>
      </c>
      <c r="I22" s="67">
        <v>12.7581395348837</v>
      </c>
      <c r="J22" s="67">
        <v>293.47093023255798</v>
      </c>
      <c r="K22" s="27">
        <f>INDEX($H$56:$H$61,MATCH(G22,$J$56:$J$61, 0))</f>
        <v>2.1325397463433791E-2</v>
      </c>
      <c r="M22" s="101" t="s">
        <v>428</v>
      </c>
      <c r="N22" t="s">
        <v>223</v>
      </c>
      <c r="O22" s="67">
        <v>17.25</v>
      </c>
      <c r="P22" s="67">
        <v>286.85000000000002</v>
      </c>
      <c r="Q22" s="27">
        <f t="shared" si="11"/>
        <v>0.25696837153644597</v>
      </c>
      <c r="S22" t="s">
        <v>429</v>
      </c>
      <c r="T22" t="s">
        <v>438</v>
      </c>
      <c r="U22" s="67">
        <v>6.6749999999999998</v>
      </c>
      <c r="V22" s="67">
        <v>156</v>
      </c>
      <c r="W22" s="27">
        <f t="shared" si="8"/>
        <v>0.56868624710569682</v>
      </c>
      <c r="Y22" t="s">
        <v>429</v>
      </c>
      <c r="Z22" t="s">
        <v>438</v>
      </c>
      <c r="AA22" s="67">
        <v>6.2888888888888799</v>
      </c>
      <c r="AB22" s="67">
        <v>148</v>
      </c>
      <c r="AC22" s="27">
        <f t="shared" si="7"/>
        <v>0.56868624710569682</v>
      </c>
      <c r="AI22" s="27"/>
      <c r="AK22" s="912"/>
      <c r="AL22" s="912"/>
      <c r="AM22" s="912"/>
      <c r="AN22" s="912"/>
      <c r="AO22" s="912"/>
      <c r="AP22" s="912"/>
      <c r="AQ22" s="912"/>
    </row>
    <row r="23" spans="1:43" x14ac:dyDescent="0.25">
      <c r="A23" s="101" t="s">
        <v>413</v>
      </c>
      <c r="B23" t="s">
        <v>223</v>
      </c>
      <c r="C23" s="67">
        <v>20.692063492063401</v>
      </c>
      <c r="D23" s="67">
        <v>331.06349206349199</v>
      </c>
      <c r="E23" s="27">
        <f t="shared" ref="E23:E35" si="12">INDEX($F$56:$F$60,MATCH(A23,$E$56:$E$60, 0))</f>
        <v>0.25696837153644597</v>
      </c>
      <c r="G23" s="101" t="s">
        <v>413</v>
      </c>
      <c r="H23" t="s">
        <v>96</v>
      </c>
      <c r="I23" s="67">
        <v>10.399999999999901</v>
      </c>
      <c r="J23" s="67">
        <v>280.5</v>
      </c>
      <c r="K23" s="27">
        <f t="shared" ref="K23:K41" si="13">INDEX($H$56:$H$61,MATCH(G23,$J$56:$J$61, 0))</f>
        <v>0.25696837153644597</v>
      </c>
      <c r="M23" s="101" t="s">
        <v>428</v>
      </c>
      <c r="N23" t="s">
        <v>97</v>
      </c>
      <c r="O23" s="67">
        <v>12.8469696969696</v>
      </c>
      <c r="P23" s="67">
        <v>301.39393939393898</v>
      </c>
      <c r="Q23" s="27">
        <f t="shared" si="11"/>
        <v>0.25696837153644597</v>
      </c>
      <c r="S23" t="s">
        <v>430</v>
      </c>
      <c r="T23" t="s">
        <v>96</v>
      </c>
      <c r="U23" s="67">
        <v>9.86666666666666</v>
      </c>
      <c r="V23" s="67">
        <v>263.666666666666</v>
      </c>
      <c r="W23" s="27">
        <f t="shared" si="8"/>
        <v>0.1224010870958033</v>
      </c>
      <c r="Y23" t="s">
        <v>430</v>
      </c>
      <c r="Z23" t="s">
        <v>96</v>
      </c>
      <c r="AA23" s="67">
        <v>10.3</v>
      </c>
      <c r="AB23" s="67">
        <v>276.222222222222</v>
      </c>
      <c r="AC23" s="27">
        <f t="shared" si="7"/>
        <v>0.1224010870958033</v>
      </c>
      <c r="AI23" s="27"/>
      <c r="AK23" t="s">
        <v>1234</v>
      </c>
      <c r="AL23" s="192"/>
      <c r="AM23" s="192"/>
      <c r="AN23" s="192"/>
      <c r="AO23" s="192"/>
      <c r="AP23" s="192"/>
    </row>
    <row r="24" spans="1:43" x14ac:dyDescent="0.25">
      <c r="A24" s="101" t="s">
        <v>413</v>
      </c>
      <c r="B24" t="s">
        <v>97</v>
      </c>
      <c r="C24" s="67">
        <v>14.7417004048583</v>
      </c>
      <c r="D24" s="67">
        <v>339.08502024291499</v>
      </c>
      <c r="E24" s="27">
        <f t="shared" si="12"/>
        <v>0.25696837153644597</v>
      </c>
      <c r="G24" s="101" t="s">
        <v>413</v>
      </c>
      <c r="H24" t="s">
        <v>223</v>
      </c>
      <c r="I24" s="67">
        <v>19.051886792452802</v>
      </c>
      <c r="J24" s="67">
        <v>304.81132075471697</v>
      </c>
      <c r="K24" s="27">
        <f t="shared" si="13"/>
        <v>0.25696837153644597</v>
      </c>
      <c r="M24" s="101" t="s">
        <v>429</v>
      </c>
      <c r="N24" t="s">
        <v>96</v>
      </c>
      <c r="O24" s="67">
        <v>7.7</v>
      </c>
      <c r="P24" s="67">
        <v>206.5</v>
      </c>
      <c r="Q24" s="27">
        <f t="shared" si="11"/>
        <v>0.52796277179654827</v>
      </c>
      <c r="S24" t="s">
        <v>430</v>
      </c>
      <c r="T24" t="s">
        <v>223</v>
      </c>
      <c r="U24" s="67">
        <v>18.324999999999999</v>
      </c>
      <c r="V24" s="67">
        <v>305</v>
      </c>
      <c r="W24" s="27">
        <f t="shared" si="8"/>
        <v>0.1224010870958033</v>
      </c>
      <c r="Y24" t="s">
        <v>430</v>
      </c>
      <c r="Z24" t="s">
        <v>97</v>
      </c>
      <c r="AA24" s="67">
        <v>12.9991150442477</v>
      </c>
      <c r="AB24" s="67">
        <v>304.36283185840699</v>
      </c>
      <c r="AC24" s="27">
        <f t="shared" si="7"/>
        <v>0.1224010870958033</v>
      </c>
      <c r="AI24" s="27"/>
      <c r="AK24" t="s">
        <v>1194</v>
      </c>
    </row>
    <row r="25" spans="1:43" x14ac:dyDescent="0.25">
      <c r="A25" s="101" t="s">
        <v>413</v>
      </c>
      <c r="B25" t="s">
        <v>438</v>
      </c>
      <c r="C25" s="67">
        <v>13.4625</v>
      </c>
      <c r="D25" s="67">
        <v>309.625</v>
      </c>
      <c r="E25" s="27">
        <f t="shared" si="12"/>
        <v>0.25696837153644597</v>
      </c>
      <c r="G25" s="101" t="s">
        <v>413</v>
      </c>
      <c r="H25" t="s">
        <v>97</v>
      </c>
      <c r="I25" s="67">
        <v>14.2696078431372</v>
      </c>
      <c r="J25" s="67">
        <v>328.225490196078</v>
      </c>
      <c r="K25" s="27">
        <f t="shared" si="13"/>
        <v>0.25696837153644597</v>
      </c>
      <c r="M25" s="101" t="s">
        <v>429</v>
      </c>
      <c r="N25" t="s">
        <v>223</v>
      </c>
      <c r="O25" s="67">
        <v>13.9</v>
      </c>
      <c r="P25" s="67">
        <v>229.6</v>
      </c>
      <c r="Q25" s="27">
        <f t="shared" si="11"/>
        <v>0.52796277179654827</v>
      </c>
      <c r="S25" t="s">
        <v>430</v>
      </c>
      <c r="T25" t="s">
        <v>97</v>
      </c>
      <c r="U25" s="67">
        <v>12.9363636363636</v>
      </c>
      <c r="V25" s="67">
        <v>302.87878787878702</v>
      </c>
      <c r="W25" s="27">
        <f t="shared" si="8"/>
        <v>0.1224010870958033</v>
      </c>
      <c r="Y25" t="s">
        <v>430</v>
      </c>
      <c r="Z25" t="s">
        <v>438</v>
      </c>
      <c r="AA25" s="67">
        <v>7.6666666666666599</v>
      </c>
      <c r="AB25" s="67">
        <v>179.666666666666</v>
      </c>
      <c r="AC25" s="27">
        <f t="shared" si="7"/>
        <v>0.1224010870958033</v>
      </c>
      <c r="AI25" s="27"/>
      <c r="AK25" t="s">
        <v>1233</v>
      </c>
    </row>
    <row r="26" spans="1:43" x14ac:dyDescent="0.25">
      <c r="A26" t="s">
        <v>227</v>
      </c>
      <c r="B26" t="s">
        <v>96</v>
      </c>
      <c r="C26" s="67">
        <v>11.5428571428571</v>
      </c>
      <c r="D26" s="67">
        <v>311.57142857142799</v>
      </c>
      <c r="E26" s="27">
        <f t="shared" si="12"/>
        <v>0.63737575599334384</v>
      </c>
      <c r="G26" s="101" t="s">
        <v>413</v>
      </c>
      <c r="H26" t="s">
        <v>438</v>
      </c>
      <c r="I26" s="67">
        <v>10.875</v>
      </c>
      <c r="J26" s="67">
        <v>250.125</v>
      </c>
      <c r="K26" s="27">
        <f t="shared" si="13"/>
        <v>0.25696837153644597</v>
      </c>
      <c r="M26" s="101" t="s">
        <v>429</v>
      </c>
      <c r="N26" t="s">
        <v>97</v>
      </c>
      <c r="O26" s="67">
        <v>10.1548780487804</v>
      </c>
      <c r="P26" s="67">
        <v>238.04878048780401</v>
      </c>
      <c r="Q26" s="27">
        <f t="shared" si="11"/>
        <v>0.52796277179654827</v>
      </c>
      <c r="S26" t="s">
        <v>430</v>
      </c>
      <c r="T26" t="s">
        <v>438</v>
      </c>
      <c r="U26" s="67">
        <v>7.6666666666666599</v>
      </c>
      <c r="V26" s="67">
        <v>179.666666666666</v>
      </c>
      <c r="W26" s="27">
        <f t="shared" si="8"/>
        <v>0.1224010870958033</v>
      </c>
      <c r="Y26" t="s">
        <v>431</v>
      </c>
      <c r="Z26" t="s">
        <v>97</v>
      </c>
      <c r="AA26" s="67">
        <v>9.6714285714285708</v>
      </c>
      <c r="AB26" s="67">
        <v>227</v>
      </c>
      <c r="AC26" s="27">
        <f t="shared" si="7"/>
        <v>2.506757099051473E-2</v>
      </c>
    </row>
    <row r="27" spans="1:43" x14ac:dyDescent="0.25">
      <c r="A27" t="s">
        <v>227</v>
      </c>
      <c r="B27" t="s">
        <v>223</v>
      </c>
      <c r="C27" s="67">
        <v>20.0031746031746</v>
      </c>
      <c r="D27" s="67">
        <v>320.01587301587301</v>
      </c>
      <c r="E27" s="27">
        <f t="shared" si="12"/>
        <v>0.63737575599334384</v>
      </c>
      <c r="G27" s="101" t="s">
        <v>417</v>
      </c>
      <c r="H27" t="s">
        <v>96</v>
      </c>
      <c r="I27" s="67">
        <v>8.75</v>
      </c>
      <c r="J27" s="67">
        <v>237</v>
      </c>
      <c r="K27" s="27">
        <f t="shared" si="13"/>
        <v>0.52796277179654827</v>
      </c>
      <c r="M27" s="101" t="s">
        <v>429</v>
      </c>
      <c r="N27" t="s">
        <v>438</v>
      </c>
      <c r="O27" s="67">
        <v>8.15</v>
      </c>
      <c r="P27" s="67">
        <v>190.5</v>
      </c>
      <c r="Q27" s="27">
        <f t="shared" si="11"/>
        <v>0.52796277179654827</v>
      </c>
      <c r="S27" t="s">
        <v>431</v>
      </c>
      <c r="T27" t="s">
        <v>97</v>
      </c>
      <c r="U27" s="67">
        <v>11.2</v>
      </c>
      <c r="V27" s="67">
        <v>262.75</v>
      </c>
      <c r="W27" s="27">
        <f t="shared" si="8"/>
        <v>2.506757099051473E-2</v>
      </c>
      <c r="Y27" t="s">
        <v>433</v>
      </c>
      <c r="Z27" t="s">
        <v>97</v>
      </c>
      <c r="AA27" s="67">
        <v>10.82</v>
      </c>
      <c r="AB27" s="67">
        <v>252.8</v>
      </c>
      <c r="AC27" s="27" t="e">
        <f t="shared" si="7"/>
        <v>#N/A</v>
      </c>
    </row>
    <row r="28" spans="1:43" x14ac:dyDescent="0.25">
      <c r="A28" t="s">
        <v>227</v>
      </c>
      <c r="B28" t="s">
        <v>97</v>
      </c>
      <c r="C28" s="67">
        <v>13.4714285714285</v>
      </c>
      <c r="D28" s="67">
        <v>309.89652014652</v>
      </c>
      <c r="E28" s="27">
        <f t="shared" si="12"/>
        <v>0.63737575599334384</v>
      </c>
      <c r="G28" s="101" t="s">
        <v>417</v>
      </c>
      <c r="H28" t="s">
        <v>223</v>
      </c>
      <c r="I28" s="67">
        <v>16.54</v>
      </c>
      <c r="J28" s="67">
        <v>264.60000000000002</v>
      </c>
      <c r="K28" s="27">
        <f t="shared" si="13"/>
        <v>0.52796277179654827</v>
      </c>
      <c r="M28" s="101" t="s">
        <v>430</v>
      </c>
      <c r="N28" t="s">
        <v>96</v>
      </c>
      <c r="O28" s="67">
        <v>9.65</v>
      </c>
      <c r="P28" s="67">
        <v>257</v>
      </c>
      <c r="Q28" s="27">
        <f t="shared" si="11"/>
        <v>0.10941298419679553</v>
      </c>
      <c r="S28" t="s">
        <v>432</v>
      </c>
      <c r="T28" t="s">
        <v>223</v>
      </c>
      <c r="U28" s="67">
        <v>19.45</v>
      </c>
      <c r="V28" s="67">
        <v>322</v>
      </c>
      <c r="W28" s="27">
        <f t="shared" si="8"/>
        <v>2.6702088666251456E-2</v>
      </c>
    </row>
    <row r="29" spans="1:43" x14ac:dyDescent="0.25">
      <c r="A29" t="s">
        <v>227</v>
      </c>
      <c r="B29" t="s">
        <v>438</v>
      </c>
      <c r="C29" s="67">
        <v>9.4730769230769205</v>
      </c>
      <c r="D29" s="67">
        <v>217.923076923076</v>
      </c>
      <c r="E29" s="27">
        <f t="shared" si="12"/>
        <v>0.63737575599334384</v>
      </c>
      <c r="G29" s="101" t="s">
        <v>417</v>
      </c>
      <c r="H29" t="s">
        <v>97</v>
      </c>
      <c r="I29" s="67">
        <v>10.574999999999999</v>
      </c>
      <c r="J29" s="67">
        <v>243.23571428571401</v>
      </c>
      <c r="K29" s="27">
        <f t="shared" si="13"/>
        <v>0.52796277179654827</v>
      </c>
      <c r="M29" s="101" t="s">
        <v>430</v>
      </c>
      <c r="N29" t="s">
        <v>223</v>
      </c>
      <c r="O29" s="67">
        <v>17.690000000000001</v>
      </c>
      <c r="P29" s="67">
        <v>293.7</v>
      </c>
      <c r="Q29" s="27">
        <f t="shared" si="11"/>
        <v>0.10941298419679553</v>
      </c>
      <c r="S29" t="s">
        <v>432</v>
      </c>
      <c r="T29" t="s">
        <v>97</v>
      </c>
      <c r="U29" s="67">
        <v>14.75</v>
      </c>
      <c r="V29" s="67">
        <v>346</v>
      </c>
      <c r="W29" s="27">
        <f t="shared" si="8"/>
        <v>2.6702088666251456E-2</v>
      </c>
    </row>
    <row r="30" spans="1:43" ht="14.45" customHeight="1" x14ac:dyDescent="0.25">
      <c r="A30" t="s">
        <v>414</v>
      </c>
      <c r="B30" t="s">
        <v>223</v>
      </c>
      <c r="C30" s="67">
        <v>17.3681818181818</v>
      </c>
      <c r="D30" s="67">
        <v>277.86363636363598</v>
      </c>
      <c r="E30" s="27">
        <f t="shared" si="12"/>
        <v>5.0561290152753166E-2</v>
      </c>
      <c r="G30" s="101" t="s">
        <v>417</v>
      </c>
      <c r="H30" t="s">
        <v>438</v>
      </c>
      <c r="I30" s="67">
        <v>8.6666666666666607</v>
      </c>
      <c r="J30" s="67">
        <v>199.333333333333</v>
      </c>
      <c r="K30" s="27">
        <f t="shared" si="13"/>
        <v>0.52796277179654827</v>
      </c>
      <c r="M30" t="s">
        <v>430</v>
      </c>
      <c r="N30" t="s">
        <v>97</v>
      </c>
      <c r="O30" s="67">
        <v>12.870370370370299</v>
      </c>
      <c r="P30" s="67">
        <v>301.72839506172801</v>
      </c>
      <c r="Q30" s="27">
        <f t="shared" si="11"/>
        <v>0.10941298419679553</v>
      </c>
      <c r="S30" t="s">
        <v>433</v>
      </c>
      <c r="T30" t="s">
        <v>223</v>
      </c>
      <c r="U30" s="67">
        <v>12.55</v>
      </c>
      <c r="V30" s="67">
        <v>208.5</v>
      </c>
      <c r="W30" s="27" t="e">
        <f t="shared" si="8"/>
        <v>#N/A</v>
      </c>
    </row>
    <row r="31" spans="1:43" x14ac:dyDescent="0.25">
      <c r="A31" t="s">
        <v>414</v>
      </c>
      <c r="B31" t="s">
        <v>97</v>
      </c>
      <c r="C31" s="67">
        <v>12.4449152542372</v>
      </c>
      <c r="D31" s="67">
        <v>286.31355932203297</v>
      </c>
      <c r="E31" s="27">
        <f t="shared" si="12"/>
        <v>5.0561290152753166E-2</v>
      </c>
      <c r="G31" s="101" t="s">
        <v>418</v>
      </c>
      <c r="H31" t="s">
        <v>96</v>
      </c>
      <c r="I31" s="67">
        <v>10.6076923076923</v>
      </c>
      <c r="J31" s="67">
        <v>287</v>
      </c>
      <c r="K31" s="27">
        <f t="shared" si="13"/>
        <v>0.10941298419679553</v>
      </c>
      <c r="M31" t="s">
        <v>430</v>
      </c>
      <c r="N31" t="s">
        <v>438</v>
      </c>
      <c r="O31" s="67">
        <v>8.3000000000000007</v>
      </c>
      <c r="P31" s="67">
        <v>193</v>
      </c>
      <c r="Q31" s="27">
        <f t="shared" si="11"/>
        <v>0.10941298419679553</v>
      </c>
      <c r="S31" t="s">
        <v>433</v>
      </c>
      <c r="T31" t="s">
        <v>97</v>
      </c>
      <c r="U31" s="67">
        <v>9.9545454545454497</v>
      </c>
      <c r="V31" s="67">
        <v>233.09090909090901</v>
      </c>
      <c r="W31" s="27" t="e">
        <f t="shared" si="8"/>
        <v>#N/A</v>
      </c>
    </row>
    <row r="32" spans="1:43" x14ac:dyDescent="0.25">
      <c r="A32" t="s">
        <v>415</v>
      </c>
      <c r="C32" s="67">
        <v>21.633333333333301</v>
      </c>
      <c r="D32" s="67">
        <v>346.166666666666</v>
      </c>
      <c r="E32" s="27" t="e">
        <f t="shared" si="12"/>
        <v>#N/A</v>
      </c>
      <c r="G32" s="101" t="s">
        <v>418</v>
      </c>
      <c r="H32" t="s">
        <v>223</v>
      </c>
      <c r="I32" s="67">
        <v>18.2243243243243</v>
      </c>
      <c r="J32" s="67">
        <v>291.37837837837799</v>
      </c>
      <c r="K32" s="27">
        <f t="shared" si="13"/>
        <v>0.10941298419679553</v>
      </c>
      <c r="M32" t="s">
        <v>431</v>
      </c>
      <c r="N32" t="s">
        <v>223</v>
      </c>
      <c r="O32" s="67">
        <v>16.7</v>
      </c>
      <c r="P32" s="67">
        <v>274</v>
      </c>
      <c r="Q32" s="27">
        <f t="shared" si="11"/>
        <v>5.0561290152753166E-2</v>
      </c>
    </row>
    <row r="33" spans="1:19" x14ac:dyDescent="0.25">
      <c r="A33" t="s">
        <v>415</v>
      </c>
      <c r="C33" s="67">
        <v>15.862195121951199</v>
      </c>
      <c r="D33" s="67">
        <v>364.951219512195</v>
      </c>
      <c r="E33" s="27" t="e">
        <f t="shared" si="12"/>
        <v>#N/A</v>
      </c>
      <c r="G33" s="100" t="s">
        <v>418</v>
      </c>
      <c r="H33" t="s">
        <v>97</v>
      </c>
      <c r="I33" s="67">
        <v>14.0438848920863</v>
      </c>
      <c r="J33" s="67">
        <v>323.51079136690601</v>
      </c>
      <c r="K33" s="27">
        <f t="shared" si="13"/>
        <v>0.10941298419679553</v>
      </c>
      <c r="M33" t="s">
        <v>431</v>
      </c>
      <c r="N33" t="s">
        <v>97</v>
      </c>
      <c r="O33" s="67">
        <v>11.27</v>
      </c>
      <c r="P33" s="67">
        <v>265.3</v>
      </c>
      <c r="Q33" s="27">
        <f t="shared" si="11"/>
        <v>5.0561290152753166E-2</v>
      </c>
    </row>
    <row r="34" spans="1:19" x14ac:dyDescent="0.25">
      <c r="A34" t="s">
        <v>416</v>
      </c>
      <c r="B34" t="s">
        <v>223</v>
      </c>
      <c r="C34" s="67">
        <v>22.3666666666666</v>
      </c>
      <c r="D34" s="67">
        <v>358</v>
      </c>
      <c r="E34" s="27">
        <f t="shared" si="12"/>
        <v>3.3769184854023297E-2</v>
      </c>
      <c r="G34" t="s">
        <v>418</v>
      </c>
      <c r="H34" t="s">
        <v>438</v>
      </c>
      <c r="I34" s="67">
        <v>9.9538461538461505</v>
      </c>
      <c r="J34" s="67">
        <v>229</v>
      </c>
      <c r="K34" s="27">
        <f t="shared" si="13"/>
        <v>0.10941298419679553</v>
      </c>
      <c r="M34" t="s">
        <v>432</v>
      </c>
      <c r="N34" t="s">
        <v>97</v>
      </c>
      <c r="O34" s="67">
        <v>14.899999999999901</v>
      </c>
      <c r="P34" s="67">
        <v>349.5</v>
      </c>
      <c r="Q34" s="27">
        <f t="shared" si="11"/>
        <v>3.3769184854023297E-2</v>
      </c>
    </row>
    <row r="35" spans="1:19" x14ac:dyDescent="0.25">
      <c r="A35" t="s">
        <v>416</v>
      </c>
      <c r="B35" t="s">
        <v>97</v>
      </c>
      <c r="C35" s="67">
        <v>16.468181818181801</v>
      </c>
      <c r="D35" s="67">
        <v>378.90909090909003</v>
      </c>
      <c r="E35" s="27">
        <f t="shared" si="12"/>
        <v>3.3769184854023297E-2</v>
      </c>
      <c r="G35" t="s">
        <v>414</v>
      </c>
      <c r="H35" t="s">
        <v>223</v>
      </c>
      <c r="I35" s="67">
        <v>16.553333333333299</v>
      </c>
      <c r="J35" s="67">
        <v>264.60000000000002</v>
      </c>
      <c r="K35" s="27">
        <f t="shared" si="13"/>
        <v>5.0561290152753166E-2</v>
      </c>
      <c r="M35" t="s">
        <v>433</v>
      </c>
      <c r="N35" t="s">
        <v>223</v>
      </c>
      <c r="O35" s="67">
        <v>14.5</v>
      </c>
      <c r="P35" s="67">
        <v>237.5</v>
      </c>
      <c r="Q35" s="27" t="e">
        <f t="shared" si="11"/>
        <v>#N/A</v>
      </c>
    </row>
    <row r="36" spans="1:19" ht="14.45" customHeight="1" thickBot="1" x14ac:dyDescent="0.3">
      <c r="G36" t="s">
        <v>414</v>
      </c>
      <c r="H36" t="s">
        <v>97</v>
      </c>
      <c r="I36" s="67">
        <v>11.358620689655099</v>
      </c>
      <c r="J36" s="67">
        <v>261.17241379310298</v>
      </c>
      <c r="K36" s="27">
        <f t="shared" si="13"/>
        <v>5.0561290152753166E-2</v>
      </c>
      <c r="M36" t="s">
        <v>433</v>
      </c>
      <c r="N36" t="s">
        <v>97</v>
      </c>
      <c r="O36" s="67">
        <v>10.55</v>
      </c>
      <c r="P36" s="67">
        <v>247.5</v>
      </c>
      <c r="Q36" s="27" t="e">
        <f t="shared" si="11"/>
        <v>#N/A</v>
      </c>
    </row>
    <row r="37" spans="1:19" ht="14.45" customHeight="1" x14ac:dyDescent="0.25">
      <c r="A37" s="906" t="s">
        <v>1193</v>
      </c>
      <c r="B37" s="907"/>
      <c r="C37" s="907"/>
      <c r="D37" s="908"/>
      <c r="E37" s="187"/>
      <c r="G37" t="s">
        <v>415</v>
      </c>
      <c r="I37" s="67">
        <v>21.810416666666601</v>
      </c>
      <c r="J37" s="67">
        <v>348.979166666666</v>
      </c>
      <c r="K37" s="27" t="e">
        <f t="shared" si="13"/>
        <v>#N/A</v>
      </c>
    </row>
    <row r="38" spans="1:19" ht="14.45" customHeight="1" x14ac:dyDescent="0.25">
      <c r="A38" s="909"/>
      <c r="B38" s="910"/>
      <c r="C38" s="910"/>
      <c r="D38" s="911"/>
      <c r="E38" s="187"/>
      <c r="G38" t="s">
        <v>415</v>
      </c>
      <c r="I38" s="67">
        <v>16.001724137930999</v>
      </c>
      <c r="J38" s="67">
        <v>368.17241379310298</v>
      </c>
      <c r="K38" s="27" t="e">
        <f t="shared" si="13"/>
        <v>#N/A</v>
      </c>
    </row>
    <row r="39" spans="1:19" ht="14.45" customHeight="1" x14ac:dyDescent="0.25">
      <c r="A39" s="909"/>
      <c r="B39" s="910"/>
      <c r="C39" s="910"/>
      <c r="D39" s="911"/>
      <c r="E39" s="187"/>
      <c r="G39" t="s">
        <v>416</v>
      </c>
      <c r="H39" t="s">
        <v>223</v>
      </c>
      <c r="I39" s="67">
        <v>23.754385964912199</v>
      </c>
      <c r="J39" s="67">
        <v>380.15789473684202</v>
      </c>
      <c r="K39" s="27">
        <f t="shared" si="13"/>
        <v>3.3769184854023297E-2</v>
      </c>
    </row>
    <row r="40" spans="1:19" ht="14.45" customHeight="1" x14ac:dyDescent="0.25">
      <c r="A40" s="901" t="s">
        <v>1232</v>
      </c>
      <c r="B40" s="876"/>
      <c r="C40" s="876"/>
      <c r="D40" s="902"/>
      <c r="E40" s="296"/>
      <c r="G40" t="s">
        <v>416</v>
      </c>
      <c r="H40" t="s">
        <v>97</v>
      </c>
      <c r="I40" s="67">
        <v>17.670491803278601</v>
      </c>
      <c r="J40" s="67">
        <v>406.44262295081899</v>
      </c>
      <c r="K40" s="27">
        <f t="shared" si="13"/>
        <v>3.3769184854023297E-2</v>
      </c>
    </row>
    <row r="41" spans="1:19" ht="15.75" thickBot="1" x14ac:dyDescent="0.3">
      <c r="A41" s="903"/>
      <c r="B41" s="904"/>
      <c r="C41" s="904"/>
      <c r="D41" s="905"/>
      <c r="E41" s="296"/>
      <c r="G41" t="s">
        <v>419</v>
      </c>
      <c r="H41" t="s">
        <v>97</v>
      </c>
      <c r="I41" s="67">
        <v>10.25625</v>
      </c>
      <c r="J41" s="67">
        <v>236</v>
      </c>
      <c r="K41" s="27" t="e">
        <f t="shared" si="13"/>
        <v>#N/A</v>
      </c>
    </row>
    <row r="44" spans="1:19" ht="15.75" x14ac:dyDescent="0.25">
      <c r="G44" s="154" t="s">
        <v>1184</v>
      </c>
      <c r="H44" s="26"/>
      <c r="I44" s="26"/>
      <c r="J44" s="26"/>
      <c r="K44" s="26"/>
      <c r="L44" s="26"/>
      <c r="N44" s="26"/>
      <c r="P44" s="26"/>
      <c r="Q44" s="26"/>
      <c r="R44" s="26"/>
      <c r="S44" s="26"/>
    </row>
    <row r="45" spans="1:19" ht="15.75" thickBot="1" x14ac:dyDescent="0.3">
      <c r="G45" s="83" t="s">
        <v>1027</v>
      </c>
      <c r="H45" s="83" t="s">
        <v>1192</v>
      </c>
      <c r="I45" s="83" t="s">
        <v>1188</v>
      </c>
      <c r="L45" s="26"/>
      <c r="O45" s="28"/>
    </row>
    <row r="46" spans="1:19" ht="15.75" thickTop="1" x14ac:dyDescent="0.25">
      <c r="F46" t="str" cm="1">
        <f t="array" ref="F46:F51">_xlfn.UNIQUE(A4:A17)</f>
        <v>MINICOMPACT</v>
      </c>
      <c r="G46" s="3" t="s">
        <v>420</v>
      </c>
      <c r="H46" s="27">
        <v>4.4278342824028288E-3</v>
      </c>
      <c r="I46" s="27">
        <v>5.9556466062645284E-3</v>
      </c>
      <c r="L46" s="27"/>
    </row>
    <row r="47" spans="1:19" x14ac:dyDescent="0.25">
      <c r="F47" t="str">
        <v>SUBCOMPACT</v>
      </c>
      <c r="G47" s="3" t="s">
        <v>421</v>
      </c>
      <c r="H47" s="27">
        <v>7.4903618262387353E-2</v>
      </c>
      <c r="I47" s="27">
        <v>7.4528035619713884E-2</v>
      </c>
      <c r="L47" s="27"/>
    </row>
    <row r="48" spans="1:19" x14ac:dyDescent="0.25">
      <c r="F48" t="str">
        <v>COMPACT</v>
      </c>
      <c r="G48" s="3" t="s">
        <v>422</v>
      </c>
      <c r="H48" s="27">
        <v>0.53368242434337232</v>
      </c>
      <c r="I48" s="27">
        <v>0.47363564001002123</v>
      </c>
      <c r="L48" s="27"/>
    </row>
    <row r="49" spans="5:12" x14ac:dyDescent="0.25">
      <c r="F49" t="str">
        <v>MID-SIZE</v>
      </c>
      <c r="G49" s="3" t="s">
        <v>423</v>
      </c>
      <c r="H49" s="27">
        <v>0.27985404803297975</v>
      </c>
      <c r="I49" s="27">
        <v>0.35458613330119781</v>
      </c>
      <c r="L49" s="27"/>
    </row>
    <row r="50" spans="5:12" x14ac:dyDescent="0.25">
      <c r="F50" t="str">
        <v>FULL-SIZE</v>
      </c>
      <c r="G50" s="3" t="s">
        <v>424</v>
      </c>
      <c r="H50" s="27">
        <v>8.1399625924345104E-2</v>
      </c>
      <c r="I50" s="27">
        <v>6.6840875143896417E-2</v>
      </c>
      <c r="L50" s="27"/>
    </row>
    <row r="51" spans="5:12" x14ac:dyDescent="0.25">
      <c r="F51" t="str">
        <v>STATION WAGON - SMALL</v>
      </c>
      <c r="G51" s="3" t="s">
        <v>425</v>
      </c>
      <c r="H51" s="27">
        <v>2.5732449154512678E-2</v>
      </c>
      <c r="I51" s="27">
        <v>2.4453669318906166E-2</v>
      </c>
      <c r="L51" s="27"/>
    </row>
    <row r="52" spans="5:12" x14ac:dyDescent="0.25">
      <c r="G52" s="236" t="s">
        <v>231</v>
      </c>
      <c r="H52" s="256">
        <f>SUM(H46:H51)</f>
        <v>1.0000000000000002</v>
      </c>
      <c r="I52" s="256">
        <f>SUM(I46:I51)</f>
        <v>1</v>
      </c>
      <c r="L52" s="27"/>
    </row>
    <row r="53" spans="5:12" x14ac:dyDescent="0.25">
      <c r="L53" s="298"/>
    </row>
    <row r="54" spans="5:12" ht="15.75" x14ac:dyDescent="0.25">
      <c r="G54" s="154" t="s">
        <v>1185</v>
      </c>
      <c r="H54" s="26"/>
      <c r="I54" s="26"/>
      <c r="J54" s="26"/>
      <c r="K54" s="26"/>
    </row>
    <row r="55" spans="5:12" ht="15.75" thickBot="1" x14ac:dyDescent="0.3">
      <c r="G55" s="83" t="s">
        <v>1027</v>
      </c>
      <c r="H55" s="83" t="s">
        <v>1192</v>
      </c>
      <c r="I55" s="83" t="s">
        <v>1188</v>
      </c>
      <c r="L55" s="26"/>
    </row>
    <row r="56" spans="5:12" ht="15.75" thickTop="1" x14ac:dyDescent="0.25">
      <c r="E56" t="s">
        <v>412</v>
      </c>
      <c r="F56" s="28">
        <f>H56</f>
        <v>2.1325397463433791E-2</v>
      </c>
      <c r="G56" s="16" t="s">
        <v>427</v>
      </c>
      <c r="H56" s="27">
        <v>2.1325397463433791E-2</v>
      </c>
      <c r="I56" s="27">
        <v>2.0672849126717584E-2</v>
      </c>
      <c r="J56" t="s">
        <v>412</v>
      </c>
      <c r="L56" s="26"/>
    </row>
    <row r="57" spans="5:12" x14ac:dyDescent="0.25">
      <c r="E57" t="s">
        <v>413</v>
      </c>
      <c r="F57" s="28">
        <f>H57</f>
        <v>0.25696837153644597</v>
      </c>
      <c r="G57" s="16" t="s">
        <v>428</v>
      </c>
      <c r="H57" s="27">
        <v>0.25696837153644597</v>
      </c>
      <c r="I57" s="27">
        <v>0.23647015701501611</v>
      </c>
      <c r="J57" t="s">
        <v>413</v>
      </c>
      <c r="L57" s="27"/>
    </row>
    <row r="58" spans="5:12" x14ac:dyDescent="0.25">
      <c r="E58" t="s">
        <v>227</v>
      </c>
      <c r="F58" s="28">
        <f>H58+H59</f>
        <v>0.63737575599334384</v>
      </c>
      <c r="G58" s="16" t="s">
        <v>429</v>
      </c>
      <c r="H58" s="27">
        <v>0.52796277179654827</v>
      </c>
      <c r="I58" s="27">
        <v>0.56868624710569682</v>
      </c>
      <c r="J58" t="s">
        <v>417</v>
      </c>
      <c r="L58" s="27"/>
    </row>
    <row r="59" spans="5:12" x14ac:dyDescent="0.25">
      <c r="E59" t="s">
        <v>414</v>
      </c>
      <c r="F59" s="28">
        <f>H60</f>
        <v>5.0561290152753166E-2</v>
      </c>
      <c r="G59" s="16" t="s">
        <v>430</v>
      </c>
      <c r="H59" s="27">
        <v>0.10941298419679553</v>
      </c>
      <c r="I59" s="27">
        <v>0.1224010870958033</v>
      </c>
      <c r="J59" t="s">
        <v>418</v>
      </c>
      <c r="L59" s="27"/>
    </row>
    <row r="60" spans="5:12" x14ac:dyDescent="0.25">
      <c r="E60" t="s">
        <v>416</v>
      </c>
      <c r="F60" s="28">
        <f>H61</f>
        <v>3.3769184854023297E-2</v>
      </c>
      <c r="G60" s="16" t="s">
        <v>431</v>
      </c>
      <c r="H60" s="27">
        <v>5.0561290152753166E-2</v>
      </c>
      <c r="I60" s="27">
        <v>2.506757099051473E-2</v>
      </c>
      <c r="J60" t="s">
        <v>414</v>
      </c>
      <c r="L60" s="27"/>
    </row>
    <row r="61" spans="5:12" x14ac:dyDescent="0.25">
      <c r="F61" s="28"/>
      <c r="G61" s="16" t="s">
        <v>432</v>
      </c>
      <c r="H61" s="27">
        <v>3.3769184854023297E-2</v>
      </c>
      <c r="I61" s="27">
        <v>2.6702088666251456E-2</v>
      </c>
      <c r="J61" t="s">
        <v>416</v>
      </c>
      <c r="L61" s="27"/>
    </row>
    <row r="62" spans="5:12" x14ac:dyDescent="0.25">
      <c r="G62" s="236" t="s">
        <v>231</v>
      </c>
      <c r="H62" s="256">
        <v>1</v>
      </c>
      <c r="I62" s="256">
        <v>1</v>
      </c>
      <c r="L62" s="27"/>
    </row>
    <row r="63" spans="5:12" x14ac:dyDescent="0.25">
      <c r="L63" s="298"/>
    </row>
  </sheetData>
  <mergeCells count="10">
    <mergeCell ref="AK2:AP2"/>
    <mergeCell ref="S2:V2"/>
    <mergeCell ref="A40:D41"/>
    <mergeCell ref="AE2:AH2"/>
    <mergeCell ref="G2:J2"/>
    <mergeCell ref="M2:P2"/>
    <mergeCell ref="A2:D2"/>
    <mergeCell ref="Y2:AB2"/>
    <mergeCell ref="A37:D39"/>
    <mergeCell ref="AK20:AQ22"/>
  </mergeCells>
  <hyperlinks>
    <hyperlink ref="A1" r:id="rId1" xr:uid="{D08BCBED-5CCA-4022-97E5-F4147CBDCF4F}"/>
  </hyperlinks>
  <pageMargins left="0.7" right="0.7" top="0.75" bottom="0.75" header="0.3" footer="0.3"/>
  <pageSetup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A371F-A278-4520-B3B2-9004E5089B4C}">
  <sheetPr codeName="Sheet19">
    <tabColor theme="7" tint="0.59999389629810485"/>
  </sheetPr>
  <dimension ref="A1:BI890"/>
  <sheetViews>
    <sheetView zoomScaleNormal="100" workbookViewId="0">
      <selection activeCell="A11" sqref="A11"/>
    </sheetView>
  </sheetViews>
  <sheetFormatPr defaultRowHeight="15" x14ac:dyDescent="0.25"/>
  <cols>
    <col min="1" max="1" width="15.140625" customWidth="1"/>
    <col min="2" max="2" width="9.140625" bestFit="1" customWidth="1"/>
    <col min="3" max="3" width="7.85546875" bestFit="1" customWidth="1"/>
    <col min="4" max="4" width="10.140625" customWidth="1"/>
    <col min="5" max="5" width="11.85546875" customWidth="1"/>
    <col min="6" max="6" width="7.5703125" customWidth="1"/>
    <col min="7" max="7" width="33.7109375" customWidth="1"/>
    <col min="8" max="8" width="10.140625" customWidth="1"/>
    <col min="9" max="9" width="8.42578125" customWidth="1"/>
    <col min="10" max="10" width="7.85546875" customWidth="1"/>
    <col min="11" max="11" width="9.5703125" customWidth="1"/>
    <col min="12" max="12" width="8.140625" customWidth="1"/>
    <col min="13" max="13" width="9.140625" bestFit="1" customWidth="1"/>
    <col min="14" max="18" width="8.140625" customWidth="1"/>
    <col min="19" max="19" width="9.140625" bestFit="1" customWidth="1"/>
    <col min="20" max="20" width="8.85546875" customWidth="1"/>
    <col min="21" max="21" width="10.140625" bestFit="1" customWidth="1"/>
    <col min="22" max="26" width="8.140625" customWidth="1"/>
    <col min="27" max="27" width="10.140625" bestFit="1" customWidth="1"/>
    <col min="28" max="29" width="8.140625" customWidth="1"/>
    <col min="30" max="30" width="15.5703125" style="26" bestFit="1" customWidth="1"/>
    <col min="31" max="31" width="6.5703125" style="26" bestFit="1" customWidth="1"/>
    <col min="32" max="32" width="8.42578125" customWidth="1"/>
    <col min="33" max="34" width="8.42578125" style="26" customWidth="1"/>
    <col min="35" max="35" width="8.42578125" customWidth="1"/>
    <col min="36" max="36" width="9.42578125" bestFit="1" customWidth="1"/>
    <col min="37" max="37" width="2.28515625" style="48" customWidth="1"/>
    <col min="38" max="38" width="18.140625" customWidth="1"/>
    <col min="39" max="39" width="17.7109375" customWidth="1"/>
    <col min="40" max="40" width="13.42578125" customWidth="1"/>
    <col min="41" max="41" width="9.42578125" customWidth="1"/>
    <col min="42" max="42" width="12.5703125" customWidth="1"/>
    <col min="43" max="43" width="9.5703125" customWidth="1"/>
    <col min="45" max="45" width="7.5703125" customWidth="1"/>
    <col min="46" max="46" width="8.42578125" bestFit="1" customWidth="1"/>
    <col min="48" max="48" width="12.28515625" customWidth="1"/>
    <col min="50" max="50" width="23.85546875" customWidth="1"/>
    <col min="51" max="51" width="25.140625" customWidth="1"/>
    <col min="52" max="52" width="9.5703125" customWidth="1"/>
    <col min="53" max="53" width="9.28515625" customWidth="1"/>
    <col min="56" max="56" width="9.85546875" customWidth="1"/>
    <col min="58" max="58" width="9.5703125" customWidth="1"/>
    <col min="61" max="61" width="11.85546875" customWidth="1"/>
  </cols>
  <sheetData>
    <row r="1" spans="1:61" ht="15.75" thickBot="1" x14ac:dyDescent="0.3">
      <c r="A1" s="253" t="s">
        <v>1732</v>
      </c>
      <c r="L1" s="913" t="s">
        <v>815</v>
      </c>
      <c r="M1" s="913"/>
      <c r="N1" s="913"/>
      <c r="O1" s="913"/>
      <c r="P1" s="913"/>
      <c r="Q1" s="913"/>
      <c r="R1" s="913"/>
      <c r="S1" s="913"/>
      <c r="T1" s="913"/>
      <c r="U1" s="913"/>
      <c r="V1" s="913"/>
      <c r="W1" s="913"/>
      <c r="X1" s="913"/>
      <c r="Y1" s="913"/>
      <c r="Z1" s="913"/>
      <c r="AA1" s="913"/>
      <c r="AB1" s="913"/>
      <c r="AC1" s="913"/>
      <c r="AD1" s="913"/>
      <c r="AE1" s="914" t="s">
        <v>2630</v>
      </c>
      <c r="AF1" s="914"/>
      <c r="AG1" s="914"/>
      <c r="AH1" s="914"/>
      <c r="AI1" s="914"/>
      <c r="AJ1" s="914"/>
      <c r="AL1" s="848" t="s">
        <v>2634</v>
      </c>
      <c r="AM1" s="848"/>
      <c r="AN1" s="848"/>
      <c r="AO1" s="848"/>
      <c r="AP1" s="848"/>
      <c r="AQ1" s="848"/>
      <c r="AR1" s="848"/>
      <c r="AS1" s="848"/>
      <c r="AT1" s="848"/>
      <c r="AX1" s="26" t="s">
        <v>2647</v>
      </c>
    </row>
    <row r="2" spans="1:61" s="203" customFormat="1" ht="60.75" thickBot="1" x14ac:dyDescent="0.3">
      <c r="A2" s="204" t="s">
        <v>792</v>
      </c>
      <c r="B2" s="204" t="s">
        <v>801</v>
      </c>
      <c r="C2" s="204" t="s">
        <v>802</v>
      </c>
      <c r="D2" s="204" t="s">
        <v>1731</v>
      </c>
      <c r="E2" s="204" t="s">
        <v>803</v>
      </c>
      <c r="F2" s="204" t="s">
        <v>1733</v>
      </c>
      <c r="G2" s="204" t="s">
        <v>1734</v>
      </c>
      <c r="H2" s="647" t="s">
        <v>2666</v>
      </c>
      <c r="I2" s="647" t="s">
        <v>1735</v>
      </c>
      <c r="J2" s="647" t="s">
        <v>1736</v>
      </c>
      <c r="K2" s="647" t="s">
        <v>1737</v>
      </c>
      <c r="L2" s="648" t="s">
        <v>794</v>
      </c>
      <c r="M2" s="648" t="s">
        <v>2612</v>
      </c>
      <c r="N2" s="648" t="s">
        <v>2621</v>
      </c>
      <c r="O2" s="648" t="s">
        <v>2622</v>
      </c>
      <c r="P2" s="648" t="s">
        <v>2613</v>
      </c>
      <c r="Q2" s="648" t="s">
        <v>2623</v>
      </c>
      <c r="R2" s="648" t="s">
        <v>2614</v>
      </c>
      <c r="S2" s="648" t="s">
        <v>2615</v>
      </c>
      <c r="T2" s="648" t="s">
        <v>804</v>
      </c>
      <c r="U2" s="648" t="s">
        <v>2616</v>
      </c>
      <c r="V2" s="648" t="s">
        <v>2624</v>
      </c>
      <c r="W2" s="648" t="s">
        <v>2617</v>
      </c>
      <c r="X2" s="648" t="s">
        <v>2625</v>
      </c>
      <c r="Y2" s="648" t="s">
        <v>2618</v>
      </c>
      <c r="Z2" s="648" t="s">
        <v>2619</v>
      </c>
      <c r="AA2" s="648" t="s">
        <v>793</v>
      </c>
      <c r="AB2" s="648" t="s">
        <v>2620</v>
      </c>
      <c r="AC2" s="648" t="s">
        <v>2626</v>
      </c>
      <c r="AD2" s="205" t="s">
        <v>2611</v>
      </c>
      <c r="AE2" s="206" t="s">
        <v>2627</v>
      </c>
      <c r="AF2" s="206" t="s">
        <v>2628</v>
      </c>
      <c r="AG2" s="206" t="s">
        <v>2629</v>
      </c>
      <c r="AH2" s="206" t="s">
        <v>2631</v>
      </c>
      <c r="AI2" s="206" t="s">
        <v>2632</v>
      </c>
      <c r="AJ2" s="206" t="s">
        <v>2633</v>
      </c>
      <c r="AK2" s="208"/>
      <c r="AL2" s="198" t="s">
        <v>826</v>
      </c>
      <c r="AM2" s="198" t="s">
        <v>2648</v>
      </c>
      <c r="AN2" s="198" t="s">
        <v>2635</v>
      </c>
      <c r="AO2" s="198" t="s">
        <v>817</v>
      </c>
      <c r="AP2" s="198" t="s">
        <v>816</v>
      </c>
      <c r="AQ2" s="198" t="s">
        <v>818</v>
      </c>
      <c r="AR2" s="198" t="s">
        <v>819</v>
      </c>
      <c r="AS2" s="198" t="s">
        <v>820</v>
      </c>
      <c r="AT2" s="198" t="s">
        <v>821</v>
      </c>
      <c r="AV2" s="201" t="s">
        <v>827</v>
      </c>
      <c r="AX2" s="649" t="s">
        <v>2637</v>
      </c>
      <c r="AY2" s="649" t="s">
        <v>2641</v>
      </c>
      <c r="AZ2" s="649" t="s">
        <v>2642</v>
      </c>
      <c r="BA2" s="649" t="s">
        <v>2643</v>
      </c>
      <c r="BB2" s="649" t="s">
        <v>2644</v>
      </c>
      <c r="BC2" s="649" t="s">
        <v>2645</v>
      </c>
      <c r="BD2" s="649" t="s">
        <v>2655</v>
      </c>
      <c r="BE2" s="649" t="s">
        <v>2646</v>
      </c>
      <c r="BF2" s="650" t="s">
        <v>2649</v>
      </c>
      <c r="BH2" s="650" t="s">
        <v>1731</v>
      </c>
      <c r="BI2" s="650" t="s">
        <v>2648</v>
      </c>
    </row>
    <row r="3" spans="1:61" ht="16.5" thickTop="1" thickBot="1" x14ac:dyDescent="0.3">
      <c r="A3" t="s">
        <v>805</v>
      </c>
      <c r="B3">
        <v>2023</v>
      </c>
      <c r="C3" t="s">
        <v>680</v>
      </c>
      <c r="D3" t="s">
        <v>518</v>
      </c>
      <c r="E3" t="s">
        <v>1028</v>
      </c>
      <c r="F3">
        <v>2</v>
      </c>
      <c r="G3" t="s">
        <v>1738</v>
      </c>
      <c r="H3" s="460">
        <v>2392.2890282634894</v>
      </c>
      <c r="I3">
        <v>840</v>
      </c>
      <c r="J3">
        <v>0</v>
      </c>
      <c r="K3" s="67">
        <v>0</v>
      </c>
      <c r="L3" s="159">
        <v>150</v>
      </c>
      <c r="M3" s="159">
        <v>13922</v>
      </c>
      <c r="N3" s="159">
        <v>1920</v>
      </c>
      <c r="O3" s="159">
        <v>506</v>
      </c>
      <c r="P3" s="159">
        <v>4084</v>
      </c>
      <c r="Q3" s="159">
        <v>1500</v>
      </c>
      <c r="R3" s="159">
        <v>2000</v>
      </c>
      <c r="S3" s="159">
        <v>15000</v>
      </c>
      <c r="T3" s="159">
        <v>98</v>
      </c>
      <c r="U3" s="159">
        <v>120</v>
      </c>
      <c r="V3" s="159">
        <v>0</v>
      </c>
      <c r="W3" s="159">
        <v>186</v>
      </c>
      <c r="X3" s="159">
        <v>0</v>
      </c>
      <c r="Y3" s="159">
        <v>0</v>
      </c>
      <c r="Z3" s="159">
        <v>0</v>
      </c>
      <c r="AA3" s="159">
        <v>0</v>
      </c>
      <c r="AB3" s="159">
        <v>0</v>
      </c>
      <c r="AC3" s="159">
        <v>0</v>
      </c>
      <c r="AD3" s="207">
        <v>39486</v>
      </c>
      <c r="AE3" s="200">
        <v>16.62562425238243</v>
      </c>
      <c r="AF3" s="200">
        <v>18.874961861824026</v>
      </c>
      <c r="AG3" s="200">
        <v>17.284574819623128</v>
      </c>
      <c r="AH3" s="200">
        <v>0</v>
      </c>
      <c r="AI3" s="200">
        <v>0</v>
      </c>
      <c r="AJ3" s="200">
        <v>0</v>
      </c>
      <c r="AL3" s="197">
        <f t="shared" ref="AL3:AL66" si="0">AD3*USD2023_to_CAD2020</f>
        <v>45265.396686156339</v>
      </c>
      <c r="AM3" s="197" t="str">
        <f t="shared" ref="AM3:AM66" si="1">IF(AND(F3&lt;5, D3="School"), $BF$2, IF(F3&lt;5, $BA$2,
IF(AND(F3&lt;=7, D3="School"), $BE$2, IF(F3&lt;7, $AZ$2,
IF(AND(F3&lt;8, E3="DayCab"), $BC$2, IF(F3&lt;8, $AZ$2,
IF(VLOOKUP(D3, $BH$3:$BI$10, 2, FALSE)="Longhaul", $AY$2,
IF(VLOOKUP(D3, $BH$3:$BI$10, 2, FALSE)="Drayage", $BB$2,
IF(VLOOKUP(D3, $BH$3:$BI$10, 2, FALSE)="Regional", $BC$2,
IF(VLOOKUP(D3, $BH$3:$BI$10, 2, FALSE)="Transit", $BE$2,
IF(VLOOKUP(D3, $BH$3:$BI$10, 2, FALSE)="Vocational", $BD$2, NA())))))))))))</f>
        <v>Box Medium 4</v>
      </c>
      <c r="AN3" s="3">
        <f t="shared" ref="AN3:AN66" si="2">(IFERROR(L_100km_to_mpg/AE3 * HLOOKUP($AM3, $AY$2:$BF$6, 2, FALSE) +
L_100km_to_mpg/AF3 * HLOOKUP($AM3, $AY$2:$BF$6, 3, FALSE) +
L_100km_to_mpg/AG3 * HLOOKUP($AM3, $AY$2:$BF$6, 4, FALSE), 0)) *
IF(ISERROR(SEARCH("PHEV",$A3)), 1, 1-HLOOKUP($AM3, $AY$2:$BF$6, 5, FALSE))</f>
        <v>13.559122932331331</v>
      </c>
      <c r="AO3" s="3">
        <f t="shared" ref="AO3:AO66" si="3">AN3*DSL_PJ_ML*10</f>
        <v>5.2337433679246494</v>
      </c>
      <c r="AP3" s="3">
        <f t="shared" ref="AP3:AP66" si="4">(AH3/km_mile/10 * HLOOKUP($AM3, $AY$2:$BF$6, 2, FALSE) +
AI3/km_mile/10 * HLOOKUP($AM3, $AY$2:$BF$6, 3, FALSE) +
AJ3/km_mile/10 * HLOOKUP($AM3, $AY$2:$BF$6, 4, FALSE)) *
IF(ISERROR(SEARCH("PHEV",$A3)), 1, HLOOKUP($AM3, $AY$2:$BF$6, 5, FALSE))</f>
        <v>0</v>
      </c>
      <c r="AQ3" s="3">
        <f>AP3*3.6/100</f>
        <v>0</v>
      </c>
      <c r="AR3" s="3">
        <f>AO3+AQ3</f>
        <v>5.2337433679246494</v>
      </c>
      <c r="AS3" s="81">
        <f>AO3/AR3</f>
        <v>1</v>
      </c>
      <c r="AT3" s="81">
        <f>AQ3/AR3</f>
        <v>0</v>
      </c>
      <c r="AV3" s="202">
        <f>AVERAGEIFS(AS:AS,A:A,"SeriesPHEV")</f>
        <v>0.53653265183580634</v>
      </c>
      <c r="AX3" t="s">
        <v>2638</v>
      </c>
      <c r="AY3" s="80">
        <v>0.05</v>
      </c>
      <c r="AZ3" s="80">
        <v>0.05</v>
      </c>
      <c r="BA3" s="80">
        <v>0.1</v>
      </c>
      <c r="BB3" s="80">
        <v>0.19</v>
      </c>
      <c r="BC3" s="80">
        <v>0.19</v>
      </c>
      <c r="BD3" s="80">
        <v>0.54</v>
      </c>
      <c r="BE3" s="80">
        <v>1</v>
      </c>
      <c r="BF3" s="80">
        <v>1</v>
      </c>
      <c r="BH3" t="s">
        <v>835</v>
      </c>
      <c r="BI3" t="s">
        <v>814</v>
      </c>
    </row>
    <row r="4" spans="1:61" ht="15.75" thickBot="1" x14ac:dyDescent="0.3">
      <c r="A4" t="s">
        <v>805</v>
      </c>
      <c r="B4">
        <v>2023</v>
      </c>
      <c r="C4" t="s">
        <v>680</v>
      </c>
      <c r="D4" t="s">
        <v>518</v>
      </c>
      <c r="E4" t="s">
        <v>1028</v>
      </c>
      <c r="F4">
        <v>2</v>
      </c>
      <c r="G4" t="s">
        <v>1739</v>
      </c>
      <c r="H4" s="460">
        <v>2223.1000779661517</v>
      </c>
      <c r="I4">
        <v>840</v>
      </c>
      <c r="J4">
        <v>0</v>
      </c>
      <c r="K4" s="67">
        <v>0</v>
      </c>
      <c r="L4" s="159">
        <v>150</v>
      </c>
      <c r="M4" s="159">
        <v>13519</v>
      </c>
      <c r="N4" s="159">
        <v>1920</v>
      </c>
      <c r="O4" s="159">
        <v>506</v>
      </c>
      <c r="P4" s="159">
        <v>2868</v>
      </c>
      <c r="Q4" s="159">
        <v>1500</v>
      </c>
      <c r="R4" s="159">
        <v>2000</v>
      </c>
      <c r="S4" s="159">
        <v>15000</v>
      </c>
      <c r="T4" s="159">
        <v>98</v>
      </c>
      <c r="U4" s="159">
        <v>120</v>
      </c>
      <c r="V4" s="159">
        <v>0</v>
      </c>
      <c r="W4" s="159">
        <v>186</v>
      </c>
      <c r="X4" s="159">
        <v>0</v>
      </c>
      <c r="Y4" s="159">
        <v>0</v>
      </c>
      <c r="Z4" s="159">
        <v>0</v>
      </c>
      <c r="AA4" s="159">
        <v>0</v>
      </c>
      <c r="AB4" s="159">
        <v>0</v>
      </c>
      <c r="AC4" s="159">
        <v>0</v>
      </c>
      <c r="AD4" s="207">
        <v>37867</v>
      </c>
      <c r="AE4" s="200">
        <v>11.225886224688475</v>
      </c>
      <c r="AF4" s="200">
        <v>14.19348020037924</v>
      </c>
      <c r="AG4" s="200">
        <v>13.821261188904463</v>
      </c>
      <c r="AH4" s="200">
        <v>0</v>
      </c>
      <c r="AI4" s="200">
        <v>0</v>
      </c>
      <c r="AJ4" s="200">
        <v>0</v>
      </c>
      <c r="AL4" s="197">
        <f t="shared" si="0"/>
        <v>43409.430590960903</v>
      </c>
      <c r="AM4" s="197" t="str">
        <f t="shared" si="1"/>
        <v>Box Medium 4</v>
      </c>
      <c r="AN4" s="3">
        <f t="shared" si="2"/>
        <v>17.371644011292705</v>
      </c>
      <c r="AO4" s="3">
        <f t="shared" si="3"/>
        <v>6.7053545489478603</v>
      </c>
      <c r="AP4" s="3">
        <f t="shared" si="4"/>
        <v>0</v>
      </c>
      <c r="AQ4" s="3">
        <f t="shared" ref="AQ4:AQ67" si="5">AP4*3.6/100</f>
        <v>0</v>
      </c>
      <c r="AR4" s="3">
        <f t="shared" ref="AR4:AR67" si="6">AO4+AQ4</f>
        <v>6.7053545489478603</v>
      </c>
      <c r="AS4" s="81">
        <f t="shared" ref="AS4:AS67" si="7">AO4/AR4</f>
        <v>1</v>
      </c>
      <c r="AT4" s="81">
        <f t="shared" ref="AT4:AT67" si="8">AQ4/AR4</f>
        <v>0</v>
      </c>
      <c r="AX4" t="s">
        <v>2639</v>
      </c>
      <c r="AY4" s="80">
        <v>0.09</v>
      </c>
      <c r="AZ4" s="80">
        <v>0.09</v>
      </c>
      <c r="BA4" s="80">
        <v>0.09</v>
      </c>
      <c r="BB4" s="80">
        <v>0.17</v>
      </c>
      <c r="BC4" s="80">
        <v>0.17</v>
      </c>
      <c r="BD4" s="80">
        <v>0.28000000000000003</v>
      </c>
      <c r="BE4" s="80">
        <v>0</v>
      </c>
      <c r="BF4" s="80">
        <v>0</v>
      </c>
      <c r="BH4" t="s">
        <v>812</v>
      </c>
      <c r="BI4" t="s">
        <v>812</v>
      </c>
    </row>
    <row r="5" spans="1:61" x14ac:dyDescent="0.25">
      <c r="A5" t="s">
        <v>807</v>
      </c>
      <c r="B5">
        <v>2023</v>
      </c>
      <c r="C5" t="s">
        <v>680</v>
      </c>
      <c r="D5" t="s">
        <v>518</v>
      </c>
      <c r="E5" t="s">
        <v>1028</v>
      </c>
      <c r="F5">
        <v>2</v>
      </c>
      <c r="G5" t="s">
        <v>1740</v>
      </c>
      <c r="H5" s="460">
        <v>2342.2489703994106</v>
      </c>
      <c r="I5">
        <v>840</v>
      </c>
      <c r="J5">
        <v>0</v>
      </c>
      <c r="K5" s="67">
        <v>2.2809599999999999</v>
      </c>
      <c r="L5" s="159">
        <v>150</v>
      </c>
      <c r="M5" s="159">
        <v>11862</v>
      </c>
      <c r="N5" s="159">
        <v>220</v>
      </c>
      <c r="O5" s="159">
        <v>392</v>
      </c>
      <c r="P5" s="159">
        <v>3173</v>
      </c>
      <c r="Q5" s="159">
        <v>1500</v>
      </c>
      <c r="R5" s="159">
        <v>2000</v>
      </c>
      <c r="S5" s="159">
        <v>15000</v>
      </c>
      <c r="T5" s="159">
        <v>0</v>
      </c>
      <c r="U5" s="159">
        <v>1597</v>
      </c>
      <c r="V5" s="159">
        <v>4500</v>
      </c>
      <c r="W5" s="159">
        <v>186</v>
      </c>
      <c r="X5" s="159">
        <v>120</v>
      </c>
      <c r="Y5" s="159">
        <v>1500</v>
      </c>
      <c r="Z5" s="159">
        <v>1970</v>
      </c>
      <c r="AA5" s="159">
        <v>0</v>
      </c>
      <c r="AB5" s="159">
        <v>0</v>
      </c>
      <c r="AC5" s="159">
        <v>0</v>
      </c>
      <c r="AD5" s="207">
        <v>44170</v>
      </c>
      <c r="AE5" s="200">
        <v>29.180650106585386</v>
      </c>
      <c r="AF5" s="200">
        <v>21.660545236835986</v>
      </c>
      <c r="AG5" s="200">
        <v>18.460756616359529</v>
      </c>
      <c r="AH5" s="200">
        <v>0</v>
      </c>
      <c r="AI5" s="200">
        <v>0</v>
      </c>
      <c r="AJ5" s="200">
        <v>0</v>
      </c>
      <c r="AL5" s="197">
        <f>AD5*USD2023_to_CAD2020</f>
        <v>50634.973702768715</v>
      </c>
      <c r="AM5" s="197" t="str">
        <f t="shared" si="1"/>
        <v>Box Medium 4</v>
      </c>
      <c r="AN5" s="3">
        <f t="shared" si="2"/>
        <v>12.103889352237641</v>
      </c>
      <c r="AO5" s="3">
        <f t="shared" si="3"/>
        <v>4.6720315863730786</v>
      </c>
      <c r="AP5" s="3">
        <f t="shared" si="4"/>
        <v>0</v>
      </c>
      <c r="AQ5" s="3">
        <f t="shared" si="5"/>
        <v>0</v>
      </c>
      <c r="AR5" s="3">
        <f t="shared" si="6"/>
        <v>4.6720315863730786</v>
      </c>
      <c r="AS5" s="81">
        <f t="shared" si="7"/>
        <v>1</v>
      </c>
      <c r="AT5" s="81">
        <f t="shared" si="8"/>
        <v>0</v>
      </c>
      <c r="AV5" s="271" t="s">
        <v>2652</v>
      </c>
      <c r="AX5" t="s">
        <v>2640</v>
      </c>
      <c r="AY5" s="80">
        <v>0.86</v>
      </c>
      <c r="AZ5" s="80">
        <v>0.86</v>
      </c>
      <c r="BA5" s="80">
        <v>0.81</v>
      </c>
      <c r="BB5" s="80">
        <v>0.6399999999999999</v>
      </c>
      <c r="BC5" s="80">
        <v>0.6399999999999999</v>
      </c>
      <c r="BD5" s="80">
        <v>0.28000000000000003</v>
      </c>
      <c r="BE5" s="80">
        <v>0</v>
      </c>
      <c r="BF5" s="80">
        <v>0</v>
      </c>
      <c r="BH5" t="s">
        <v>811</v>
      </c>
      <c r="BI5" t="s">
        <v>811</v>
      </c>
    </row>
    <row r="6" spans="1:61" x14ac:dyDescent="0.25">
      <c r="A6" t="s">
        <v>807</v>
      </c>
      <c r="B6">
        <v>2023</v>
      </c>
      <c r="C6" t="s">
        <v>680</v>
      </c>
      <c r="D6" t="s">
        <v>518</v>
      </c>
      <c r="E6" t="s">
        <v>1028</v>
      </c>
      <c r="F6">
        <v>2</v>
      </c>
      <c r="G6" t="s">
        <v>1741</v>
      </c>
      <c r="H6" s="460">
        <v>2195.6495416023899</v>
      </c>
      <c r="I6">
        <v>840</v>
      </c>
      <c r="J6">
        <v>0</v>
      </c>
      <c r="K6" s="67">
        <v>2.0908800000000003</v>
      </c>
      <c r="L6" s="159">
        <v>150</v>
      </c>
      <c r="M6" s="159">
        <v>8670</v>
      </c>
      <c r="N6" s="159">
        <v>220</v>
      </c>
      <c r="O6" s="159">
        <v>392</v>
      </c>
      <c r="P6" s="159">
        <v>1947</v>
      </c>
      <c r="Q6" s="159">
        <v>1500</v>
      </c>
      <c r="R6" s="159">
        <v>2000</v>
      </c>
      <c r="S6" s="159">
        <v>15000</v>
      </c>
      <c r="T6" s="159">
        <v>0</v>
      </c>
      <c r="U6" s="159">
        <v>1464</v>
      </c>
      <c r="V6" s="159">
        <v>4500</v>
      </c>
      <c r="W6" s="159">
        <v>186</v>
      </c>
      <c r="X6" s="159">
        <v>120</v>
      </c>
      <c r="Y6" s="159">
        <v>1500</v>
      </c>
      <c r="Z6" s="159">
        <v>1677</v>
      </c>
      <c r="AA6" s="159">
        <v>0</v>
      </c>
      <c r="AB6" s="159">
        <v>0</v>
      </c>
      <c r="AC6" s="159">
        <v>0</v>
      </c>
      <c r="AD6" s="207">
        <v>39326</v>
      </c>
      <c r="AE6" s="200">
        <v>24.798761252438265</v>
      </c>
      <c r="AF6" s="200">
        <v>19.812719562702981</v>
      </c>
      <c r="AG6" s="200">
        <v>15.150854187938796</v>
      </c>
      <c r="AH6" s="200">
        <v>0</v>
      </c>
      <c r="AI6" s="200">
        <v>0</v>
      </c>
      <c r="AJ6" s="200">
        <v>0</v>
      </c>
      <c r="AL6" s="197">
        <f t="shared" si="0"/>
        <v>45081.978171498355</v>
      </c>
      <c r="AM6" s="197" t="str">
        <f t="shared" si="1"/>
        <v>Box Medium 4</v>
      </c>
      <c r="AN6" s="3">
        <f t="shared" si="2"/>
        <v>14.592117529588659</v>
      </c>
      <c r="AO6" s="3">
        <f t="shared" si="3"/>
        <v>5.6324733336812152</v>
      </c>
      <c r="AP6" s="3">
        <f t="shared" si="4"/>
        <v>0</v>
      </c>
      <c r="AQ6" s="3">
        <f t="shared" si="5"/>
        <v>0</v>
      </c>
      <c r="AR6" s="3">
        <f t="shared" si="6"/>
        <v>5.6324733336812152</v>
      </c>
      <c r="AS6" s="81">
        <f t="shared" si="7"/>
        <v>1</v>
      </c>
      <c r="AT6" s="81">
        <f t="shared" si="8"/>
        <v>0</v>
      </c>
      <c r="AV6" s="659">
        <f>SUMPRODUCT(AY16:AY21,AZ16:AZ21)</f>
        <v>0.63295458190935094</v>
      </c>
      <c r="AX6" t="s">
        <v>2636</v>
      </c>
      <c r="AY6" s="655">
        <v>0.8</v>
      </c>
      <c r="AZ6" s="655">
        <v>0.8</v>
      </c>
      <c r="BA6" s="655">
        <v>0.5</v>
      </c>
      <c r="BB6" s="655">
        <v>0.8</v>
      </c>
      <c r="BC6" s="655">
        <v>0.8</v>
      </c>
      <c r="BD6" s="655">
        <v>0.8</v>
      </c>
      <c r="BE6" s="655">
        <v>0.8</v>
      </c>
      <c r="BF6" s="655">
        <v>0.5</v>
      </c>
      <c r="BH6" t="s">
        <v>834</v>
      </c>
      <c r="BI6" t="s">
        <v>834</v>
      </c>
    </row>
    <row r="7" spans="1:61" x14ac:dyDescent="0.25">
      <c r="A7" t="s">
        <v>808</v>
      </c>
      <c r="B7">
        <v>2023</v>
      </c>
      <c r="C7" t="s">
        <v>680</v>
      </c>
      <c r="D7" t="s">
        <v>518</v>
      </c>
      <c r="E7" t="s">
        <v>1028</v>
      </c>
      <c r="F7">
        <v>2</v>
      </c>
      <c r="G7" t="s">
        <v>1742</v>
      </c>
      <c r="H7" s="460">
        <v>3132.2494394918117</v>
      </c>
      <c r="I7">
        <v>840</v>
      </c>
      <c r="J7">
        <v>119.99999997072871</v>
      </c>
      <c r="K7" s="67">
        <v>96.817499999999995</v>
      </c>
      <c r="L7" s="159">
        <v>0</v>
      </c>
      <c r="M7" s="159">
        <v>11017</v>
      </c>
      <c r="N7" s="159">
        <v>220</v>
      </c>
      <c r="O7" s="159">
        <v>0</v>
      </c>
      <c r="P7" s="159">
        <v>0</v>
      </c>
      <c r="Q7" s="159">
        <v>1500</v>
      </c>
      <c r="R7" s="159">
        <v>2000</v>
      </c>
      <c r="S7" s="159">
        <v>15000</v>
      </c>
      <c r="T7" s="159">
        <v>3693</v>
      </c>
      <c r="U7" s="159">
        <v>33886</v>
      </c>
      <c r="V7" s="159">
        <v>4500</v>
      </c>
      <c r="W7" s="159">
        <v>186</v>
      </c>
      <c r="X7" s="159">
        <v>0</v>
      </c>
      <c r="Y7" s="159">
        <v>1500</v>
      </c>
      <c r="Z7" s="159">
        <v>4330</v>
      </c>
      <c r="AA7" s="159">
        <v>0</v>
      </c>
      <c r="AB7" s="159">
        <v>0</v>
      </c>
      <c r="AC7" s="159">
        <v>0</v>
      </c>
      <c r="AD7" s="207">
        <v>77832</v>
      </c>
      <c r="AE7" s="200">
        <v>80.728658650794358</v>
      </c>
      <c r="AF7" s="200">
        <v>35.729648077291934</v>
      </c>
      <c r="AG7" s="200">
        <v>22.835170350693886</v>
      </c>
      <c r="AH7" s="200">
        <v>425</v>
      </c>
      <c r="AI7" s="200">
        <v>734</v>
      </c>
      <c r="AJ7" s="200">
        <v>944</v>
      </c>
      <c r="AL7" s="197">
        <f t="shared" si="0"/>
        <v>89223.936455374569</v>
      </c>
      <c r="AM7" s="197" t="str">
        <f t="shared" si="1"/>
        <v>Box Medium 4</v>
      </c>
      <c r="AN7" s="3">
        <f>(IFERROR(L_100km_to_mpg/AE7 * HLOOKUP($AM7, $AY$2:$BF$6, 2, FALSE) +
L_100km_to_mpg/AF7 * HLOOKUP($AM7, $AY$2:$BF$6, 3, FALSE) +
L_100km_to_mpg/AG7 * HLOOKUP($AM7, $AY$2:$BF$6, 4, FALSE), 0)) *
IF(ISERROR(SEARCH("PHEV",$A7)), 1, 1-HLOOKUP($AM7, $AY$2:$BF$6, 5, FALSE))</f>
        <v>4.6136543256674187</v>
      </c>
      <c r="AO7" s="3">
        <f t="shared" si="3"/>
        <v>1.7808440007046227</v>
      </c>
      <c r="AP7" s="3">
        <f t="shared" si="4"/>
        <v>27.129133682130565</v>
      </c>
      <c r="AQ7" s="3">
        <f t="shared" si="5"/>
        <v>0.97664881255670044</v>
      </c>
      <c r="AR7" s="3">
        <f t="shared" si="6"/>
        <v>2.7574928132613232</v>
      </c>
      <c r="AS7" s="81">
        <f t="shared" si="7"/>
        <v>0.64581999711484106</v>
      </c>
      <c r="AT7" s="81">
        <f t="shared" si="8"/>
        <v>0.35418000288515894</v>
      </c>
      <c r="AV7" s="652"/>
      <c r="AX7" t="s">
        <v>2654</v>
      </c>
      <c r="BH7" t="s">
        <v>813</v>
      </c>
      <c r="BI7" t="s">
        <v>813</v>
      </c>
    </row>
    <row r="8" spans="1:61" x14ac:dyDescent="0.25">
      <c r="A8" t="s">
        <v>808</v>
      </c>
      <c r="B8">
        <v>2023</v>
      </c>
      <c r="C8" t="s">
        <v>680</v>
      </c>
      <c r="D8" t="s">
        <v>518</v>
      </c>
      <c r="E8" t="s">
        <v>1028</v>
      </c>
      <c r="F8">
        <v>2</v>
      </c>
      <c r="G8" t="s">
        <v>1743</v>
      </c>
      <c r="H8" s="460">
        <v>2968.4114481768402</v>
      </c>
      <c r="I8">
        <v>840</v>
      </c>
      <c r="J8">
        <v>119.99999997072871</v>
      </c>
      <c r="K8" s="67">
        <v>88.873500000000007</v>
      </c>
      <c r="L8" s="159">
        <v>0</v>
      </c>
      <c r="M8" s="159">
        <v>7693</v>
      </c>
      <c r="N8" s="159">
        <v>220</v>
      </c>
      <c r="O8" s="159">
        <v>0</v>
      </c>
      <c r="P8" s="159">
        <v>2255</v>
      </c>
      <c r="Q8" s="159">
        <v>1500</v>
      </c>
      <c r="R8" s="159">
        <v>2000</v>
      </c>
      <c r="S8" s="159">
        <v>15000</v>
      </c>
      <c r="T8" s="159">
        <v>3476</v>
      </c>
      <c r="U8" s="159">
        <v>31106</v>
      </c>
      <c r="V8" s="159">
        <v>4500</v>
      </c>
      <c r="W8" s="159">
        <v>186</v>
      </c>
      <c r="X8" s="159">
        <v>0</v>
      </c>
      <c r="Y8" s="159">
        <v>1500</v>
      </c>
      <c r="Z8" s="159">
        <v>3540</v>
      </c>
      <c r="AA8" s="159">
        <v>0</v>
      </c>
      <c r="AB8" s="159">
        <v>0</v>
      </c>
      <c r="AC8" s="159">
        <v>0</v>
      </c>
      <c r="AD8" s="207">
        <v>72976</v>
      </c>
      <c r="AE8" s="200">
        <v>23.813172435730603</v>
      </c>
      <c r="AF8" s="200">
        <v>16.374225827350077</v>
      </c>
      <c r="AG8" s="200">
        <v>12.030865848633745</v>
      </c>
      <c r="AH8" s="200">
        <v>431</v>
      </c>
      <c r="AI8" s="200">
        <v>652</v>
      </c>
      <c r="AJ8" s="200">
        <v>856</v>
      </c>
      <c r="AL8" s="197">
        <f t="shared" si="0"/>
        <v>83657.184535504857</v>
      </c>
      <c r="AM8" s="197" t="str">
        <f t="shared" si="1"/>
        <v>Box Medium 4</v>
      </c>
      <c r="AN8" s="3">
        <f t="shared" si="2"/>
        <v>9.0584429124920938</v>
      </c>
      <c r="AO8" s="3">
        <f t="shared" si="3"/>
        <v>3.4965067986759539</v>
      </c>
      <c r="AP8" s="3">
        <f t="shared" si="4"/>
        <v>24.703915890986366</v>
      </c>
      <c r="AQ8" s="3">
        <f t="shared" si="5"/>
        <v>0.88934097207550922</v>
      </c>
      <c r="AR8" s="3">
        <f t="shared" si="6"/>
        <v>4.3858477707514627</v>
      </c>
      <c r="AS8" s="81">
        <f t="shared" si="7"/>
        <v>0.7972248425934011</v>
      </c>
      <c r="AT8" s="81">
        <f t="shared" si="8"/>
        <v>0.20277515740659902</v>
      </c>
      <c r="AV8" s="653" t="s">
        <v>2653</v>
      </c>
      <c r="BH8" t="s">
        <v>836</v>
      </c>
      <c r="BI8" t="s">
        <v>813</v>
      </c>
    </row>
    <row r="9" spans="1:61" ht="15.75" thickBot="1" x14ac:dyDescent="0.3">
      <c r="A9" t="s">
        <v>230</v>
      </c>
      <c r="B9">
        <v>2023</v>
      </c>
      <c r="C9" t="s">
        <v>680</v>
      </c>
      <c r="D9" t="s">
        <v>518</v>
      </c>
      <c r="E9" t="s">
        <v>1028</v>
      </c>
      <c r="F9">
        <v>2</v>
      </c>
      <c r="G9" t="s">
        <v>1744</v>
      </c>
      <c r="H9" s="460">
        <v>2828.6317290797706</v>
      </c>
      <c r="I9">
        <v>840</v>
      </c>
      <c r="J9">
        <v>150.00000001001371</v>
      </c>
      <c r="K9" s="67">
        <v>124.125</v>
      </c>
      <c r="L9" s="159">
        <v>0</v>
      </c>
      <c r="M9" s="159">
        <v>0</v>
      </c>
      <c r="N9" s="159">
        <v>0</v>
      </c>
      <c r="O9" s="159">
        <v>0</v>
      </c>
      <c r="P9" s="159">
        <v>0</v>
      </c>
      <c r="Q9" s="159">
        <v>1500</v>
      </c>
      <c r="R9" s="159">
        <v>2000</v>
      </c>
      <c r="S9" s="159">
        <v>15000</v>
      </c>
      <c r="T9" s="159">
        <v>0</v>
      </c>
      <c r="U9" s="159">
        <v>43444</v>
      </c>
      <c r="V9" s="159">
        <v>4500</v>
      </c>
      <c r="W9" s="159">
        <v>186</v>
      </c>
      <c r="X9" s="159">
        <v>0</v>
      </c>
      <c r="Y9" s="159">
        <v>1500</v>
      </c>
      <c r="Z9" s="159">
        <v>4387</v>
      </c>
      <c r="AA9" s="159">
        <v>0</v>
      </c>
      <c r="AB9" s="159">
        <v>0</v>
      </c>
      <c r="AC9" s="159">
        <v>0</v>
      </c>
      <c r="AD9" s="207">
        <v>72517</v>
      </c>
      <c r="AE9" s="200">
        <v>0</v>
      </c>
      <c r="AF9" s="200">
        <v>0</v>
      </c>
      <c r="AG9" s="200">
        <v>0</v>
      </c>
      <c r="AH9" s="200">
        <v>406</v>
      </c>
      <c r="AI9" s="200">
        <v>714</v>
      </c>
      <c r="AJ9" s="200">
        <v>920</v>
      </c>
      <c r="AL9" s="197">
        <f t="shared" si="0"/>
        <v>83131.002671579787</v>
      </c>
      <c r="AM9" s="197" t="str">
        <f t="shared" si="1"/>
        <v>Box Medium 4</v>
      </c>
      <c r="AN9" s="3">
        <f t="shared" si="2"/>
        <v>0</v>
      </c>
      <c r="AO9" s="3">
        <f t="shared" si="3"/>
        <v>0</v>
      </c>
      <c r="AP9" s="3">
        <f t="shared" si="4"/>
        <v>52.820410851653477</v>
      </c>
      <c r="AQ9" s="3">
        <f t="shared" si="5"/>
        <v>1.9015347906595252</v>
      </c>
      <c r="AR9" s="3">
        <f t="shared" si="6"/>
        <v>1.9015347906595252</v>
      </c>
      <c r="AS9" s="81">
        <f t="shared" si="7"/>
        <v>0</v>
      </c>
      <c r="AT9" s="81">
        <f t="shared" si="8"/>
        <v>1</v>
      </c>
      <c r="AV9" s="658">
        <f>AY22</f>
        <v>0.39662766784695136</v>
      </c>
      <c r="AX9" s="26" t="s">
        <v>2676</v>
      </c>
      <c r="BH9" t="s">
        <v>814</v>
      </c>
      <c r="BI9" t="s">
        <v>814</v>
      </c>
    </row>
    <row r="10" spans="1:61" ht="15.75" thickBot="1" x14ac:dyDescent="0.3">
      <c r="A10" t="s">
        <v>496</v>
      </c>
      <c r="B10">
        <v>2023</v>
      </c>
      <c r="C10" t="s">
        <v>680</v>
      </c>
      <c r="D10" t="s">
        <v>518</v>
      </c>
      <c r="E10" t="s">
        <v>1028</v>
      </c>
      <c r="F10">
        <v>2</v>
      </c>
      <c r="G10" t="s">
        <v>1745</v>
      </c>
      <c r="H10" s="460">
        <v>2264.4506873191363</v>
      </c>
      <c r="I10">
        <v>840</v>
      </c>
      <c r="J10">
        <v>150.00000001001371</v>
      </c>
      <c r="K10" s="67">
        <v>2.0908800000000003</v>
      </c>
      <c r="L10" s="159">
        <v>0</v>
      </c>
      <c r="M10" s="159">
        <v>0</v>
      </c>
      <c r="N10" s="159">
        <v>0</v>
      </c>
      <c r="O10" s="159">
        <v>0</v>
      </c>
      <c r="P10" s="159">
        <v>0</v>
      </c>
      <c r="Q10" s="159">
        <v>1500</v>
      </c>
      <c r="R10" s="159">
        <v>2000</v>
      </c>
      <c r="S10" s="159">
        <v>15000</v>
      </c>
      <c r="T10" s="159">
        <v>0</v>
      </c>
      <c r="U10" s="159">
        <v>1464</v>
      </c>
      <c r="V10" s="159">
        <v>4500</v>
      </c>
      <c r="W10" s="159">
        <v>186</v>
      </c>
      <c r="X10" s="159">
        <v>0</v>
      </c>
      <c r="Y10" s="159">
        <v>1500</v>
      </c>
      <c r="Z10" s="159">
        <v>4284</v>
      </c>
      <c r="AA10" s="159">
        <v>19912</v>
      </c>
      <c r="AB10" s="159">
        <v>6413</v>
      </c>
      <c r="AC10" s="159">
        <v>0</v>
      </c>
      <c r="AD10" s="207">
        <v>56759</v>
      </c>
      <c r="AE10" s="200">
        <v>53.350852356052648</v>
      </c>
      <c r="AF10" s="200">
        <v>32.016753903262384</v>
      </c>
      <c r="AG10" s="200">
        <v>23.916029655186424</v>
      </c>
      <c r="AH10" s="200">
        <v>0</v>
      </c>
      <c r="AI10" s="200">
        <v>0</v>
      </c>
      <c r="AJ10" s="200">
        <v>0</v>
      </c>
      <c r="AL10" s="197">
        <f t="shared" si="0"/>
        <v>65066.571709201933</v>
      </c>
      <c r="AM10" s="197" t="str">
        <f t="shared" si="1"/>
        <v>Box Medium 4</v>
      </c>
      <c r="AN10" s="3">
        <f t="shared" si="2"/>
        <v>9.0684626442424019</v>
      </c>
      <c r="AO10" s="3">
        <f t="shared" si="3"/>
        <v>3.50037435743018</v>
      </c>
      <c r="AP10" s="3">
        <f t="shared" si="4"/>
        <v>0</v>
      </c>
      <c r="AQ10" s="3">
        <f t="shared" si="5"/>
        <v>0</v>
      </c>
      <c r="AR10" s="3">
        <f t="shared" si="6"/>
        <v>3.50037435743018</v>
      </c>
      <c r="AS10" s="81">
        <f t="shared" si="7"/>
        <v>1</v>
      </c>
      <c r="AT10" s="81">
        <f t="shared" si="8"/>
        <v>0</v>
      </c>
      <c r="AX10" s="83" t="s">
        <v>112</v>
      </c>
      <c r="AY10" s="83">
        <v>2023</v>
      </c>
      <c r="AZ10" s="83">
        <v>2025</v>
      </c>
      <c r="BA10" s="651">
        <v>2030</v>
      </c>
      <c r="BB10" s="83">
        <v>2035</v>
      </c>
      <c r="BC10" s="651">
        <v>2050</v>
      </c>
      <c r="BD10" s="654"/>
      <c r="BH10" t="s">
        <v>809</v>
      </c>
      <c r="BI10" t="s">
        <v>813</v>
      </c>
    </row>
    <row r="11" spans="1:61" ht="15.75" thickTop="1" x14ac:dyDescent="0.25">
      <c r="A11" t="s">
        <v>828</v>
      </c>
      <c r="B11">
        <v>2023</v>
      </c>
      <c r="C11" t="s">
        <v>680</v>
      </c>
      <c r="D11" t="s">
        <v>518</v>
      </c>
      <c r="E11" t="s">
        <v>1028</v>
      </c>
      <c r="F11">
        <v>2</v>
      </c>
      <c r="G11" t="s">
        <v>1746</v>
      </c>
      <c r="H11" s="460">
        <v>2284.6420585826045</v>
      </c>
      <c r="I11">
        <v>840</v>
      </c>
      <c r="J11">
        <v>150.00000001001371</v>
      </c>
      <c r="K11" s="67">
        <v>10.798875000000001</v>
      </c>
      <c r="L11" s="159">
        <v>0</v>
      </c>
      <c r="M11" s="159">
        <v>0</v>
      </c>
      <c r="N11" s="159">
        <v>0</v>
      </c>
      <c r="O11" s="159">
        <v>0</v>
      </c>
      <c r="P11" s="159">
        <v>0</v>
      </c>
      <c r="Q11" s="159">
        <v>1500</v>
      </c>
      <c r="R11" s="159">
        <v>2000</v>
      </c>
      <c r="S11" s="159">
        <v>15000</v>
      </c>
      <c r="T11" s="159">
        <v>0</v>
      </c>
      <c r="U11" s="159">
        <v>3780</v>
      </c>
      <c r="V11" s="159">
        <v>4500</v>
      </c>
      <c r="W11" s="159">
        <v>186</v>
      </c>
      <c r="X11" s="159">
        <v>0</v>
      </c>
      <c r="Y11" s="159">
        <v>1500</v>
      </c>
      <c r="Z11" s="159">
        <v>5006</v>
      </c>
      <c r="AA11" s="159">
        <v>13416</v>
      </c>
      <c r="AB11" s="159">
        <v>5775</v>
      </c>
      <c r="AC11" s="159">
        <v>0</v>
      </c>
      <c r="AD11" s="207">
        <v>52663</v>
      </c>
      <c r="AE11" s="200">
        <v>53.587859962147469</v>
      </c>
      <c r="AF11" s="200">
        <v>30.250220441891258</v>
      </c>
      <c r="AG11" s="200">
        <v>22.616625467494156</v>
      </c>
      <c r="AH11" s="200">
        <v>0</v>
      </c>
      <c r="AI11" s="200">
        <v>0</v>
      </c>
      <c r="AJ11" s="200">
        <v>0</v>
      </c>
      <c r="AL11" s="197">
        <f t="shared" si="0"/>
        <v>60371.057733957634</v>
      </c>
      <c r="AM11" s="197" t="str">
        <f t="shared" si="1"/>
        <v>Box Medium 4</v>
      </c>
      <c r="AN11" s="3">
        <f t="shared" si="2"/>
        <v>9.5628213779393061</v>
      </c>
      <c r="AO11" s="3">
        <f t="shared" si="3"/>
        <v>3.6911939817358457</v>
      </c>
      <c r="AP11" s="3">
        <f t="shared" si="4"/>
        <v>0</v>
      </c>
      <c r="AQ11" s="3">
        <f t="shared" si="5"/>
        <v>0</v>
      </c>
      <c r="AR11" s="3">
        <f t="shared" si="6"/>
        <v>3.6911939817358457</v>
      </c>
      <c r="AS11" s="81">
        <f t="shared" si="7"/>
        <v>1</v>
      </c>
      <c r="AT11" s="81">
        <f t="shared" si="8"/>
        <v>0</v>
      </c>
      <c r="AX11" t="s">
        <v>2650</v>
      </c>
      <c r="AY11" s="81" cm="1">
        <f t="array" ref="AY11">AVERAGE(_xlfn._xlws.FILTER('Autonomie 2023 MHDV'!$AS:$AS,('Autonomie 2023 MHDV'!$A:$A="SeriesPHEV")*('Autonomie 2023 MHDV'!$B:$B=AY10)*('Autonomie 2023 MHDV'!$F:$F&lt;8)))</f>
        <v>0.58616742319913262</v>
      </c>
      <c r="AZ11" s="81" cm="1">
        <f t="array" ref="AZ11">AVERAGE(_xlfn._xlws.FILTER('Autonomie 2023 MHDV'!$AS:$AS,('Autonomie 2023 MHDV'!$A:$A="SeriesPHEV")*('Autonomie 2023 MHDV'!$B:$B=AZ10)*('Autonomie 2023 MHDV'!$F:$F&lt;8)))</f>
        <v>0.57864885517740394</v>
      </c>
      <c r="BA11" s="81" cm="1">
        <f t="array" ref="BA11">AVERAGE(_xlfn._xlws.FILTER('Autonomie 2023 MHDV'!$AS:$AS,('Autonomie 2023 MHDV'!$A:$A="SeriesPHEV")*('Autonomie 2023 MHDV'!$B:$B=BA10)*('Autonomie 2023 MHDV'!$F:$F&lt;8)))</f>
        <v>0.57101897116994504</v>
      </c>
      <c r="BB11" s="81" cm="1">
        <f t="array" ref="BB11">AVERAGE(_xlfn._xlws.FILTER('Autonomie 2023 MHDV'!$AS:$AS,('Autonomie 2023 MHDV'!$A:$A="SeriesPHEV")*('Autonomie 2023 MHDV'!$B:$B=BB10)*('Autonomie 2023 MHDV'!$F:$F&lt;8)))</f>
        <v>0.56439665801126271</v>
      </c>
      <c r="BC11" s="81" cm="1">
        <f t="array" ref="BC11">AVERAGE(_xlfn._xlws.FILTER('Autonomie 2023 MHDV'!$AS:$AS,('Autonomie 2023 MHDV'!$A:$A="SeriesPHEV")*('Autonomie 2023 MHDV'!$B:$B=BC10)*('Autonomie 2023 MHDV'!$F:$F&lt;8)))</f>
        <v>0.55731258160735497</v>
      </c>
      <c r="BD11" s="81"/>
    </row>
    <row r="12" spans="1:61" x14ac:dyDescent="0.25">
      <c r="A12" t="s">
        <v>805</v>
      </c>
      <c r="B12">
        <v>2025</v>
      </c>
      <c r="C12" t="s">
        <v>680</v>
      </c>
      <c r="D12" t="s">
        <v>518</v>
      </c>
      <c r="E12" t="s">
        <v>1028</v>
      </c>
      <c r="F12">
        <v>2</v>
      </c>
      <c r="G12" t="s">
        <v>1747</v>
      </c>
      <c r="H12" s="460">
        <v>2372.9805174587786</v>
      </c>
      <c r="I12">
        <v>840</v>
      </c>
      <c r="J12">
        <v>0</v>
      </c>
      <c r="K12" s="67">
        <v>0</v>
      </c>
      <c r="L12" s="159">
        <v>150</v>
      </c>
      <c r="M12" s="159">
        <v>14175</v>
      </c>
      <c r="N12" s="159">
        <v>1920</v>
      </c>
      <c r="O12" s="159">
        <v>506</v>
      </c>
      <c r="P12" s="159">
        <v>4043</v>
      </c>
      <c r="Q12" s="159">
        <v>1500</v>
      </c>
      <c r="R12" s="159">
        <v>2000</v>
      </c>
      <c r="S12" s="159">
        <v>15076</v>
      </c>
      <c r="T12" s="159">
        <v>92</v>
      </c>
      <c r="U12" s="159">
        <v>120</v>
      </c>
      <c r="V12" s="159">
        <v>0</v>
      </c>
      <c r="W12" s="159">
        <v>186</v>
      </c>
      <c r="X12" s="159">
        <v>0</v>
      </c>
      <c r="Y12" s="159">
        <v>0</v>
      </c>
      <c r="Z12" s="159">
        <v>0</v>
      </c>
      <c r="AA12" s="159">
        <v>0</v>
      </c>
      <c r="AB12" s="159">
        <v>0</v>
      </c>
      <c r="AC12" s="159">
        <v>0</v>
      </c>
      <c r="AD12" s="207">
        <v>39768</v>
      </c>
      <c r="AE12" s="200">
        <v>17.837496213267915</v>
      </c>
      <c r="AF12" s="200">
        <v>20.820838778434712</v>
      </c>
      <c r="AG12" s="200">
        <v>19.263020785773644</v>
      </c>
      <c r="AH12" s="200">
        <v>0</v>
      </c>
      <c r="AI12" s="200">
        <v>0</v>
      </c>
      <c r="AJ12" s="200">
        <v>0</v>
      </c>
      <c r="AL12" s="197">
        <f t="shared" si="0"/>
        <v>45588.671818241026</v>
      </c>
      <c r="AM12" s="197" t="str">
        <f t="shared" si="1"/>
        <v>Box Medium 4</v>
      </c>
      <c r="AN12" s="3">
        <f t="shared" si="2"/>
        <v>12.226067924692469</v>
      </c>
      <c r="AO12" s="3">
        <f t="shared" si="3"/>
        <v>4.7191918117415792</v>
      </c>
      <c r="AP12" s="3">
        <f t="shared" si="4"/>
        <v>0</v>
      </c>
      <c r="AQ12" s="3">
        <f t="shared" si="5"/>
        <v>0</v>
      </c>
      <c r="AR12" s="3">
        <f t="shared" si="6"/>
        <v>4.7191918117415792</v>
      </c>
      <c r="AS12" s="81">
        <f t="shared" si="7"/>
        <v>1</v>
      </c>
      <c r="AT12" s="81">
        <f t="shared" si="8"/>
        <v>0</v>
      </c>
      <c r="AX12" t="s">
        <v>2651</v>
      </c>
      <c r="AY12" s="81" cm="1">
        <f t="array" ref="AY12">AVERAGE(_xlfn._xlws.FILTER('Autonomie 2023 MHDV'!$AS:$AS,('Autonomie 2023 MHDV'!$A:$A="SeriesPHEV")*('Autonomie 2023 MHDV'!$B:$B=AY10)*('Autonomie 2023 MHDV'!$F:$F=8)))</f>
        <v>0.41020408636221167</v>
      </c>
      <c r="AZ12" s="81" cm="1">
        <f t="array" ref="AZ12">AVERAGE(_xlfn._xlws.FILTER('Autonomie 2023 MHDV'!$AS:$AS,('Autonomie 2023 MHDV'!$A:$A="SeriesPHEV")*('Autonomie 2023 MHDV'!$B:$B=AZ10)*('Autonomie 2023 MHDV'!$F:$F=8)))</f>
        <v>0.40317822999560582</v>
      </c>
      <c r="BA12" s="81" cm="1">
        <f t="array" ref="BA12">AVERAGE(_xlfn._xlws.FILTER('Autonomie 2023 MHDV'!$AS:$AS,('Autonomie 2023 MHDV'!$A:$A="SeriesPHEV")*('Autonomie 2023 MHDV'!$B:$B=BA10)*('Autonomie 2023 MHDV'!$F:$F=8)))</f>
        <v>0.39657890495390696</v>
      </c>
      <c r="BB12" s="81" cm="1">
        <f t="array" ref="BB12">AVERAGE(_xlfn._xlws.FILTER('Autonomie 2023 MHDV'!$AS:$AS,('Autonomie 2023 MHDV'!$A:$A="SeriesPHEV")*('Autonomie 2023 MHDV'!$B:$B=BB10)*('Autonomie 2023 MHDV'!$F:$F=8)))</f>
        <v>0.39215252973042192</v>
      </c>
      <c r="BC12" s="81" cm="1">
        <f t="array" ref="BC12">AVERAGE(_xlfn._xlws.FILTER('Autonomie 2023 MHDV'!$AS:$AS,('Autonomie 2023 MHDV'!$A:$A="SeriesPHEV")*('Autonomie 2023 MHDV'!$B:$B=BC10)*('Autonomie 2023 MHDV'!$F:$F=8)))</f>
        <v>0.3810245881926107</v>
      </c>
      <c r="BD12" s="81"/>
    </row>
    <row r="13" spans="1:61" x14ac:dyDescent="0.25">
      <c r="A13" t="s">
        <v>805</v>
      </c>
      <c r="B13">
        <v>2025</v>
      </c>
      <c r="C13" t="s">
        <v>680</v>
      </c>
      <c r="D13" t="s">
        <v>518</v>
      </c>
      <c r="E13" t="s">
        <v>1028</v>
      </c>
      <c r="F13">
        <v>2</v>
      </c>
      <c r="G13" t="s">
        <v>1748</v>
      </c>
      <c r="H13" s="460">
        <v>2207.3577820109845</v>
      </c>
      <c r="I13">
        <v>840</v>
      </c>
      <c r="J13">
        <v>0</v>
      </c>
      <c r="K13" s="67">
        <v>0</v>
      </c>
      <c r="L13" s="159">
        <v>150</v>
      </c>
      <c r="M13" s="159">
        <v>13907</v>
      </c>
      <c r="N13" s="159">
        <v>1920</v>
      </c>
      <c r="O13" s="159">
        <v>506</v>
      </c>
      <c r="P13" s="159">
        <v>2859</v>
      </c>
      <c r="Q13" s="159">
        <v>1500</v>
      </c>
      <c r="R13" s="159">
        <v>2000</v>
      </c>
      <c r="S13" s="159">
        <v>15076</v>
      </c>
      <c r="T13" s="159">
        <v>92</v>
      </c>
      <c r="U13" s="159">
        <v>120</v>
      </c>
      <c r="V13" s="159">
        <v>0</v>
      </c>
      <c r="W13" s="159">
        <v>186</v>
      </c>
      <c r="X13" s="159">
        <v>0</v>
      </c>
      <c r="Y13" s="159">
        <v>0</v>
      </c>
      <c r="Z13" s="159">
        <v>0</v>
      </c>
      <c r="AA13" s="159">
        <v>0</v>
      </c>
      <c r="AB13" s="159">
        <v>0</v>
      </c>
      <c r="AC13" s="159">
        <v>0</v>
      </c>
      <c r="AD13" s="207">
        <v>38316</v>
      </c>
      <c r="AE13" s="200">
        <v>12.157020615981025</v>
      </c>
      <c r="AF13" s="200">
        <v>15.719664621375491</v>
      </c>
      <c r="AG13" s="200">
        <v>15.542066515391628</v>
      </c>
      <c r="AH13" s="200">
        <v>0</v>
      </c>
      <c r="AI13" s="200">
        <v>0</v>
      </c>
      <c r="AJ13" s="200">
        <v>0</v>
      </c>
      <c r="AL13" s="197">
        <f t="shared" si="0"/>
        <v>43924.148797719856</v>
      </c>
      <c r="AM13" s="197" t="str">
        <f t="shared" si="1"/>
        <v>Box Medium 4</v>
      </c>
      <c r="AN13" s="3">
        <f t="shared" si="2"/>
        <v>15.54010646866489</v>
      </c>
      <c r="AO13" s="3">
        <f t="shared" si="3"/>
        <v>5.9983916049084431</v>
      </c>
      <c r="AP13" s="3">
        <f t="shared" si="4"/>
        <v>0</v>
      </c>
      <c r="AQ13" s="3">
        <f t="shared" si="5"/>
        <v>0</v>
      </c>
      <c r="AR13" s="3">
        <f t="shared" si="6"/>
        <v>5.9983916049084431</v>
      </c>
      <c r="AS13" s="81">
        <f t="shared" si="7"/>
        <v>1</v>
      </c>
      <c r="AT13" s="81">
        <f t="shared" si="8"/>
        <v>0</v>
      </c>
    </row>
    <row r="14" spans="1:61" x14ac:dyDescent="0.25">
      <c r="A14" t="s">
        <v>807</v>
      </c>
      <c r="B14">
        <v>2025</v>
      </c>
      <c r="C14" t="s">
        <v>680</v>
      </c>
      <c r="D14" t="s">
        <v>518</v>
      </c>
      <c r="E14" t="s">
        <v>1028</v>
      </c>
      <c r="F14">
        <v>2</v>
      </c>
      <c r="G14" t="s">
        <v>1749</v>
      </c>
      <c r="H14" s="460">
        <v>2326.9436512839275</v>
      </c>
      <c r="I14">
        <v>840</v>
      </c>
      <c r="J14">
        <v>0</v>
      </c>
      <c r="K14" s="67">
        <v>2.3443200000000002</v>
      </c>
      <c r="L14" s="159">
        <v>150</v>
      </c>
      <c r="M14" s="159">
        <v>12245</v>
      </c>
      <c r="N14" s="159">
        <v>220</v>
      </c>
      <c r="O14" s="159">
        <v>392</v>
      </c>
      <c r="P14" s="159">
        <v>3173</v>
      </c>
      <c r="Q14" s="159">
        <v>1500</v>
      </c>
      <c r="R14" s="159">
        <v>2000</v>
      </c>
      <c r="S14" s="159">
        <v>15076</v>
      </c>
      <c r="T14" s="159">
        <v>0</v>
      </c>
      <c r="U14" s="159">
        <v>1108</v>
      </c>
      <c r="V14" s="159">
        <v>4500</v>
      </c>
      <c r="W14" s="159">
        <v>186</v>
      </c>
      <c r="X14" s="159">
        <v>120</v>
      </c>
      <c r="Y14" s="159">
        <v>1500</v>
      </c>
      <c r="Z14" s="159">
        <v>1686</v>
      </c>
      <c r="AA14" s="159">
        <v>0</v>
      </c>
      <c r="AB14" s="159">
        <v>0</v>
      </c>
      <c r="AC14" s="159">
        <v>0</v>
      </c>
      <c r="AD14" s="207">
        <v>43856</v>
      </c>
      <c r="AE14" s="200">
        <v>32.227470565440321</v>
      </c>
      <c r="AF14" s="200">
        <v>24.082969166042179</v>
      </c>
      <c r="AG14" s="200">
        <v>20.722115009595619</v>
      </c>
      <c r="AH14" s="200">
        <v>0</v>
      </c>
      <c r="AI14" s="200">
        <v>0</v>
      </c>
      <c r="AJ14" s="200">
        <v>0</v>
      </c>
      <c r="AL14" s="197">
        <f t="shared" si="0"/>
        <v>50275.014867752427</v>
      </c>
      <c r="AM14" s="197" t="str">
        <f t="shared" si="1"/>
        <v>Box Medium 4</v>
      </c>
      <c r="AN14" s="3">
        <f t="shared" si="2"/>
        <v>10.803124103027585</v>
      </c>
      <c r="AO14" s="3">
        <f t="shared" si="3"/>
        <v>4.1699436909940335</v>
      </c>
      <c r="AP14" s="3">
        <f t="shared" si="4"/>
        <v>0</v>
      </c>
      <c r="AQ14" s="3">
        <f t="shared" si="5"/>
        <v>0</v>
      </c>
      <c r="AR14" s="3">
        <f t="shared" si="6"/>
        <v>4.1699436909940335</v>
      </c>
      <c r="AS14" s="81">
        <f t="shared" si="7"/>
        <v>1</v>
      </c>
      <c r="AT14" s="81">
        <f t="shared" si="8"/>
        <v>0</v>
      </c>
      <c r="AX14" s="26" t="s">
        <v>2677</v>
      </c>
    </row>
    <row r="15" spans="1:61" ht="15.75" thickBot="1" x14ac:dyDescent="0.3">
      <c r="A15" t="s">
        <v>807</v>
      </c>
      <c r="B15">
        <v>2025</v>
      </c>
      <c r="C15" t="s">
        <v>680</v>
      </c>
      <c r="D15" t="s">
        <v>518</v>
      </c>
      <c r="E15" t="s">
        <v>1028</v>
      </c>
      <c r="F15">
        <v>2</v>
      </c>
      <c r="G15" t="s">
        <v>1750</v>
      </c>
      <c r="H15" s="460">
        <v>2180.2725312244061</v>
      </c>
      <c r="I15">
        <v>840</v>
      </c>
      <c r="J15">
        <v>0</v>
      </c>
      <c r="K15" s="67">
        <v>2.0908800000000003</v>
      </c>
      <c r="L15" s="159">
        <v>150</v>
      </c>
      <c r="M15" s="159">
        <v>9114</v>
      </c>
      <c r="N15" s="159">
        <v>220</v>
      </c>
      <c r="O15" s="159">
        <v>392</v>
      </c>
      <c r="P15" s="159">
        <v>1947</v>
      </c>
      <c r="Q15" s="159">
        <v>1500</v>
      </c>
      <c r="R15" s="159">
        <v>2000</v>
      </c>
      <c r="S15" s="159">
        <v>15076</v>
      </c>
      <c r="T15" s="159">
        <v>0</v>
      </c>
      <c r="U15" s="159">
        <v>988</v>
      </c>
      <c r="V15" s="159">
        <v>4500</v>
      </c>
      <c r="W15" s="159">
        <v>186</v>
      </c>
      <c r="X15" s="159">
        <v>120</v>
      </c>
      <c r="Y15" s="159">
        <v>1500</v>
      </c>
      <c r="Z15" s="159">
        <v>1446</v>
      </c>
      <c r="AA15" s="159">
        <v>0</v>
      </c>
      <c r="AB15" s="159">
        <v>0</v>
      </c>
      <c r="AC15" s="159">
        <v>0</v>
      </c>
      <c r="AD15" s="207">
        <v>39139</v>
      </c>
      <c r="AE15" s="200">
        <v>21.987107440858644</v>
      </c>
      <c r="AF15" s="200">
        <v>22.74344288779351</v>
      </c>
      <c r="AG15" s="200">
        <v>17.383231661205933</v>
      </c>
      <c r="AH15" s="200">
        <v>0</v>
      </c>
      <c r="AI15" s="200">
        <v>0</v>
      </c>
      <c r="AJ15" s="200">
        <v>0</v>
      </c>
      <c r="AL15" s="197">
        <f t="shared" si="0"/>
        <v>44867.607782491847</v>
      </c>
      <c r="AM15" s="197" t="str">
        <f t="shared" si="1"/>
        <v>Box Medium 4</v>
      </c>
      <c r="AN15" s="3">
        <f t="shared" si="2"/>
        <v>12.960807875768682</v>
      </c>
      <c r="AO15" s="3">
        <f t="shared" si="3"/>
        <v>5.0027972016540101</v>
      </c>
      <c r="AP15" s="3">
        <f t="shared" si="4"/>
        <v>0</v>
      </c>
      <c r="AQ15" s="3">
        <f t="shared" si="5"/>
        <v>0</v>
      </c>
      <c r="AR15" s="3">
        <f t="shared" si="6"/>
        <v>5.0027972016540101</v>
      </c>
      <c r="AS15" s="81">
        <f t="shared" si="7"/>
        <v>1</v>
      </c>
      <c r="AT15" s="81">
        <f t="shared" si="8"/>
        <v>0</v>
      </c>
      <c r="AX15" s="83" t="s">
        <v>112</v>
      </c>
      <c r="AY15" s="83" t="s">
        <v>820</v>
      </c>
      <c r="AZ15" s="83" t="s">
        <v>2678</v>
      </c>
    </row>
    <row r="16" spans="1:61" ht="15.75" thickTop="1" x14ac:dyDescent="0.25">
      <c r="A16" t="s">
        <v>808</v>
      </c>
      <c r="B16">
        <v>2025</v>
      </c>
      <c r="C16" t="s">
        <v>680</v>
      </c>
      <c r="D16" t="s">
        <v>518</v>
      </c>
      <c r="E16" t="s">
        <v>1028</v>
      </c>
      <c r="F16">
        <v>2</v>
      </c>
      <c r="G16" t="s">
        <v>1751</v>
      </c>
      <c r="H16" s="460">
        <v>2945.0078165037498</v>
      </c>
      <c r="I16">
        <v>840</v>
      </c>
      <c r="J16">
        <v>119.99999997072871</v>
      </c>
      <c r="K16" s="67">
        <v>90.363</v>
      </c>
      <c r="L16" s="159">
        <v>0</v>
      </c>
      <c r="M16" s="159">
        <v>11267</v>
      </c>
      <c r="N16" s="159">
        <v>220</v>
      </c>
      <c r="O16" s="159">
        <v>0</v>
      </c>
      <c r="P16" s="159">
        <v>0</v>
      </c>
      <c r="Q16" s="159">
        <v>1500</v>
      </c>
      <c r="R16" s="159">
        <v>2000</v>
      </c>
      <c r="S16" s="159">
        <v>15076</v>
      </c>
      <c r="T16" s="159">
        <v>3351</v>
      </c>
      <c r="U16" s="159">
        <v>25302</v>
      </c>
      <c r="V16" s="159">
        <v>4500</v>
      </c>
      <c r="W16" s="159">
        <v>186</v>
      </c>
      <c r="X16" s="159">
        <v>0</v>
      </c>
      <c r="Y16" s="159">
        <v>1500</v>
      </c>
      <c r="Z16" s="159">
        <v>3711</v>
      </c>
      <c r="AA16" s="159">
        <v>0</v>
      </c>
      <c r="AB16" s="159">
        <v>0</v>
      </c>
      <c r="AC16" s="159">
        <v>0</v>
      </c>
      <c r="AD16" s="207">
        <v>68613</v>
      </c>
      <c r="AE16" s="200">
        <v>87.905180501922359</v>
      </c>
      <c r="AF16" s="200">
        <v>39.873110590455859</v>
      </c>
      <c r="AG16" s="200">
        <v>25.4865221160779</v>
      </c>
      <c r="AH16" s="200">
        <v>391</v>
      </c>
      <c r="AI16" s="200">
        <v>677</v>
      </c>
      <c r="AJ16" s="200">
        <v>869</v>
      </c>
      <c r="AL16" s="197">
        <f t="shared" si="0"/>
        <v>78655.590913925058</v>
      </c>
      <c r="AM16" s="197" t="str">
        <f t="shared" si="1"/>
        <v>Box Medium 4</v>
      </c>
      <c r="AN16" s="3">
        <f t="shared" si="2"/>
        <v>4.1369933243914057</v>
      </c>
      <c r="AO16" s="3">
        <f t="shared" si="3"/>
        <v>1.5968555991961397</v>
      </c>
      <c r="AP16" s="3">
        <f t="shared" si="4"/>
        <v>24.976698522375631</v>
      </c>
      <c r="AQ16" s="3">
        <f t="shared" si="5"/>
        <v>0.89916114680552273</v>
      </c>
      <c r="AR16" s="3">
        <f t="shared" si="6"/>
        <v>2.4960167460016622</v>
      </c>
      <c r="AS16" s="81">
        <f t="shared" si="7"/>
        <v>0.63976157281561619</v>
      </c>
      <c r="AT16" s="81">
        <f t="shared" si="8"/>
        <v>0.36023842718438392</v>
      </c>
      <c r="AX16">
        <v>2</v>
      </c>
      <c r="AY16" s="81" cm="1">
        <f t="array" ref="AY16">AVERAGE(_xlfn._xlws.FILTER($AS:$AS, ($A:$A="SeriesPHEV")*($F:$F=AX16)))</f>
        <v>0.70741034143347747</v>
      </c>
      <c r="AZ16" s="81">
        <f>'Background Data'!$AF$45</f>
        <v>0.64368048757149066</v>
      </c>
    </row>
    <row r="17" spans="1:52" x14ac:dyDescent="0.25">
      <c r="A17" t="s">
        <v>808</v>
      </c>
      <c r="B17">
        <v>2025</v>
      </c>
      <c r="C17" t="s">
        <v>680</v>
      </c>
      <c r="D17" t="s">
        <v>518</v>
      </c>
      <c r="E17" t="s">
        <v>1028</v>
      </c>
      <c r="F17">
        <v>2</v>
      </c>
      <c r="G17" t="s">
        <v>1752</v>
      </c>
      <c r="H17" s="460">
        <v>2791.3515858382307</v>
      </c>
      <c r="I17">
        <v>840</v>
      </c>
      <c r="J17">
        <v>119.99999997072871</v>
      </c>
      <c r="K17" s="67">
        <v>81.922499999999999</v>
      </c>
      <c r="L17" s="159">
        <v>0</v>
      </c>
      <c r="M17" s="159">
        <v>7824</v>
      </c>
      <c r="N17" s="159">
        <v>220</v>
      </c>
      <c r="O17" s="159">
        <v>0</v>
      </c>
      <c r="P17" s="159">
        <v>2256</v>
      </c>
      <c r="Q17" s="159">
        <v>1500</v>
      </c>
      <c r="R17" s="159">
        <v>2000</v>
      </c>
      <c r="S17" s="159">
        <v>15076</v>
      </c>
      <c r="T17" s="159">
        <v>2979</v>
      </c>
      <c r="U17" s="159">
        <v>22938</v>
      </c>
      <c r="V17" s="159">
        <v>4500</v>
      </c>
      <c r="W17" s="159">
        <v>186</v>
      </c>
      <c r="X17" s="159">
        <v>0</v>
      </c>
      <c r="Y17" s="159">
        <v>1500</v>
      </c>
      <c r="Z17" s="159">
        <v>2993</v>
      </c>
      <c r="AA17" s="159">
        <v>0</v>
      </c>
      <c r="AB17" s="159">
        <v>0</v>
      </c>
      <c r="AC17" s="159">
        <v>0</v>
      </c>
      <c r="AD17" s="207">
        <v>63972</v>
      </c>
      <c r="AE17" s="200">
        <v>26.915899733927972</v>
      </c>
      <c r="AF17" s="200">
        <v>18.911799189025597</v>
      </c>
      <c r="AG17" s="200">
        <v>14.001729314660215</v>
      </c>
      <c r="AH17" s="200">
        <v>396</v>
      </c>
      <c r="AI17" s="200">
        <v>597</v>
      </c>
      <c r="AJ17" s="200">
        <v>782</v>
      </c>
      <c r="AL17" s="197">
        <f t="shared" si="0"/>
        <v>73335.30762312701</v>
      </c>
      <c r="AM17" s="197" t="str">
        <f t="shared" si="1"/>
        <v>Box Medium 4</v>
      </c>
      <c r="AN17" s="3">
        <f t="shared" si="2"/>
        <v>7.8002281290123072</v>
      </c>
      <c r="AO17" s="3">
        <f t="shared" si="3"/>
        <v>3.0108431380301814</v>
      </c>
      <c r="AP17" s="3">
        <f t="shared" si="4"/>
        <v>22.57913181801235</v>
      </c>
      <c r="AQ17" s="3">
        <f t="shared" si="5"/>
        <v>0.81284874544844454</v>
      </c>
      <c r="AR17" s="3">
        <f t="shared" si="6"/>
        <v>3.823691883478626</v>
      </c>
      <c r="AS17" s="81">
        <f t="shared" si="7"/>
        <v>0.78741782282181416</v>
      </c>
      <c r="AT17" s="81">
        <f t="shared" si="8"/>
        <v>0.21258217717818587</v>
      </c>
      <c r="AX17">
        <v>3</v>
      </c>
      <c r="AY17" s="81" cm="1">
        <f t="array" ref="AY17">AVERAGE(_xlfn._xlws.FILTER($AS:$AS, ($A:$A="SeriesPHEV")*($F:$F=AX17)))</f>
        <v>0.69712922573789737</v>
      </c>
      <c r="AZ17" s="81">
        <f>'Background Data'!$AF$46</f>
        <v>5.9006896957830658E-2</v>
      </c>
    </row>
    <row r="18" spans="1:52" x14ac:dyDescent="0.25">
      <c r="A18" t="s">
        <v>230</v>
      </c>
      <c r="B18">
        <v>2025</v>
      </c>
      <c r="C18" t="s">
        <v>680</v>
      </c>
      <c r="D18" t="s">
        <v>518</v>
      </c>
      <c r="E18" t="s">
        <v>1028</v>
      </c>
      <c r="F18">
        <v>2</v>
      </c>
      <c r="G18" t="s">
        <v>1753</v>
      </c>
      <c r="H18" s="460">
        <v>2623.059715287658</v>
      </c>
      <c r="I18">
        <v>840</v>
      </c>
      <c r="J18">
        <v>150.00000001001371</v>
      </c>
      <c r="K18" s="67">
        <v>116.67750000000001</v>
      </c>
      <c r="L18" s="159">
        <v>0</v>
      </c>
      <c r="M18" s="159">
        <v>0</v>
      </c>
      <c r="N18" s="159">
        <v>0</v>
      </c>
      <c r="O18" s="159">
        <v>0</v>
      </c>
      <c r="P18" s="159">
        <v>0</v>
      </c>
      <c r="Q18" s="159">
        <v>1500</v>
      </c>
      <c r="R18" s="159">
        <v>2000</v>
      </c>
      <c r="S18" s="159">
        <v>15076</v>
      </c>
      <c r="T18" s="159">
        <v>0</v>
      </c>
      <c r="U18" s="159">
        <v>32670</v>
      </c>
      <c r="V18" s="159">
        <v>4500</v>
      </c>
      <c r="W18" s="159">
        <v>186</v>
      </c>
      <c r="X18" s="159">
        <v>0</v>
      </c>
      <c r="Y18" s="159">
        <v>1500</v>
      </c>
      <c r="Z18" s="159">
        <v>3649</v>
      </c>
      <c r="AA18" s="159">
        <v>0</v>
      </c>
      <c r="AB18" s="159">
        <v>0</v>
      </c>
      <c r="AC18" s="159">
        <v>0</v>
      </c>
      <c r="AD18" s="207">
        <v>61081</v>
      </c>
      <c r="AE18" s="200">
        <v>0</v>
      </c>
      <c r="AF18" s="200">
        <v>0</v>
      </c>
      <c r="AG18" s="200">
        <v>0</v>
      </c>
      <c r="AH18" s="200">
        <v>371</v>
      </c>
      <c r="AI18" s="200">
        <v>654</v>
      </c>
      <c r="AJ18" s="200">
        <v>842</v>
      </c>
      <c r="AL18" s="197">
        <f t="shared" si="0"/>
        <v>70021.16433640063</v>
      </c>
      <c r="AM18" s="197" t="str">
        <f t="shared" si="1"/>
        <v>Box Medium 4</v>
      </c>
      <c r="AN18" s="3">
        <f t="shared" si="2"/>
        <v>0</v>
      </c>
      <c r="AO18" s="3">
        <f t="shared" si="3"/>
        <v>0</v>
      </c>
      <c r="AP18" s="3">
        <f t="shared" si="4"/>
        <v>48.34155616588167</v>
      </c>
      <c r="AQ18" s="3">
        <f t="shared" si="5"/>
        <v>1.7402960219717403</v>
      </c>
      <c r="AR18" s="3">
        <f t="shared" si="6"/>
        <v>1.7402960219717403</v>
      </c>
      <c r="AS18" s="81">
        <f t="shared" si="7"/>
        <v>0</v>
      </c>
      <c r="AT18" s="81">
        <f t="shared" si="8"/>
        <v>1</v>
      </c>
      <c r="AX18">
        <v>4</v>
      </c>
      <c r="AY18" s="81" cm="1">
        <f t="array" ref="AY18">AVERAGE(_xlfn._xlws.FILTER($AS:$AS, ($A:$A="SeriesPHEV")*($F:$F=AX18)))</f>
        <v>0.69481871430166775</v>
      </c>
      <c r="AZ18" s="81">
        <f>'Background Data'!$AF$47</f>
        <v>4.6541584165703642E-2</v>
      </c>
    </row>
    <row r="19" spans="1:52" x14ac:dyDescent="0.25">
      <c r="A19" t="s">
        <v>496</v>
      </c>
      <c r="B19">
        <v>2025</v>
      </c>
      <c r="C19" t="s">
        <v>680</v>
      </c>
      <c r="D19" t="s">
        <v>518</v>
      </c>
      <c r="E19" t="s">
        <v>1028</v>
      </c>
      <c r="F19">
        <v>2</v>
      </c>
      <c r="G19" t="s">
        <v>1754</v>
      </c>
      <c r="H19" s="460">
        <v>2138.2481949500179</v>
      </c>
      <c r="I19">
        <v>840</v>
      </c>
      <c r="J19">
        <v>150.00000001001371</v>
      </c>
      <c r="K19" s="67">
        <v>2.0908800000000003</v>
      </c>
      <c r="L19" s="159">
        <v>0</v>
      </c>
      <c r="M19" s="159">
        <v>0</v>
      </c>
      <c r="N19" s="159">
        <v>0</v>
      </c>
      <c r="O19" s="159">
        <v>0</v>
      </c>
      <c r="P19" s="159">
        <v>0</v>
      </c>
      <c r="Q19" s="159">
        <v>1500</v>
      </c>
      <c r="R19" s="159">
        <v>2000</v>
      </c>
      <c r="S19" s="159">
        <v>15076</v>
      </c>
      <c r="T19" s="159">
        <v>0</v>
      </c>
      <c r="U19" s="159">
        <v>988</v>
      </c>
      <c r="V19" s="159">
        <v>4500</v>
      </c>
      <c r="W19" s="159">
        <v>186</v>
      </c>
      <c r="X19" s="159">
        <v>0</v>
      </c>
      <c r="Y19" s="159">
        <v>1500</v>
      </c>
      <c r="Z19" s="159">
        <v>3591</v>
      </c>
      <c r="AA19" s="159">
        <v>14593</v>
      </c>
      <c r="AB19" s="159">
        <v>4802</v>
      </c>
      <c r="AC19" s="159">
        <v>0</v>
      </c>
      <c r="AD19" s="207">
        <v>48736</v>
      </c>
      <c r="AE19" s="200">
        <v>57.295203910679056</v>
      </c>
      <c r="AF19" s="200">
        <v>34.96344178973176</v>
      </c>
      <c r="AG19" s="200">
        <v>26.249578464282045</v>
      </c>
      <c r="AH19" s="200">
        <v>0</v>
      </c>
      <c r="AI19" s="200">
        <v>0</v>
      </c>
      <c r="AJ19" s="200">
        <v>0</v>
      </c>
      <c r="AL19" s="197">
        <f t="shared" si="0"/>
        <v>55869.279564820834</v>
      </c>
      <c r="AM19" s="197" t="str">
        <f t="shared" si="1"/>
        <v>Box Medium 4</v>
      </c>
      <c r="AN19" s="3">
        <f t="shared" si="2"/>
        <v>8.2741863496580592</v>
      </c>
      <c r="AO19" s="3">
        <f t="shared" si="3"/>
        <v>3.1937882817800927</v>
      </c>
      <c r="AP19" s="3">
        <f t="shared" si="4"/>
        <v>0</v>
      </c>
      <c r="AQ19" s="3">
        <f t="shared" si="5"/>
        <v>0</v>
      </c>
      <c r="AR19" s="3">
        <f t="shared" si="6"/>
        <v>3.1937882817800927</v>
      </c>
      <c r="AS19" s="81">
        <f t="shared" si="7"/>
        <v>1</v>
      </c>
      <c r="AT19" s="81">
        <f t="shared" si="8"/>
        <v>0</v>
      </c>
      <c r="AX19">
        <v>5</v>
      </c>
      <c r="AY19" s="81" cm="1">
        <f t="array" ref="AY19">AVERAGE(_xlfn._xlws.FILTER($AS:$AS, ($A:$A="SeriesPHEV")*($F:$F=AX19)))</f>
        <v>0.34353814548945738</v>
      </c>
      <c r="AZ19" s="81">
        <f>'Background Data'!$AF$48</f>
        <v>2.8552080496404307E-2</v>
      </c>
    </row>
    <row r="20" spans="1:52" x14ac:dyDescent="0.25">
      <c r="A20" t="s">
        <v>828</v>
      </c>
      <c r="B20">
        <v>2025</v>
      </c>
      <c r="C20" t="s">
        <v>680</v>
      </c>
      <c r="D20" t="s">
        <v>518</v>
      </c>
      <c r="E20" t="s">
        <v>1028</v>
      </c>
      <c r="F20">
        <v>2</v>
      </c>
      <c r="G20" t="s">
        <v>1755</v>
      </c>
      <c r="H20" s="460">
        <v>2127.4188985131618</v>
      </c>
      <c r="I20">
        <v>840</v>
      </c>
      <c r="J20">
        <v>150.00000001001371</v>
      </c>
      <c r="K20" s="67">
        <v>10.550625</v>
      </c>
      <c r="L20" s="159">
        <v>0</v>
      </c>
      <c r="M20" s="159">
        <v>0</v>
      </c>
      <c r="N20" s="159">
        <v>0</v>
      </c>
      <c r="O20" s="159">
        <v>0</v>
      </c>
      <c r="P20" s="159">
        <v>0</v>
      </c>
      <c r="Q20" s="159">
        <v>1500</v>
      </c>
      <c r="R20" s="159">
        <v>2000</v>
      </c>
      <c r="S20" s="159">
        <v>15076</v>
      </c>
      <c r="T20" s="159">
        <v>0</v>
      </c>
      <c r="U20" s="159">
        <v>2954</v>
      </c>
      <c r="V20" s="159">
        <v>4500</v>
      </c>
      <c r="W20" s="159">
        <v>186</v>
      </c>
      <c r="X20" s="159">
        <v>0</v>
      </c>
      <c r="Y20" s="159">
        <v>1500</v>
      </c>
      <c r="Z20" s="159">
        <v>4007</v>
      </c>
      <c r="AA20" s="159">
        <v>9053</v>
      </c>
      <c r="AB20" s="159">
        <v>4250</v>
      </c>
      <c r="AC20" s="159">
        <v>0</v>
      </c>
      <c r="AD20" s="207">
        <v>45026</v>
      </c>
      <c r="AE20" s="200">
        <v>58.360465541856968</v>
      </c>
      <c r="AF20" s="200">
        <v>33.06562231956066</v>
      </c>
      <c r="AG20" s="200">
        <v>24.742262918572756</v>
      </c>
      <c r="AH20" s="200">
        <v>0</v>
      </c>
      <c r="AI20" s="200">
        <v>0</v>
      </c>
      <c r="AJ20" s="200">
        <v>0</v>
      </c>
      <c r="AL20" s="197">
        <f t="shared" si="0"/>
        <v>51616.262756188909</v>
      </c>
      <c r="AM20" s="197" t="str">
        <f t="shared" si="1"/>
        <v>Box Medium 4</v>
      </c>
      <c r="AN20" s="3">
        <f t="shared" si="2"/>
        <v>8.7436176781539672</v>
      </c>
      <c r="AO20" s="3">
        <f t="shared" si="3"/>
        <v>3.3749860712295225</v>
      </c>
      <c r="AP20" s="3">
        <f t="shared" si="4"/>
        <v>0</v>
      </c>
      <c r="AQ20" s="3">
        <f t="shared" si="5"/>
        <v>0</v>
      </c>
      <c r="AR20" s="3">
        <f t="shared" si="6"/>
        <v>3.3749860712295225</v>
      </c>
      <c r="AS20" s="81">
        <f t="shared" si="7"/>
        <v>1</v>
      </c>
      <c r="AT20" s="81">
        <f t="shared" si="8"/>
        <v>0</v>
      </c>
      <c r="AX20">
        <v>6</v>
      </c>
      <c r="AY20" s="81" cm="1">
        <f t="array" ref="AY20">AVERAGE(_xlfn._xlws.FILTER($AS:$AS, ($A:$A="SeriesPHEV")*($F:$F=AX20)))</f>
        <v>0.42733056137782693</v>
      </c>
      <c r="AZ20" s="81">
        <f>'Background Data'!$AF$49</f>
        <v>0.20086561605217251</v>
      </c>
    </row>
    <row r="21" spans="1:52" x14ac:dyDescent="0.25">
      <c r="A21" t="s">
        <v>805</v>
      </c>
      <c r="B21">
        <v>2030</v>
      </c>
      <c r="C21" t="s">
        <v>680</v>
      </c>
      <c r="D21" t="s">
        <v>518</v>
      </c>
      <c r="E21" t="s">
        <v>1028</v>
      </c>
      <c r="F21">
        <v>2</v>
      </c>
      <c r="G21" t="s">
        <v>1756</v>
      </c>
      <c r="H21" s="460">
        <v>2352.0005825324115</v>
      </c>
      <c r="I21">
        <v>840</v>
      </c>
      <c r="J21">
        <v>0</v>
      </c>
      <c r="K21" s="67">
        <v>0</v>
      </c>
      <c r="L21" s="159">
        <v>150</v>
      </c>
      <c r="M21" s="159">
        <v>14344</v>
      </c>
      <c r="N21" s="159">
        <v>1920</v>
      </c>
      <c r="O21" s="159">
        <v>506</v>
      </c>
      <c r="P21" s="159">
        <v>4007</v>
      </c>
      <c r="Q21" s="159">
        <v>1500</v>
      </c>
      <c r="R21" s="159">
        <v>2000</v>
      </c>
      <c r="S21" s="159">
        <v>15160</v>
      </c>
      <c r="T21" s="159">
        <v>73</v>
      </c>
      <c r="U21" s="159">
        <v>120</v>
      </c>
      <c r="V21" s="159">
        <v>0</v>
      </c>
      <c r="W21" s="159">
        <v>186</v>
      </c>
      <c r="X21" s="159">
        <v>0</v>
      </c>
      <c r="Y21" s="159">
        <v>0</v>
      </c>
      <c r="Z21" s="159">
        <v>0</v>
      </c>
      <c r="AA21" s="159">
        <v>0</v>
      </c>
      <c r="AB21" s="159">
        <v>0</v>
      </c>
      <c r="AC21" s="159">
        <v>0</v>
      </c>
      <c r="AD21" s="207">
        <v>39966</v>
      </c>
      <c r="AE21" s="200">
        <v>19.029921124426657</v>
      </c>
      <c r="AF21" s="200">
        <v>22.872234074978142</v>
      </c>
      <c r="AG21" s="200">
        <v>21.392431063268727</v>
      </c>
      <c r="AH21" s="200">
        <v>0</v>
      </c>
      <c r="AI21" s="200">
        <v>0</v>
      </c>
      <c r="AJ21" s="200">
        <v>0</v>
      </c>
      <c r="AL21" s="197">
        <f t="shared" si="0"/>
        <v>45815.652230130283</v>
      </c>
      <c r="AM21" s="197" t="str">
        <f t="shared" si="1"/>
        <v>Box Medium 4</v>
      </c>
      <c r="AN21" s="3">
        <f t="shared" si="2"/>
        <v>11.067728448965797</v>
      </c>
      <c r="AO21" s="3">
        <f t="shared" si="3"/>
        <v>4.2720794447289574</v>
      </c>
      <c r="AP21" s="3">
        <f t="shared" si="4"/>
        <v>0</v>
      </c>
      <c r="AQ21" s="3">
        <f t="shared" si="5"/>
        <v>0</v>
      </c>
      <c r="AR21" s="3">
        <f t="shared" si="6"/>
        <v>4.2720794447289574</v>
      </c>
      <c r="AS21" s="81">
        <f t="shared" si="7"/>
        <v>1</v>
      </c>
      <c r="AT21" s="81">
        <f t="shared" si="8"/>
        <v>0</v>
      </c>
      <c r="AX21">
        <v>7</v>
      </c>
      <c r="AY21" s="81" cm="1">
        <f t="array" ref="AY21">AVERAGE(_xlfn._xlws.FILTER($AS:$AS, ($A:$A="SeriesPHEV")*($F:$F=AX21)))</f>
        <v>0.39760567637463529</v>
      </c>
      <c r="AZ21" s="81">
        <f>'Background Data'!$AF$50</f>
        <v>2.1353334756398272E-2</v>
      </c>
    </row>
    <row r="22" spans="1:52" x14ac:dyDescent="0.25">
      <c r="A22" t="s">
        <v>805</v>
      </c>
      <c r="B22">
        <v>2030</v>
      </c>
      <c r="C22" t="s">
        <v>680</v>
      </c>
      <c r="D22" t="s">
        <v>518</v>
      </c>
      <c r="E22" t="s">
        <v>1028</v>
      </c>
      <c r="F22">
        <v>2</v>
      </c>
      <c r="G22" t="s">
        <v>1757</v>
      </c>
      <c r="H22" s="460">
        <v>2189.9225066361273</v>
      </c>
      <c r="I22">
        <v>840</v>
      </c>
      <c r="J22">
        <v>0</v>
      </c>
      <c r="K22" s="67">
        <v>0</v>
      </c>
      <c r="L22" s="159">
        <v>150</v>
      </c>
      <c r="M22" s="159">
        <v>14243</v>
      </c>
      <c r="N22" s="159">
        <v>1920</v>
      </c>
      <c r="O22" s="159">
        <v>506</v>
      </c>
      <c r="P22" s="159">
        <v>2852</v>
      </c>
      <c r="Q22" s="159">
        <v>1500</v>
      </c>
      <c r="R22" s="159">
        <v>2000</v>
      </c>
      <c r="S22" s="159">
        <v>15160</v>
      </c>
      <c r="T22" s="159">
        <v>73</v>
      </c>
      <c r="U22" s="159">
        <v>120</v>
      </c>
      <c r="V22" s="159">
        <v>0</v>
      </c>
      <c r="W22" s="159">
        <v>186</v>
      </c>
      <c r="X22" s="159">
        <v>0</v>
      </c>
      <c r="Y22" s="159">
        <v>0</v>
      </c>
      <c r="Z22" s="159">
        <v>0</v>
      </c>
      <c r="AA22" s="159">
        <v>0</v>
      </c>
      <c r="AB22" s="159">
        <v>0</v>
      </c>
      <c r="AC22" s="159">
        <v>0</v>
      </c>
      <c r="AD22" s="207">
        <v>38710</v>
      </c>
      <c r="AE22" s="200">
        <v>13.006801731977001</v>
      </c>
      <c r="AF22" s="200">
        <v>17.218712992312383</v>
      </c>
      <c r="AG22" s="200">
        <v>17.319093238577167</v>
      </c>
      <c r="AH22" s="200">
        <v>0</v>
      </c>
      <c r="AI22" s="200">
        <v>0</v>
      </c>
      <c r="AJ22" s="200">
        <v>0</v>
      </c>
      <c r="AL22" s="197">
        <f t="shared" si="0"/>
        <v>44375.816890065136</v>
      </c>
      <c r="AM22" s="197" t="str">
        <f t="shared" si="1"/>
        <v>Box Medium 4</v>
      </c>
      <c r="AN22" s="3">
        <f t="shared" si="2"/>
        <v>14.038661212346199</v>
      </c>
      <c r="AO22" s="3">
        <f t="shared" si="3"/>
        <v>5.4188423824567256</v>
      </c>
      <c r="AP22" s="3">
        <f t="shared" si="4"/>
        <v>0</v>
      </c>
      <c r="AQ22" s="3">
        <f t="shared" si="5"/>
        <v>0</v>
      </c>
      <c r="AR22" s="3">
        <f t="shared" si="6"/>
        <v>5.4188423824567256</v>
      </c>
      <c r="AS22" s="81">
        <f t="shared" si="7"/>
        <v>1</v>
      </c>
      <c r="AT22" s="81">
        <f t="shared" si="8"/>
        <v>0</v>
      </c>
      <c r="AX22">
        <v>8</v>
      </c>
      <c r="AY22" s="81" cm="1">
        <f t="array" ref="AY22">AVERAGE(_xlfn._xlws.FILTER($AS:$AS, ($A:$A="SeriesPHEV")*($F:$F=AX22)))</f>
        <v>0.39662766784695136</v>
      </c>
    </row>
    <row r="23" spans="1:52" x14ac:dyDescent="0.25">
      <c r="A23" t="s">
        <v>807</v>
      </c>
      <c r="B23">
        <v>2030</v>
      </c>
      <c r="C23" t="s">
        <v>680</v>
      </c>
      <c r="D23" t="s">
        <v>518</v>
      </c>
      <c r="E23" t="s">
        <v>1028</v>
      </c>
      <c r="F23">
        <v>2</v>
      </c>
      <c r="G23" t="s">
        <v>1758</v>
      </c>
      <c r="H23" s="460">
        <v>2307.2298476225569</v>
      </c>
      <c r="I23">
        <v>840</v>
      </c>
      <c r="J23">
        <v>0</v>
      </c>
      <c r="K23" s="67">
        <v>2.1384000000000003</v>
      </c>
      <c r="L23" s="159">
        <v>150</v>
      </c>
      <c r="M23" s="159">
        <v>12493</v>
      </c>
      <c r="N23" s="159">
        <v>220</v>
      </c>
      <c r="O23" s="159">
        <v>392</v>
      </c>
      <c r="P23" s="159">
        <v>3173</v>
      </c>
      <c r="Q23" s="159">
        <v>1500</v>
      </c>
      <c r="R23" s="159">
        <v>2000</v>
      </c>
      <c r="S23" s="159">
        <v>15160</v>
      </c>
      <c r="T23" s="159">
        <v>0</v>
      </c>
      <c r="U23" s="159">
        <v>768</v>
      </c>
      <c r="V23" s="159">
        <v>4500</v>
      </c>
      <c r="W23" s="159">
        <v>186</v>
      </c>
      <c r="X23" s="159">
        <v>120</v>
      </c>
      <c r="Y23" s="159">
        <v>1500</v>
      </c>
      <c r="Z23" s="159">
        <v>1399</v>
      </c>
      <c r="AA23" s="159">
        <v>0</v>
      </c>
      <c r="AB23" s="159">
        <v>0</v>
      </c>
      <c r="AC23" s="159">
        <v>0</v>
      </c>
      <c r="AD23" s="207">
        <v>43561</v>
      </c>
      <c r="AE23" s="200">
        <v>34.808858988163287</v>
      </c>
      <c r="AF23" s="200">
        <v>26.655569509171798</v>
      </c>
      <c r="AG23" s="200">
        <v>23.159391735144922</v>
      </c>
      <c r="AH23" s="200">
        <v>0</v>
      </c>
      <c r="AI23" s="200">
        <v>0</v>
      </c>
      <c r="AJ23" s="200">
        <v>0</v>
      </c>
      <c r="AL23" s="197">
        <f t="shared" si="0"/>
        <v>49936.836981351778</v>
      </c>
      <c r="AM23" s="197" t="str">
        <f t="shared" si="1"/>
        <v>Box Medium 4</v>
      </c>
      <c r="AN23" s="3">
        <f t="shared" si="2"/>
        <v>9.6965665943122286</v>
      </c>
      <c r="AO23" s="3">
        <f t="shared" si="3"/>
        <v>3.7428188650470169</v>
      </c>
      <c r="AP23" s="3">
        <f t="shared" si="4"/>
        <v>0</v>
      </c>
      <c r="AQ23" s="3">
        <f t="shared" si="5"/>
        <v>0</v>
      </c>
      <c r="AR23" s="3">
        <f t="shared" si="6"/>
        <v>3.7428188650470169</v>
      </c>
      <c r="AS23" s="81">
        <f t="shared" si="7"/>
        <v>1</v>
      </c>
      <c r="AT23" s="81">
        <f t="shared" si="8"/>
        <v>0</v>
      </c>
    </row>
    <row r="24" spans="1:52" x14ac:dyDescent="0.25">
      <c r="A24" t="s">
        <v>807</v>
      </c>
      <c r="B24">
        <v>2030</v>
      </c>
      <c r="C24" t="s">
        <v>680</v>
      </c>
      <c r="D24" t="s">
        <v>518</v>
      </c>
      <c r="E24" t="s">
        <v>1028</v>
      </c>
      <c r="F24">
        <v>2</v>
      </c>
      <c r="G24" t="s">
        <v>1759</v>
      </c>
      <c r="H24" s="460">
        <v>2160.1508964050308</v>
      </c>
      <c r="I24">
        <v>840</v>
      </c>
      <c r="J24">
        <v>0</v>
      </c>
      <c r="K24" s="67">
        <v>2.0592000000000001</v>
      </c>
      <c r="L24" s="159">
        <v>150</v>
      </c>
      <c r="M24" s="159">
        <v>9496</v>
      </c>
      <c r="N24" s="159">
        <v>220</v>
      </c>
      <c r="O24" s="159">
        <v>392</v>
      </c>
      <c r="P24" s="159">
        <v>1947</v>
      </c>
      <c r="Q24" s="159">
        <v>1500</v>
      </c>
      <c r="R24" s="159">
        <v>2000</v>
      </c>
      <c r="S24" s="159">
        <v>15160</v>
      </c>
      <c r="T24" s="159">
        <v>0</v>
      </c>
      <c r="U24" s="159">
        <v>739</v>
      </c>
      <c r="V24" s="159">
        <v>4500</v>
      </c>
      <c r="W24" s="159">
        <v>186</v>
      </c>
      <c r="X24" s="159">
        <v>120</v>
      </c>
      <c r="Y24" s="159">
        <v>1500</v>
      </c>
      <c r="Z24" s="159">
        <v>1154</v>
      </c>
      <c r="AA24" s="159">
        <v>0</v>
      </c>
      <c r="AB24" s="159">
        <v>0</v>
      </c>
      <c r="AC24" s="159">
        <v>0</v>
      </c>
      <c r="AD24" s="207">
        <v>39064</v>
      </c>
      <c r="AE24" s="200">
        <v>24.395814338756754</v>
      </c>
      <c r="AF24" s="200">
        <v>25.584329599337664</v>
      </c>
      <c r="AG24" s="200">
        <v>19.751018620536229</v>
      </c>
      <c r="AH24" s="200">
        <v>0</v>
      </c>
      <c r="AI24" s="200">
        <v>0</v>
      </c>
      <c r="AJ24" s="200">
        <v>0</v>
      </c>
      <c r="AL24" s="197">
        <f t="shared" si="0"/>
        <v>44781.630353745917</v>
      </c>
      <c r="AM24" s="197" t="str">
        <f t="shared" si="1"/>
        <v>Box Medium 4</v>
      </c>
      <c r="AN24" s="3">
        <f t="shared" si="2"/>
        <v>11.437896213635103</v>
      </c>
      <c r="AO24" s="3">
        <f t="shared" si="3"/>
        <v>4.4149620701779737</v>
      </c>
      <c r="AP24" s="3">
        <f t="shared" si="4"/>
        <v>0</v>
      </c>
      <c r="AQ24" s="3">
        <f t="shared" si="5"/>
        <v>0</v>
      </c>
      <c r="AR24" s="3">
        <f t="shared" si="6"/>
        <v>4.4149620701779737</v>
      </c>
      <c r="AS24" s="81">
        <f t="shared" si="7"/>
        <v>1</v>
      </c>
      <c r="AT24" s="81">
        <f t="shared" si="8"/>
        <v>0</v>
      </c>
    </row>
    <row r="25" spans="1:52" x14ac:dyDescent="0.25">
      <c r="A25" t="s">
        <v>808</v>
      </c>
      <c r="B25">
        <v>2030</v>
      </c>
      <c r="C25" t="s">
        <v>680</v>
      </c>
      <c r="D25" t="s">
        <v>518</v>
      </c>
      <c r="E25" t="s">
        <v>1028</v>
      </c>
      <c r="F25">
        <v>2</v>
      </c>
      <c r="G25" t="s">
        <v>1760</v>
      </c>
      <c r="H25" s="460">
        <v>2763.2925818100493</v>
      </c>
      <c r="I25">
        <v>840</v>
      </c>
      <c r="J25">
        <v>119.99999997072871</v>
      </c>
      <c r="K25" s="67">
        <v>83.908500000000004</v>
      </c>
      <c r="L25" s="159">
        <v>0</v>
      </c>
      <c r="M25" s="159">
        <v>11350</v>
      </c>
      <c r="N25" s="159">
        <v>220</v>
      </c>
      <c r="O25" s="159">
        <v>0</v>
      </c>
      <c r="P25" s="159">
        <v>0</v>
      </c>
      <c r="Q25" s="159">
        <v>1500</v>
      </c>
      <c r="R25" s="159">
        <v>2000</v>
      </c>
      <c r="S25" s="159">
        <v>15160</v>
      </c>
      <c r="T25" s="159">
        <v>2566</v>
      </c>
      <c r="U25" s="159">
        <v>16782</v>
      </c>
      <c r="V25" s="159">
        <v>4500</v>
      </c>
      <c r="W25" s="159">
        <v>186</v>
      </c>
      <c r="X25" s="159">
        <v>0</v>
      </c>
      <c r="Y25" s="159">
        <v>1500</v>
      </c>
      <c r="Z25" s="159">
        <v>2908</v>
      </c>
      <c r="AA25" s="159">
        <v>0</v>
      </c>
      <c r="AB25" s="159">
        <v>0</v>
      </c>
      <c r="AC25" s="159">
        <v>0</v>
      </c>
      <c r="AD25" s="207">
        <v>58672</v>
      </c>
      <c r="AE25" s="200">
        <v>94.603372196462828</v>
      </c>
      <c r="AF25" s="200">
        <v>43.719894531607125</v>
      </c>
      <c r="AG25" s="200">
        <v>28.131162763426119</v>
      </c>
      <c r="AH25" s="200">
        <v>363</v>
      </c>
      <c r="AI25" s="200">
        <v>626</v>
      </c>
      <c r="AJ25" s="200">
        <v>802</v>
      </c>
      <c r="AL25" s="197">
        <f t="shared" si="0"/>
        <v>67259.569325081407</v>
      </c>
      <c r="AM25" s="197" t="str">
        <f t="shared" si="1"/>
        <v>Box Medium 4</v>
      </c>
      <c r="AN25" s="3">
        <f t="shared" si="2"/>
        <v>3.752774301010255</v>
      </c>
      <c r="AO25" s="3">
        <f t="shared" si="3"/>
        <v>1.448549268802406</v>
      </c>
      <c r="AP25" s="3">
        <f t="shared" si="4"/>
        <v>23.061006375284279</v>
      </c>
      <c r="AQ25" s="3">
        <f t="shared" si="5"/>
        <v>0.83019622951023408</v>
      </c>
      <c r="AR25" s="3">
        <f t="shared" si="6"/>
        <v>2.2787454983126398</v>
      </c>
      <c r="AS25" s="81">
        <f t="shared" si="7"/>
        <v>0.63567838965563483</v>
      </c>
      <c r="AT25" s="81">
        <f t="shared" si="8"/>
        <v>0.36432161034436528</v>
      </c>
    </row>
    <row r="26" spans="1:52" x14ac:dyDescent="0.25">
      <c r="A26" t="s">
        <v>808</v>
      </c>
      <c r="B26">
        <v>2030</v>
      </c>
      <c r="C26" t="s">
        <v>680</v>
      </c>
      <c r="D26" t="s">
        <v>518</v>
      </c>
      <c r="E26" t="s">
        <v>1028</v>
      </c>
      <c r="F26">
        <v>2</v>
      </c>
      <c r="G26" t="s">
        <v>1761</v>
      </c>
      <c r="H26" s="460">
        <v>2628.0310766892917</v>
      </c>
      <c r="I26">
        <v>840</v>
      </c>
      <c r="J26">
        <v>119.99999997072871</v>
      </c>
      <c r="K26" s="67">
        <v>75.964500000000001</v>
      </c>
      <c r="L26" s="159">
        <v>0</v>
      </c>
      <c r="M26" s="159">
        <v>7935</v>
      </c>
      <c r="N26" s="159">
        <v>220</v>
      </c>
      <c r="O26" s="159">
        <v>0</v>
      </c>
      <c r="P26" s="159">
        <v>2242</v>
      </c>
      <c r="Q26" s="159">
        <v>1500</v>
      </c>
      <c r="R26" s="159">
        <v>2000</v>
      </c>
      <c r="S26" s="159">
        <v>15160</v>
      </c>
      <c r="T26" s="159">
        <v>2183</v>
      </c>
      <c r="U26" s="159">
        <v>15193</v>
      </c>
      <c r="V26" s="159">
        <v>4500</v>
      </c>
      <c r="W26" s="159">
        <v>186</v>
      </c>
      <c r="X26" s="159">
        <v>0</v>
      </c>
      <c r="Y26" s="159">
        <v>1500</v>
      </c>
      <c r="Z26" s="159">
        <v>2355</v>
      </c>
      <c r="AA26" s="159">
        <v>0</v>
      </c>
      <c r="AB26" s="159">
        <v>0</v>
      </c>
      <c r="AC26" s="159">
        <v>0</v>
      </c>
      <c r="AD26" s="207">
        <v>54974</v>
      </c>
      <c r="AE26" s="200">
        <v>30.391539131423198</v>
      </c>
      <c r="AF26" s="200">
        <v>21.582238170740283</v>
      </c>
      <c r="AG26" s="200">
        <v>16.034968917773053</v>
      </c>
      <c r="AH26" s="200">
        <v>370</v>
      </c>
      <c r="AI26" s="200">
        <v>549</v>
      </c>
      <c r="AJ26" s="200">
        <v>718</v>
      </c>
      <c r="AL26" s="197">
        <f t="shared" si="0"/>
        <v>63020.308905048842</v>
      </c>
      <c r="AM26" s="197" t="str">
        <f t="shared" si="1"/>
        <v>Box Medium 4</v>
      </c>
      <c r="AN26" s="3">
        <f t="shared" si="2"/>
        <v>6.8183079920887106</v>
      </c>
      <c r="AO26" s="3">
        <f t="shared" si="3"/>
        <v>2.6318276198360464</v>
      </c>
      <c r="AP26" s="3">
        <f t="shared" si="4"/>
        <v>20.753538717735225</v>
      </c>
      <c r="AQ26" s="3">
        <f t="shared" si="5"/>
        <v>0.74712739383846805</v>
      </c>
      <c r="AR26" s="3">
        <f t="shared" si="6"/>
        <v>3.3789550136745143</v>
      </c>
      <c r="AS26" s="81">
        <f t="shared" si="7"/>
        <v>0.77888803170954657</v>
      </c>
      <c r="AT26" s="81">
        <f t="shared" si="8"/>
        <v>0.22111196829045349</v>
      </c>
    </row>
    <row r="27" spans="1:52" x14ac:dyDescent="0.25">
      <c r="A27" t="s">
        <v>230</v>
      </c>
      <c r="B27">
        <v>2030</v>
      </c>
      <c r="C27" t="s">
        <v>680</v>
      </c>
      <c r="D27" t="s">
        <v>518</v>
      </c>
      <c r="E27" t="s">
        <v>1028</v>
      </c>
      <c r="F27">
        <v>2</v>
      </c>
      <c r="G27" t="s">
        <v>1762</v>
      </c>
      <c r="H27" s="460">
        <v>2419.8615251448186</v>
      </c>
      <c r="I27">
        <v>840</v>
      </c>
      <c r="J27">
        <v>150.00000001001371</v>
      </c>
      <c r="K27" s="67">
        <v>108.609375</v>
      </c>
      <c r="L27" s="159">
        <v>0</v>
      </c>
      <c r="M27" s="159">
        <v>0</v>
      </c>
      <c r="N27" s="159">
        <v>0</v>
      </c>
      <c r="O27" s="159">
        <v>0</v>
      </c>
      <c r="P27" s="159">
        <v>0</v>
      </c>
      <c r="Q27" s="159">
        <v>1500</v>
      </c>
      <c r="R27" s="159">
        <v>2000</v>
      </c>
      <c r="S27" s="159">
        <v>15160</v>
      </c>
      <c r="T27" s="159">
        <v>0</v>
      </c>
      <c r="U27" s="159">
        <v>21722</v>
      </c>
      <c r="V27" s="159">
        <v>4500</v>
      </c>
      <c r="W27" s="159">
        <v>186</v>
      </c>
      <c r="X27" s="159">
        <v>0</v>
      </c>
      <c r="Y27" s="159">
        <v>1500</v>
      </c>
      <c r="Z27" s="159">
        <v>2843</v>
      </c>
      <c r="AA27" s="159">
        <v>0</v>
      </c>
      <c r="AB27" s="159">
        <v>0</v>
      </c>
      <c r="AC27" s="159">
        <v>0</v>
      </c>
      <c r="AD27" s="207">
        <v>49411</v>
      </c>
      <c r="AE27" s="200">
        <v>0</v>
      </c>
      <c r="AF27" s="200">
        <v>0</v>
      </c>
      <c r="AG27" s="200">
        <v>0</v>
      </c>
      <c r="AH27" s="200">
        <v>343</v>
      </c>
      <c r="AI27" s="200">
        <v>603</v>
      </c>
      <c r="AJ27" s="200">
        <v>774</v>
      </c>
      <c r="AL27" s="197">
        <f t="shared" si="0"/>
        <v>56643.076423534185</v>
      </c>
      <c r="AM27" s="197" t="str">
        <f t="shared" si="1"/>
        <v>Box Medium 4</v>
      </c>
      <c r="AN27" s="3">
        <f t="shared" si="2"/>
        <v>0</v>
      </c>
      <c r="AO27" s="3">
        <f t="shared" si="3"/>
        <v>0</v>
      </c>
      <c r="AP27" s="3">
        <f t="shared" si="4"/>
        <v>44.459840680030325</v>
      </c>
      <c r="AQ27" s="3">
        <f t="shared" si="5"/>
        <v>1.6005542644810919</v>
      </c>
      <c r="AR27" s="3">
        <f t="shared" si="6"/>
        <v>1.6005542644810919</v>
      </c>
      <c r="AS27" s="81">
        <f t="shared" si="7"/>
        <v>0</v>
      </c>
      <c r="AT27" s="81">
        <f t="shared" si="8"/>
        <v>1</v>
      </c>
    </row>
    <row r="28" spans="1:52" x14ac:dyDescent="0.25">
      <c r="A28" t="s">
        <v>496</v>
      </c>
      <c r="B28">
        <v>2030</v>
      </c>
      <c r="C28" t="s">
        <v>680</v>
      </c>
      <c r="D28" t="s">
        <v>518</v>
      </c>
      <c r="E28" t="s">
        <v>1028</v>
      </c>
      <c r="F28">
        <v>2</v>
      </c>
      <c r="G28" t="s">
        <v>1763</v>
      </c>
      <c r="H28" s="460">
        <v>2043.3276536445137</v>
      </c>
      <c r="I28">
        <v>840</v>
      </c>
      <c r="J28">
        <v>150.00000001001371</v>
      </c>
      <c r="K28" s="67">
        <v>2.1384000000000003</v>
      </c>
      <c r="L28" s="159">
        <v>0</v>
      </c>
      <c r="M28" s="159">
        <v>0</v>
      </c>
      <c r="N28" s="159">
        <v>0</v>
      </c>
      <c r="O28" s="159">
        <v>0</v>
      </c>
      <c r="P28" s="159">
        <v>0</v>
      </c>
      <c r="Q28" s="159">
        <v>1500</v>
      </c>
      <c r="R28" s="159">
        <v>2000</v>
      </c>
      <c r="S28" s="159">
        <v>15160</v>
      </c>
      <c r="T28" s="159">
        <v>0</v>
      </c>
      <c r="U28" s="159">
        <v>768</v>
      </c>
      <c r="V28" s="159">
        <v>4500</v>
      </c>
      <c r="W28" s="159">
        <v>186</v>
      </c>
      <c r="X28" s="159">
        <v>0</v>
      </c>
      <c r="Y28" s="159">
        <v>1500</v>
      </c>
      <c r="Z28" s="159">
        <v>2825</v>
      </c>
      <c r="AA28" s="159">
        <v>12567</v>
      </c>
      <c r="AB28" s="159">
        <v>3853</v>
      </c>
      <c r="AC28" s="159">
        <v>0</v>
      </c>
      <c r="AD28" s="207">
        <v>44859</v>
      </c>
      <c r="AE28" s="200">
        <v>61.61980516560331</v>
      </c>
      <c r="AF28" s="200">
        <v>38.472288079237259</v>
      </c>
      <c r="AG28" s="200">
        <v>29.026532630029685</v>
      </c>
      <c r="AH28" s="200">
        <v>0</v>
      </c>
      <c r="AI28" s="200">
        <v>0</v>
      </c>
      <c r="AJ28" s="200">
        <v>0</v>
      </c>
      <c r="AL28" s="197">
        <f t="shared" si="0"/>
        <v>51424.819681514644</v>
      </c>
      <c r="AM28" s="197" t="str">
        <f t="shared" si="1"/>
        <v>Box Medium 4</v>
      </c>
      <c r="AN28" s="3">
        <f t="shared" si="2"/>
        <v>7.4957658572776076</v>
      </c>
      <c r="AO28" s="3">
        <f t="shared" si="3"/>
        <v>2.8933224544706899</v>
      </c>
      <c r="AP28" s="3">
        <f t="shared" si="4"/>
        <v>0</v>
      </c>
      <c r="AQ28" s="3">
        <f t="shared" si="5"/>
        <v>0</v>
      </c>
      <c r="AR28" s="3">
        <f t="shared" si="6"/>
        <v>2.8933224544706899</v>
      </c>
      <c r="AS28" s="81">
        <f t="shared" si="7"/>
        <v>1</v>
      </c>
      <c r="AT28" s="81">
        <f t="shared" si="8"/>
        <v>0</v>
      </c>
    </row>
    <row r="29" spans="1:52" x14ac:dyDescent="0.25">
      <c r="A29" t="s">
        <v>828</v>
      </c>
      <c r="B29">
        <v>2030</v>
      </c>
      <c r="C29" t="s">
        <v>680</v>
      </c>
      <c r="D29" t="s">
        <v>518</v>
      </c>
      <c r="E29" t="s">
        <v>1028</v>
      </c>
      <c r="F29">
        <v>2</v>
      </c>
      <c r="G29" t="s">
        <v>1764</v>
      </c>
      <c r="H29" s="460">
        <v>2034.7950057811154</v>
      </c>
      <c r="I29">
        <v>840</v>
      </c>
      <c r="J29">
        <v>150.00000001001371</v>
      </c>
      <c r="K29" s="67">
        <v>14.274375000000001</v>
      </c>
      <c r="L29" s="159">
        <v>0</v>
      </c>
      <c r="M29" s="159">
        <v>0</v>
      </c>
      <c r="N29" s="159">
        <v>0</v>
      </c>
      <c r="O29" s="159">
        <v>0</v>
      </c>
      <c r="P29" s="159">
        <v>0</v>
      </c>
      <c r="Q29" s="159">
        <v>1500</v>
      </c>
      <c r="R29" s="159">
        <v>2000</v>
      </c>
      <c r="S29" s="159">
        <v>15160</v>
      </c>
      <c r="T29" s="159">
        <v>0</v>
      </c>
      <c r="U29" s="159">
        <v>2855</v>
      </c>
      <c r="V29" s="159">
        <v>4500</v>
      </c>
      <c r="W29" s="159">
        <v>186</v>
      </c>
      <c r="X29" s="159">
        <v>0</v>
      </c>
      <c r="Y29" s="159">
        <v>1500</v>
      </c>
      <c r="Z29" s="159">
        <v>3026</v>
      </c>
      <c r="AA29" s="159">
        <v>7273</v>
      </c>
      <c r="AB29" s="159">
        <v>3247</v>
      </c>
      <c r="AC29" s="159">
        <v>0</v>
      </c>
      <c r="AD29" s="207">
        <v>41247</v>
      </c>
      <c r="AE29" s="200">
        <v>63.321910845980803</v>
      </c>
      <c r="AF29" s="200">
        <v>36.388712648906527</v>
      </c>
      <c r="AG29" s="200">
        <v>27.278694449736058</v>
      </c>
      <c r="AH29" s="200">
        <v>0</v>
      </c>
      <c r="AI29" s="200">
        <v>0</v>
      </c>
      <c r="AJ29" s="200">
        <v>0</v>
      </c>
      <c r="AL29" s="197">
        <f t="shared" si="0"/>
        <v>47284.146713110735</v>
      </c>
      <c r="AM29" s="197" t="str">
        <f t="shared" si="1"/>
        <v>Box Medium 4</v>
      </c>
      <c r="AN29" s="3">
        <f t="shared" si="2"/>
        <v>7.9375764181951842</v>
      </c>
      <c r="AO29" s="3">
        <f t="shared" si="3"/>
        <v>3.0638587866967049</v>
      </c>
      <c r="AP29" s="3">
        <f t="shared" si="4"/>
        <v>0</v>
      </c>
      <c r="AQ29" s="3">
        <f t="shared" si="5"/>
        <v>0</v>
      </c>
      <c r="AR29" s="3">
        <f t="shared" si="6"/>
        <v>3.0638587866967049</v>
      </c>
      <c r="AS29" s="81">
        <f t="shared" si="7"/>
        <v>1</v>
      </c>
      <c r="AT29" s="81">
        <f t="shared" si="8"/>
        <v>0</v>
      </c>
    </row>
    <row r="30" spans="1:52" x14ac:dyDescent="0.25">
      <c r="A30" t="s">
        <v>805</v>
      </c>
      <c r="B30">
        <v>2035</v>
      </c>
      <c r="C30" t="s">
        <v>680</v>
      </c>
      <c r="D30" t="s">
        <v>518</v>
      </c>
      <c r="E30" t="s">
        <v>1028</v>
      </c>
      <c r="F30">
        <v>2</v>
      </c>
      <c r="G30" t="s">
        <v>1765</v>
      </c>
      <c r="H30" s="460">
        <v>2347.8363577268169</v>
      </c>
      <c r="I30">
        <v>840</v>
      </c>
      <c r="J30">
        <v>0</v>
      </c>
      <c r="K30" s="67">
        <v>0</v>
      </c>
      <c r="L30" s="159">
        <v>150</v>
      </c>
      <c r="M30" s="159">
        <v>14197</v>
      </c>
      <c r="N30" s="159">
        <v>1920</v>
      </c>
      <c r="O30" s="159">
        <v>506</v>
      </c>
      <c r="P30" s="159">
        <v>3966</v>
      </c>
      <c r="Q30" s="159">
        <v>1500</v>
      </c>
      <c r="R30" s="159">
        <v>2000</v>
      </c>
      <c r="S30" s="159">
        <v>15160</v>
      </c>
      <c r="T30" s="159">
        <v>63</v>
      </c>
      <c r="U30" s="159">
        <v>120</v>
      </c>
      <c r="V30" s="159">
        <v>0</v>
      </c>
      <c r="W30" s="159">
        <v>186</v>
      </c>
      <c r="X30" s="159">
        <v>0</v>
      </c>
      <c r="Y30" s="159">
        <v>0</v>
      </c>
      <c r="Z30" s="159">
        <v>0</v>
      </c>
      <c r="AA30" s="159">
        <v>0</v>
      </c>
      <c r="AB30" s="159">
        <v>0</v>
      </c>
      <c r="AC30" s="159">
        <v>0</v>
      </c>
      <c r="AD30" s="207">
        <v>39768</v>
      </c>
      <c r="AE30" s="200">
        <v>19.960388780437729</v>
      </c>
      <c r="AF30" s="200">
        <v>24.820127795573129</v>
      </c>
      <c r="AG30" s="200">
        <v>23.495651761939992</v>
      </c>
      <c r="AH30" s="200">
        <v>0</v>
      </c>
      <c r="AI30" s="200">
        <v>0</v>
      </c>
      <c r="AJ30" s="200">
        <v>0</v>
      </c>
      <c r="AL30" s="197">
        <f t="shared" si="0"/>
        <v>45588.671818241026</v>
      </c>
      <c r="AM30" s="197" t="str">
        <f t="shared" si="1"/>
        <v>Box Medium 4</v>
      </c>
      <c r="AN30" s="3">
        <f t="shared" si="2"/>
        <v>10.140235689140964</v>
      </c>
      <c r="AO30" s="3">
        <f t="shared" si="3"/>
        <v>3.914072580659858</v>
      </c>
      <c r="AP30" s="3">
        <f t="shared" si="4"/>
        <v>0</v>
      </c>
      <c r="AQ30" s="3">
        <f t="shared" si="5"/>
        <v>0</v>
      </c>
      <c r="AR30" s="3">
        <f t="shared" si="6"/>
        <v>3.914072580659858</v>
      </c>
      <c r="AS30" s="81">
        <f t="shared" si="7"/>
        <v>1</v>
      </c>
      <c r="AT30" s="81">
        <f t="shared" si="8"/>
        <v>0</v>
      </c>
    </row>
    <row r="31" spans="1:52" x14ac:dyDescent="0.25">
      <c r="A31" t="s">
        <v>805</v>
      </c>
      <c r="B31">
        <v>2035</v>
      </c>
      <c r="C31" t="s">
        <v>680</v>
      </c>
      <c r="D31" t="s">
        <v>518</v>
      </c>
      <c r="E31" t="s">
        <v>1028</v>
      </c>
      <c r="F31">
        <v>2</v>
      </c>
      <c r="G31" t="s">
        <v>1766</v>
      </c>
      <c r="H31" s="460">
        <v>2189.44188249524</v>
      </c>
      <c r="I31">
        <v>840</v>
      </c>
      <c r="J31">
        <v>0</v>
      </c>
      <c r="K31" s="67">
        <v>0</v>
      </c>
      <c r="L31" s="159">
        <v>150</v>
      </c>
      <c r="M31" s="159">
        <v>14581</v>
      </c>
      <c r="N31" s="159">
        <v>1920</v>
      </c>
      <c r="O31" s="159">
        <v>506</v>
      </c>
      <c r="P31" s="159">
        <v>2845</v>
      </c>
      <c r="Q31" s="159">
        <v>1500</v>
      </c>
      <c r="R31" s="159">
        <v>2000</v>
      </c>
      <c r="S31" s="159">
        <v>15160</v>
      </c>
      <c r="T31" s="159">
        <v>63</v>
      </c>
      <c r="U31" s="159">
        <v>120</v>
      </c>
      <c r="V31" s="159">
        <v>0</v>
      </c>
      <c r="W31" s="159">
        <v>186</v>
      </c>
      <c r="X31" s="159">
        <v>0</v>
      </c>
      <c r="Y31" s="159">
        <v>0</v>
      </c>
      <c r="Z31" s="159">
        <v>0</v>
      </c>
      <c r="AA31" s="159">
        <v>0</v>
      </c>
      <c r="AB31" s="159">
        <v>0</v>
      </c>
      <c r="AC31" s="159">
        <v>0</v>
      </c>
      <c r="AD31" s="207">
        <v>39031</v>
      </c>
      <c r="AE31" s="200">
        <v>13.86293637426869</v>
      </c>
      <c r="AF31" s="200">
        <v>18.816064137486812</v>
      </c>
      <c r="AG31" s="200">
        <v>19.286087316308656</v>
      </c>
      <c r="AH31" s="200">
        <v>0</v>
      </c>
      <c r="AI31" s="200">
        <v>0</v>
      </c>
      <c r="AJ31" s="200">
        <v>0</v>
      </c>
      <c r="AL31" s="197">
        <f t="shared" si="0"/>
        <v>44743.800285097706</v>
      </c>
      <c r="AM31" s="197" t="str">
        <f t="shared" si="1"/>
        <v>Box Medium 4</v>
      </c>
      <c r="AN31" s="3">
        <f t="shared" si="2"/>
        <v>12.700631727229103</v>
      </c>
      <c r="AO31" s="3">
        <f t="shared" si="3"/>
        <v>4.9023707066139606</v>
      </c>
      <c r="AP31" s="3">
        <f t="shared" si="4"/>
        <v>0</v>
      </c>
      <c r="AQ31" s="3">
        <f t="shared" si="5"/>
        <v>0</v>
      </c>
      <c r="AR31" s="3">
        <f t="shared" si="6"/>
        <v>4.9023707066139606</v>
      </c>
      <c r="AS31" s="81">
        <f t="shared" si="7"/>
        <v>1</v>
      </c>
      <c r="AT31" s="81">
        <f t="shared" si="8"/>
        <v>0</v>
      </c>
    </row>
    <row r="32" spans="1:52" x14ac:dyDescent="0.25">
      <c r="A32" t="s">
        <v>807</v>
      </c>
      <c r="B32">
        <v>2035</v>
      </c>
      <c r="C32" t="s">
        <v>680</v>
      </c>
      <c r="D32" t="s">
        <v>518</v>
      </c>
      <c r="E32" t="s">
        <v>1028</v>
      </c>
      <c r="F32">
        <v>2</v>
      </c>
      <c r="G32" t="s">
        <v>1767</v>
      </c>
      <c r="H32" s="460">
        <v>2306.5338206238143</v>
      </c>
      <c r="I32">
        <v>840</v>
      </c>
      <c r="J32">
        <v>0</v>
      </c>
      <c r="K32" s="67">
        <v>2.0908800000000003</v>
      </c>
      <c r="L32" s="159">
        <v>150</v>
      </c>
      <c r="M32" s="159">
        <v>12437</v>
      </c>
      <c r="N32" s="159">
        <v>220</v>
      </c>
      <c r="O32" s="159">
        <v>392</v>
      </c>
      <c r="P32" s="159">
        <v>3173</v>
      </c>
      <c r="Q32" s="159">
        <v>1500</v>
      </c>
      <c r="R32" s="159">
        <v>2000</v>
      </c>
      <c r="S32" s="159">
        <v>15160</v>
      </c>
      <c r="T32" s="159">
        <v>0</v>
      </c>
      <c r="U32" s="159">
        <v>711</v>
      </c>
      <c r="V32" s="159">
        <v>4500</v>
      </c>
      <c r="W32" s="159">
        <v>186</v>
      </c>
      <c r="X32" s="159">
        <v>120</v>
      </c>
      <c r="Y32" s="159">
        <v>1500</v>
      </c>
      <c r="Z32" s="159">
        <v>1168</v>
      </c>
      <c r="AA32" s="159">
        <v>0</v>
      </c>
      <c r="AB32" s="159">
        <v>0</v>
      </c>
      <c r="AC32" s="159">
        <v>0</v>
      </c>
      <c r="AD32" s="207">
        <v>43217</v>
      </c>
      <c r="AE32" s="200">
        <v>37.48534272547716</v>
      </c>
      <c r="AF32" s="200">
        <v>29.205960952544412</v>
      </c>
      <c r="AG32" s="200">
        <v>25.590486991157817</v>
      </c>
      <c r="AH32" s="200">
        <v>0</v>
      </c>
      <c r="AI32" s="200">
        <v>0</v>
      </c>
      <c r="AJ32" s="200">
        <v>0</v>
      </c>
      <c r="AL32" s="197">
        <f t="shared" si="0"/>
        <v>49542.487174837122</v>
      </c>
      <c r="AM32" s="197" t="str">
        <f t="shared" si="1"/>
        <v>Box Medium 4</v>
      </c>
      <c r="AN32" s="3">
        <f t="shared" si="2"/>
        <v>8.7974357192704904</v>
      </c>
      <c r="AO32" s="3">
        <f t="shared" si="3"/>
        <v>3.3957595251744435</v>
      </c>
      <c r="AP32" s="3">
        <f t="shared" si="4"/>
        <v>0</v>
      </c>
      <c r="AQ32" s="3">
        <f t="shared" si="5"/>
        <v>0</v>
      </c>
      <c r="AR32" s="3">
        <f t="shared" si="6"/>
        <v>3.3957595251744435</v>
      </c>
      <c r="AS32" s="81">
        <f t="shared" si="7"/>
        <v>1</v>
      </c>
      <c r="AT32" s="81">
        <f t="shared" si="8"/>
        <v>0</v>
      </c>
    </row>
    <row r="33" spans="1:46" x14ac:dyDescent="0.25">
      <c r="A33" t="s">
        <v>807</v>
      </c>
      <c r="B33">
        <v>2035</v>
      </c>
      <c r="C33" t="s">
        <v>680</v>
      </c>
      <c r="D33" t="s">
        <v>518</v>
      </c>
      <c r="E33" t="s">
        <v>1028</v>
      </c>
      <c r="F33">
        <v>2</v>
      </c>
      <c r="G33" t="s">
        <v>1768</v>
      </c>
      <c r="H33" s="460">
        <v>2162.8724982500808</v>
      </c>
      <c r="I33">
        <v>840</v>
      </c>
      <c r="J33">
        <v>0</v>
      </c>
      <c r="K33" s="67">
        <v>2.9145600000000003</v>
      </c>
      <c r="L33" s="159">
        <v>150</v>
      </c>
      <c r="M33" s="159">
        <v>9879</v>
      </c>
      <c r="N33" s="159">
        <v>220</v>
      </c>
      <c r="O33" s="159">
        <v>392</v>
      </c>
      <c r="P33" s="159">
        <v>1947</v>
      </c>
      <c r="Q33" s="159">
        <v>1500</v>
      </c>
      <c r="R33" s="159">
        <v>2000</v>
      </c>
      <c r="S33" s="159">
        <v>15160</v>
      </c>
      <c r="T33" s="159">
        <v>0</v>
      </c>
      <c r="U33" s="159">
        <v>991</v>
      </c>
      <c r="V33" s="159">
        <v>4500</v>
      </c>
      <c r="W33" s="159">
        <v>186</v>
      </c>
      <c r="X33" s="159">
        <v>120</v>
      </c>
      <c r="Y33" s="159">
        <v>1500</v>
      </c>
      <c r="Z33" s="159">
        <v>956</v>
      </c>
      <c r="AA33" s="159">
        <v>0</v>
      </c>
      <c r="AB33" s="159">
        <v>0</v>
      </c>
      <c r="AC33" s="159">
        <v>0</v>
      </c>
      <c r="AD33" s="207">
        <v>39501</v>
      </c>
      <c r="AE33" s="200">
        <v>32.459401166847627</v>
      </c>
      <c r="AF33" s="200">
        <v>28.878166343868212</v>
      </c>
      <c r="AG33" s="200">
        <v>22.414271690368434</v>
      </c>
      <c r="AH33" s="200">
        <v>0</v>
      </c>
      <c r="AI33" s="200">
        <v>0</v>
      </c>
      <c r="AJ33" s="200">
        <v>0</v>
      </c>
      <c r="AL33" s="197">
        <f t="shared" si="0"/>
        <v>45282.592171905526</v>
      </c>
      <c r="AM33" s="197" t="str">
        <f t="shared" si="1"/>
        <v>Box Medium 4</v>
      </c>
      <c r="AN33" s="3">
        <f t="shared" si="2"/>
        <v>9.9578327414969756</v>
      </c>
      <c r="AO33" s="3">
        <f t="shared" si="3"/>
        <v>3.8436660932870432</v>
      </c>
      <c r="AP33" s="3">
        <f t="shared" si="4"/>
        <v>0</v>
      </c>
      <c r="AQ33" s="3">
        <f t="shared" si="5"/>
        <v>0</v>
      </c>
      <c r="AR33" s="3">
        <f t="shared" si="6"/>
        <v>3.8436660932870432</v>
      </c>
      <c r="AS33" s="81">
        <f t="shared" si="7"/>
        <v>1</v>
      </c>
      <c r="AT33" s="81">
        <f t="shared" si="8"/>
        <v>0</v>
      </c>
    </row>
    <row r="34" spans="1:46" x14ac:dyDescent="0.25">
      <c r="A34" t="s">
        <v>808</v>
      </c>
      <c r="B34">
        <v>2035</v>
      </c>
      <c r="C34" t="s">
        <v>680</v>
      </c>
      <c r="D34" t="s">
        <v>518</v>
      </c>
      <c r="E34" t="s">
        <v>1028</v>
      </c>
      <c r="F34">
        <v>2</v>
      </c>
      <c r="G34" t="s">
        <v>1769</v>
      </c>
      <c r="H34" s="460">
        <v>2618.0321226077649</v>
      </c>
      <c r="I34">
        <v>840</v>
      </c>
      <c r="J34">
        <v>119.99999997072871</v>
      </c>
      <c r="K34" s="67">
        <v>75.468000000000004</v>
      </c>
      <c r="L34" s="159">
        <v>0</v>
      </c>
      <c r="M34" s="159">
        <v>10875</v>
      </c>
      <c r="N34" s="159">
        <v>220</v>
      </c>
      <c r="O34" s="159">
        <v>0</v>
      </c>
      <c r="P34" s="159">
        <v>0</v>
      </c>
      <c r="Q34" s="159">
        <v>1500</v>
      </c>
      <c r="R34" s="159">
        <v>2000</v>
      </c>
      <c r="S34" s="159">
        <v>15160</v>
      </c>
      <c r="T34" s="159">
        <v>1976</v>
      </c>
      <c r="U34" s="159">
        <v>12075</v>
      </c>
      <c r="V34" s="159">
        <v>4500</v>
      </c>
      <c r="W34" s="159">
        <v>186</v>
      </c>
      <c r="X34" s="159">
        <v>0</v>
      </c>
      <c r="Y34" s="159">
        <v>1500</v>
      </c>
      <c r="Z34" s="159">
        <v>2355</v>
      </c>
      <c r="AA34" s="159">
        <v>0</v>
      </c>
      <c r="AB34" s="159">
        <v>0</v>
      </c>
      <c r="AC34" s="159">
        <v>0</v>
      </c>
      <c r="AD34" s="207">
        <v>52347</v>
      </c>
      <c r="AE34" s="200">
        <v>102.64939582932483</v>
      </c>
      <c r="AF34" s="200">
        <v>48.602531816796748</v>
      </c>
      <c r="AG34" s="200">
        <v>31.422933788212831</v>
      </c>
      <c r="AH34" s="200">
        <v>335</v>
      </c>
      <c r="AI34" s="200">
        <v>573</v>
      </c>
      <c r="AJ34" s="200">
        <v>735</v>
      </c>
      <c r="AL34" s="197">
        <f t="shared" si="0"/>
        <v>60008.806167508126</v>
      </c>
      <c r="AM34" s="197" t="str">
        <f t="shared" si="1"/>
        <v>Box Medium 4</v>
      </c>
      <c r="AN34" s="3">
        <f t="shared" si="2"/>
        <v>3.3639638913579351</v>
      </c>
      <c r="AO34" s="3">
        <f t="shared" si="3"/>
        <v>1.2984706897487672</v>
      </c>
      <c r="AP34" s="3">
        <f t="shared" si="4"/>
        <v>21.139721873563079</v>
      </c>
      <c r="AQ34" s="3">
        <f t="shared" si="5"/>
        <v>0.76102998744827088</v>
      </c>
      <c r="AR34" s="3">
        <f t="shared" si="6"/>
        <v>2.0595006771970379</v>
      </c>
      <c r="AS34" s="81">
        <f t="shared" si="7"/>
        <v>0.63047839902435687</v>
      </c>
      <c r="AT34" s="81">
        <f t="shared" si="8"/>
        <v>0.36952160097564324</v>
      </c>
    </row>
    <row r="35" spans="1:46" x14ac:dyDescent="0.25">
      <c r="A35" t="s">
        <v>808</v>
      </c>
      <c r="B35">
        <v>2035</v>
      </c>
      <c r="C35" t="s">
        <v>680</v>
      </c>
      <c r="D35" t="s">
        <v>518</v>
      </c>
      <c r="E35" t="s">
        <v>1028</v>
      </c>
      <c r="F35">
        <v>2</v>
      </c>
      <c r="G35" t="s">
        <v>1770</v>
      </c>
      <c r="H35" s="460">
        <v>2508.9304458148117</v>
      </c>
      <c r="I35">
        <v>840</v>
      </c>
      <c r="J35">
        <v>119.99999997072871</v>
      </c>
      <c r="K35" s="67">
        <v>68.144625000000005</v>
      </c>
      <c r="L35" s="159">
        <v>0</v>
      </c>
      <c r="M35" s="159">
        <v>8092</v>
      </c>
      <c r="N35" s="159">
        <v>220</v>
      </c>
      <c r="O35" s="159">
        <v>0</v>
      </c>
      <c r="P35" s="159">
        <v>2223</v>
      </c>
      <c r="Q35" s="159">
        <v>1500</v>
      </c>
      <c r="R35" s="159">
        <v>2000</v>
      </c>
      <c r="S35" s="159">
        <v>15160</v>
      </c>
      <c r="T35" s="159">
        <v>1734</v>
      </c>
      <c r="U35" s="159">
        <v>10903</v>
      </c>
      <c r="V35" s="159">
        <v>4500</v>
      </c>
      <c r="W35" s="159">
        <v>186</v>
      </c>
      <c r="X35" s="159">
        <v>0</v>
      </c>
      <c r="Y35" s="159">
        <v>1500</v>
      </c>
      <c r="Z35" s="159">
        <v>1909</v>
      </c>
      <c r="AA35" s="159">
        <v>0</v>
      </c>
      <c r="AB35" s="159">
        <v>0</v>
      </c>
      <c r="AC35" s="159">
        <v>0</v>
      </c>
      <c r="AD35" s="207">
        <v>49927</v>
      </c>
      <c r="AE35" s="200">
        <v>34.159948910738336</v>
      </c>
      <c r="AF35" s="200">
        <v>24.852075767591948</v>
      </c>
      <c r="AG35" s="200">
        <v>18.539172037890562</v>
      </c>
      <c r="AH35" s="200">
        <v>342</v>
      </c>
      <c r="AI35" s="200">
        <v>500</v>
      </c>
      <c r="AJ35" s="200">
        <v>653</v>
      </c>
      <c r="AL35" s="197">
        <f t="shared" si="0"/>
        <v>57234.601133306169</v>
      </c>
      <c r="AM35" s="197" t="str">
        <f t="shared" si="1"/>
        <v>Box Medium 4</v>
      </c>
      <c r="AN35" s="3">
        <f t="shared" si="2"/>
        <v>5.9086160599152295</v>
      </c>
      <c r="AO35" s="3">
        <f t="shared" si="3"/>
        <v>2.2806917727293854</v>
      </c>
      <c r="AP35" s="3">
        <f t="shared" si="4"/>
        <v>18.893770116942349</v>
      </c>
      <c r="AQ35" s="3">
        <f t="shared" si="5"/>
        <v>0.68017572420992467</v>
      </c>
      <c r="AR35" s="3">
        <f t="shared" si="6"/>
        <v>2.9608674969393101</v>
      </c>
      <c r="AS35" s="81">
        <f t="shared" si="7"/>
        <v>0.77027822929832834</v>
      </c>
      <c r="AT35" s="81">
        <f t="shared" si="8"/>
        <v>0.22972177070167166</v>
      </c>
    </row>
    <row r="36" spans="1:46" x14ac:dyDescent="0.25">
      <c r="A36" t="s">
        <v>230</v>
      </c>
      <c r="B36">
        <v>2035</v>
      </c>
      <c r="C36" t="s">
        <v>680</v>
      </c>
      <c r="D36" t="s">
        <v>518</v>
      </c>
      <c r="E36" t="s">
        <v>1028</v>
      </c>
      <c r="F36">
        <v>2</v>
      </c>
      <c r="G36" t="s">
        <v>1771</v>
      </c>
      <c r="H36" s="460">
        <v>2270.2098090543241</v>
      </c>
      <c r="I36">
        <v>840</v>
      </c>
      <c r="J36">
        <v>150.00000001001371</v>
      </c>
      <c r="K36" s="67">
        <v>98.8035</v>
      </c>
      <c r="L36" s="159">
        <v>0</v>
      </c>
      <c r="M36" s="159">
        <v>0</v>
      </c>
      <c r="N36" s="159">
        <v>0</v>
      </c>
      <c r="O36" s="159">
        <v>0</v>
      </c>
      <c r="P36" s="159">
        <v>0</v>
      </c>
      <c r="Q36" s="159">
        <v>1500</v>
      </c>
      <c r="R36" s="159">
        <v>2000</v>
      </c>
      <c r="S36" s="159">
        <v>15160</v>
      </c>
      <c r="T36" s="159">
        <v>0</v>
      </c>
      <c r="U36" s="159">
        <v>15809</v>
      </c>
      <c r="V36" s="159">
        <v>4500</v>
      </c>
      <c r="W36" s="159">
        <v>186</v>
      </c>
      <c r="X36" s="159">
        <v>0</v>
      </c>
      <c r="Y36" s="159">
        <v>1500</v>
      </c>
      <c r="Z36" s="159">
        <v>2288</v>
      </c>
      <c r="AA36" s="159">
        <v>0</v>
      </c>
      <c r="AB36" s="159">
        <v>0</v>
      </c>
      <c r="AC36" s="159">
        <v>0</v>
      </c>
      <c r="AD36" s="207">
        <v>42943</v>
      </c>
      <c r="AE36" s="200">
        <v>0</v>
      </c>
      <c r="AF36" s="200">
        <v>0</v>
      </c>
      <c r="AG36" s="200">
        <v>0</v>
      </c>
      <c r="AH36" s="200">
        <v>315</v>
      </c>
      <c r="AI36" s="200">
        <v>551</v>
      </c>
      <c r="AJ36" s="200">
        <v>706</v>
      </c>
      <c r="AL36" s="197">
        <f t="shared" si="0"/>
        <v>49228.382968485326</v>
      </c>
      <c r="AM36" s="197" t="str">
        <f t="shared" si="1"/>
        <v>Box Medium 4</v>
      </c>
      <c r="AN36" s="3">
        <f t="shared" si="2"/>
        <v>0</v>
      </c>
      <c r="AO36" s="3">
        <f t="shared" si="3"/>
        <v>0</v>
      </c>
      <c r="AP36" s="3">
        <f t="shared" si="4"/>
        <v>40.572532839549133</v>
      </c>
      <c r="AQ36" s="3">
        <f t="shared" si="5"/>
        <v>1.4606111822237688</v>
      </c>
      <c r="AR36" s="3">
        <f t="shared" si="6"/>
        <v>1.4606111822237688</v>
      </c>
      <c r="AS36" s="81">
        <f t="shared" si="7"/>
        <v>0</v>
      </c>
      <c r="AT36" s="81">
        <f t="shared" si="8"/>
        <v>1</v>
      </c>
    </row>
    <row r="37" spans="1:46" x14ac:dyDescent="0.25">
      <c r="A37" t="s">
        <v>496</v>
      </c>
      <c r="B37">
        <v>2035</v>
      </c>
      <c r="C37" t="s">
        <v>680</v>
      </c>
      <c r="D37" t="s">
        <v>518</v>
      </c>
      <c r="E37" t="s">
        <v>1028</v>
      </c>
      <c r="F37">
        <v>2</v>
      </c>
      <c r="G37" t="s">
        <v>1772</v>
      </c>
      <c r="H37" s="460">
        <v>2004.9274338924106</v>
      </c>
      <c r="I37">
        <v>840</v>
      </c>
      <c r="J37">
        <v>150.00000001001371</v>
      </c>
      <c r="K37" s="67">
        <v>2.6611200000000004</v>
      </c>
      <c r="L37" s="159">
        <v>0</v>
      </c>
      <c r="M37" s="159">
        <v>0</v>
      </c>
      <c r="N37" s="159">
        <v>0</v>
      </c>
      <c r="O37" s="159">
        <v>0</v>
      </c>
      <c r="P37" s="159">
        <v>0</v>
      </c>
      <c r="Q37" s="159">
        <v>1500</v>
      </c>
      <c r="R37" s="159">
        <v>2000</v>
      </c>
      <c r="S37" s="159">
        <v>15160</v>
      </c>
      <c r="T37" s="159">
        <v>0</v>
      </c>
      <c r="U37" s="159">
        <v>905</v>
      </c>
      <c r="V37" s="159">
        <v>4500</v>
      </c>
      <c r="W37" s="159">
        <v>186</v>
      </c>
      <c r="X37" s="159">
        <v>0</v>
      </c>
      <c r="Y37" s="159">
        <v>1500</v>
      </c>
      <c r="Z37" s="159">
        <v>2262</v>
      </c>
      <c r="AA37" s="159">
        <v>10577</v>
      </c>
      <c r="AB37" s="159">
        <v>3068</v>
      </c>
      <c r="AC37" s="159">
        <v>0</v>
      </c>
      <c r="AD37" s="207">
        <v>41658</v>
      </c>
      <c r="AE37" s="200">
        <v>65.54017900241584</v>
      </c>
      <c r="AF37" s="200">
        <v>42.038611469448199</v>
      </c>
      <c r="AG37" s="200">
        <v>31.844991813356589</v>
      </c>
      <c r="AH37" s="200">
        <v>0</v>
      </c>
      <c r="AI37" s="200">
        <v>0</v>
      </c>
      <c r="AJ37" s="200">
        <v>0</v>
      </c>
      <c r="AL37" s="197">
        <f t="shared" si="0"/>
        <v>47755.303022638422</v>
      </c>
      <c r="AM37" s="197" t="str">
        <f t="shared" si="1"/>
        <v>Box Medium 4</v>
      </c>
      <c r="AN37" s="3">
        <f t="shared" si="2"/>
        <v>6.8453200930776914</v>
      </c>
      <c r="AO37" s="3">
        <f t="shared" si="3"/>
        <v>2.6422541352611475</v>
      </c>
      <c r="AP37" s="3">
        <f t="shared" si="4"/>
        <v>0</v>
      </c>
      <c r="AQ37" s="3">
        <f t="shared" si="5"/>
        <v>0</v>
      </c>
      <c r="AR37" s="3">
        <f t="shared" si="6"/>
        <v>2.6422541352611475</v>
      </c>
      <c r="AS37" s="81">
        <f t="shared" si="7"/>
        <v>1</v>
      </c>
      <c r="AT37" s="81">
        <f t="shared" si="8"/>
        <v>0</v>
      </c>
    </row>
    <row r="38" spans="1:46" x14ac:dyDescent="0.25">
      <c r="A38" t="s">
        <v>828</v>
      </c>
      <c r="B38">
        <v>2035</v>
      </c>
      <c r="C38" t="s">
        <v>680</v>
      </c>
      <c r="D38" t="s">
        <v>518</v>
      </c>
      <c r="E38" t="s">
        <v>1028</v>
      </c>
      <c r="F38">
        <v>2</v>
      </c>
      <c r="G38" t="s">
        <v>1773</v>
      </c>
      <c r="H38" s="460">
        <v>1986.1003286864843</v>
      </c>
      <c r="I38">
        <v>840</v>
      </c>
      <c r="J38">
        <v>150.00000001001371</v>
      </c>
      <c r="K38" s="67">
        <v>14.895</v>
      </c>
      <c r="L38" s="159">
        <v>0</v>
      </c>
      <c r="M38" s="159">
        <v>0</v>
      </c>
      <c r="N38" s="159">
        <v>0</v>
      </c>
      <c r="O38" s="159">
        <v>0</v>
      </c>
      <c r="P38" s="159">
        <v>0</v>
      </c>
      <c r="Q38" s="159">
        <v>1500</v>
      </c>
      <c r="R38" s="159">
        <v>2000</v>
      </c>
      <c r="S38" s="159">
        <v>15160</v>
      </c>
      <c r="T38" s="159">
        <v>0</v>
      </c>
      <c r="U38" s="159">
        <v>2383</v>
      </c>
      <c r="V38" s="159">
        <v>4500</v>
      </c>
      <c r="W38" s="159">
        <v>186</v>
      </c>
      <c r="X38" s="159">
        <v>0</v>
      </c>
      <c r="Y38" s="159">
        <v>1500</v>
      </c>
      <c r="Z38" s="159">
        <v>2462</v>
      </c>
      <c r="AA38" s="159">
        <v>5714</v>
      </c>
      <c r="AB38" s="159">
        <v>2501</v>
      </c>
      <c r="AC38" s="159">
        <v>0</v>
      </c>
      <c r="AD38" s="207">
        <v>37906</v>
      </c>
      <c r="AE38" s="200">
        <v>67.66289923901482</v>
      </c>
      <c r="AF38" s="200">
        <v>39.485761524601607</v>
      </c>
      <c r="AG38" s="200">
        <v>29.676071708474741</v>
      </c>
      <c r="AH38" s="200">
        <v>0</v>
      </c>
      <c r="AI38" s="200">
        <v>0</v>
      </c>
      <c r="AJ38" s="200">
        <v>0</v>
      </c>
      <c r="AL38" s="197">
        <f t="shared" si="0"/>
        <v>43454.138853908786</v>
      </c>
      <c r="AM38" s="197" t="str">
        <f t="shared" si="1"/>
        <v>Box Medium 4</v>
      </c>
      <c r="AN38" s="3">
        <f t="shared" si="2"/>
        <v>7.3038846252159422</v>
      </c>
      <c r="AO38" s="3">
        <f t="shared" si="3"/>
        <v>2.8192574038959703</v>
      </c>
      <c r="AP38" s="3">
        <f t="shared" si="4"/>
        <v>0</v>
      </c>
      <c r="AQ38" s="3">
        <f t="shared" si="5"/>
        <v>0</v>
      </c>
      <c r="AR38" s="3">
        <f t="shared" si="6"/>
        <v>2.8192574038959703</v>
      </c>
      <c r="AS38" s="81">
        <f t="shared" si="7"/>
        <v>1</v>
      </c>
      <c r="AT38" s="81">
        <f t="shared" si="8"/>
        <v>0</v>
      </c>
    </row>
    <row r="39" spans="1:46" x14ac:dyDescent="0.25">
      <c r="A39" t="s">
        <v>805</v>
      </c>
      <c r="B39">
        <v>2050</v>
      </c>
      <c r="C39" t="s">
        <v>680</v>
      </c>
      <c r="D39" t="s">
        <v>518</v>
      </c>
      <c r="E39" t="s">
        <v>1028</v>
      </c>
      <c r="F39">
        <v>2</v>
      </c>
      <c r="G39" t="s">
        <v>1774</v>
      </c>
      <c r="H39" s="460">
        <v>2334.2788682229948</v>
      </c>
      <c r="I39">
        <v>840</v>
      </c>
      <c r="J39">
        <v>0</v>
      </c>
      <c r="K39" s="67">
        <v>0</v>
      </c>
      <c r="L39" s="159">
        <v>150</v>
      </c>
      <c r="M39" s="159">
        <v>14273</v>
      </c>
      <c r="N39" s="159">
        <v>1920</v>
      </c>
      <c r="O39" s="159">
        <v>506</v>
      </c>
      <c r="P39" s="159">
        <v>3927</v>
      </c>
      <c r="Q39" s="159">
        <v>1500</v>
      </c>
      <c r="R39" s="159">
        <v>2000</v>
      </c>
      <c r="S39" s="159">
        <v>15208</v>
      </c>
      <c r="T39" s="159">
        <v>44</v>
      </c>
      <c r="U39" s="159">
        <v>120</v>
      </c>
      <c r="V39" s="159">
        <v>0</v>
      </c>
      <c r="W39" s="159">
        <v>186</v>
      </c>
      <c r="X39" s="159">
        <v>0</v>
      </c>
      <c r="Y39" s="159">
        <v>0</v>
      </c>
      <c r="Z39" s="159">
        <v>0</v>
      </c>
      <c r="AA39" s="159">
        <v>0</v>
      </c>
      <c r="AB39" s="159">
        <v>0</v>
      </c>
      <c r="AC39" s="159">
        <v>0</v>
      </c>
      <c r="AD39" s="207">
        <v>39834</v>
      </c>
      <c r="AE39" s="200">
        <v>21.466192420625593</v>
      </c>
      <c r="AF39" s="200">
        <v>27.333465274024647</v>
      </c>
      <c r="AG39" s="200">
        <v>26.111013194599455</v>
      </c>
      <c r="AH39" s="200">
        <v>0</v>
      </c>
      <c r="AI39" s="200">
        <v>0</v>
      </c>
      <c r="AJ39" s="200">
        <v>0</v>
      </c>
      <c r="AL39" s="197">
        <f t="shared" si="0"/>
        <v>45664.331955537447</v>
      </c>
      <c r="AM39" s="197" t="str">
        <f t="shared" si="1"/>
        <v>Box Medium 4</v>
      </c>
      <c r="AN39" s="3">
        <f t="shared" si="2"/>
        <v>9.166932517443362</v>
      </c>
      <c r="AO39" s="3">
        <f t="shared" si="3"/>
        <v>3.5383831614197825</v>
      </c>
      <c r="AP39" s="3">
        <f t="shared" si="4"/>
        <v>0</v>
      </c>
      <c r="AQ39" s="3">
        <f t="shared" si="5"/>
        <v>0</v>
      </c>
      <c r="AR39" s="3">
        <f t="shared" si="6"/>
        <v>3.5383831614197825</v>
      </c>
      <c r="AS39" s="81">
        <f t="shared" si="7"/>
        <v>1</v>
      </c>
      <c r="AT39" s="81">
        <f t="shared" si="8"/>
        <v>0</v>
      </c>
    </row>
    <row r="40" spans="1:46" x14ac:dyDescent="0.25">
      <c r="A40" t="s">
        <v>805</v>
      </c>
      <c r="B40">
        <v>2050</v>
      </c>
      <c r="C40" t="s">
        <v>680</v>
      </c>
      <c r="D40" t="s">
        <v>518</v>
      </c>
      <c r="E40" t="s">
        <v>1028</v>
      </c>
      <c r="F40">
        <v>2</v>
      </c>
      <c r="G40" t="s">
        <v>1775</v>
      </c>
      <c r="H40" s="460">
        <v>2179.3231552199491</v>
      </c>
      <c r="I40">
        <v>840</v>
      </c>
      <c r="J40">
        <v>0</v>
      </c>
      <c r="K40" s="67">
        <v>0</v>
      </c>
      <c r="L40" s="159">
        <v>150</v>
      </c>
      <c r="M40" s="159">
        <v>14900</v>
      </c>
      <c r="N40" s="159">
        <v>1920</v>
      </c>
      <c r="O40" s="159">
        <v>506</v>
      </c>
      <c r="P40" s="159">
        <v>2835</v>
      </c>
      <c r="Q40" s="159">
        <v>1500</v>
      </c>
      <c r="R40" s="159">
        <v>2000</v>
      </c>
      <c r="S40" s="159">
        <v>15208</v>
      </c>
      <c r="T40" s="159">
        <v>44</v>
      </c>
      <c r="U40" s="159">
        <v>120</v>
      </c>
      <c r="V40" s="159">
        <v>0</v>
      </c>
      <c r="W40" s="159">
        <v>186</v>
      </c>
      <c r="X40" s="159">
        <v>0</v>
      </c>
      <c r="Y40" s="159">
        <v>0</v>
      </c>
      <c r="Z40" s="159">
        <v>0</v>
      </c>
      <c r="AA40" s="159">
        <v>0</v>
      </c>
      <c r="AB40" s="159">
        <v>0</v>
      </c>
      <c r="AC40" s="159">
        <v>0</v>
      </c>
      <c r="AD40" s="207">
        <v>39369</v>
      </c>
      <c r="AE40" s="200">
        <v>14.676262481778043</v>
      </c>
      <c r="AF40" s="200">
        <v>20.460567374384965</v>
      </c>
      <c r="AG40" s="200">
        <v>21.302144823820157</v>
      </c>
      <c r="AH40" s="200">
        <v>0</v>
      </c>
      <c r="AI40" s="200">
        <v>0</v>
      </c>
      <c r="AJ40" s="200">
        <v>0</v>
      </c>
      <c r="AL40" s="197">
        <f t="shared" si="0"/>
        <v>45131.27189731269</v>
      </c>
      <c r="AM40" s="197" t="str">
        <f t="shared" si="1"/>
        <v>Box Medium 4</v>
      </c>
      <c r="AN40" s="3">
        <f t="shared" si="2"/>
        <v>11.581232488256255</v>
      </c>
      <c r="AO40" s="3">
        <f t="shared" si="3"/>
        <v>4.4702890467402039</v>
      </c>
      <c r="AP40" s="3">
        <f t="shared" si="4"/>
        <v>0</v>
      </c>
      <c r="AQ40" s="3">
        <f t="shared" si="5"/>
        <v>0</v>
      </c>
      <c r="AR40" s="3">
        <f t="shared" si="6"/>
        <v>4.4702890467402039</v>
      </c>
      <c r="AS40" s="81">
        <f t="shared" si="7"/>
        <v>1</v>
      </c>
      <c r="AT40" s="81">
        <f t="shared" si="8"/>
        <v>0</v>
      </c>
    </row>
    <row r="41" spans="1:46" x14ac:dyDescent="0.25">
      <c r="A41" t="s">
        <v>807</v>
      </c>
      <c r="B41">
        <v>2050</v>
      </c>
      <c r="C41" t="s">
        <v>680</v>
      </c>
      <c r="D41" t="s">
        <v>518</v>
      </c>
      <c r="E41" t="s">
        <v>1028</v>
      </c>
      <c r="F41">
        <v>2</v>
      </c>
      <c r="G41" t="s">
        <v>1776</v>
      </c>
      <c r="H41" s="460">
        <v>2297.7447735058222</v>
      </c>
      <c r="I41">
        <v>840</v>
      </c>
      <c r="J41">
        <v>0</v>
      </c>
      <c r="K41" s="67">
        <v>2.4076800000000005</v>
      </c>
      <c r="L41" s="159">
        <v>150</v>
      </c>
      <c r="M41" s="159">
        <v>12600</v>
      </c>
      <c r="N41" s="159">
        <v>220</v>
      </c>
      <c r="O41" s="159">
        <v>392</v>
      </c>
      <c r="P41" s="159">
        <v>3173</v>
      </c>
      <c r="Q41" s="159">
        <v>1500</v>
      </c>
      <c r="R41" s="159">
        <v>2000</v>
      </c>
      <c r="S41" s="159">
        <v>15208</v>
      </c>
      <c r="T41" s="159">
        <v>0</v>
      </c>
      <c r="U41" s="159">
        <v>774</v>
      </c>
      <c r="V41" s="159">
        <v>4500</v>
      </c>
      <c r="W41" s="159">
        <v>186</v>
      </c>
      <c r="X41" s="159">
        <v>120</v>
      </c>
      <c r="Y41" s="159">
        <v>1500</v>
      </c>
      <c r="Z41" s="159">
        <v>864</v>
      </c>
      <c r="AA41" s="159">
        <v>0</v>
      </c>
      <c r="AB41" s="159">
        <v>0</v>
      </c>
      <c r="AC41" s="159">
        <v>0</v>
      </c>
      <c r="AD41" s="207">
        <v>43187</v>
      </c>
      <c r="AE41" s="200">
        <v>42.086376813892407</v>
      </c>
      <c r="AF41" s="200">
        <v>32.627731852383747</v>
      </c>
      <c r="AG41" s="200">
        <v>28.669695583308133</v>
      </c>
      <c r="AH41" s="200">
        <v>0</v>
      </c>
      <c r="AI41" s="200">
        <v>0</v>
      </c>
      <c r="AJ41" s="200">
        <v>0</v>
      </c>
      <c r="AL41" s="197">
        <f t="shared" si="0"/>
        <v>49508.096203338748</v>
      </c>
      <c r="AM41" s="197" t="str">
        <f t="shared" si="1"/>
        <v>Box Medium 4</v>
      </c>
      <c r="AN41" s="3">
        <f t="shared" si="2"/>
        <v>7.8531940495094075</v>
      </c>
      <c r="AO41" s="3">
        <f t="shared" si="3"/>
        <v>3.0312876783231761</v>
      </c>
      <c r="AP41" s="3">
        <f t="shared" si="4"/>
        <v>0</v>
      </c>
      <c r="AQ41" s="3">
        <f t="shared" si="5"/>
        <v>0</v>
      </c>
      <c r="AR41" s="3">
        <f t="shared" si="6"/>
        <v>3.0312876783231761</v>
      </c>
      <c r="AS41" s="81">
        <f t="shared" si="7"/>
        <v>1</v>
      </c>
      <c r="AT41" s="81">
        <f t="shared" si="8"/>
        <v>0</v>
      </c>
    </row>
    <row r="42" spans="1:46" x14ac:dyDescent="0.25">
      <c r="A42" t="s">
        <v>807</v>
      </c>
      <c r="B42">
        <v>2050</v>
      </c>
      <c r="C42" t="s">
        <v>680</v>
      </c>
      <c r="D42" t="s">
        <v>518</v>
      </c>
      <c r="E42" t="s">
        <v>1028</v>
      </c>
      <c r="F42">
        <v>2</v>
      </c>
      <c r="G42" t="s">
        <v>1777</v>
      </c>
      <c r="H42" s="460">
        <v>2151.1424349743916</v>
      </c>
      <c r="I42">
        <v>840</v>
      </c>
      <c r="J42">
        <v>0</v>
      </c>
      <c r="K42" s="67">
        <v>2.5660800000000004</v>
      </c>
      <c r="L42" s="159">
        <v>150</v>
      </c>
      <c r="M42" s="159">
        <v>10261</v>
      </c>
      <c r="N42" s="159">
        <v>220</v>
      </c>
      <c r="O42" s="159">
        <v>392</v>
      </c>
      <c r="P42" s="159">
        <v>1947</v>
      </c>
      <c r="Q42" s="159">
        <v>1500</v>
      </c>
      <c r="R42" s="159">
        <v>2000</v>
      </c>
      <c r="S42" s="159">
        <v>15208</v>
      </c>
      <c r="T42" s="159">
        <v>0</v>
      </c>
      <c r="U42" s="159">
        <v>824</v>
      </c>
      <c r="V42" s="159">
        <v>4500</v>
      </c>
      <c r="W42" s="159">
        <v>186</v>
      </c>
      <c r="X42" s="159">
        <v>120</v>
      </c>
      <c r="Y42" s="159">
        <v>1500</v>
      </c>
      <c r="Z42" s="159">
        <v>707</v>
      </c>
      <c r="AA42" s="159">
        <v>0</v>
      </c>
      <c r="AB42" s="159">
        <v>0</v>
      </c>
      <c r="AC42" s="159">
        <v>0</v>
      </c>
      <c r="AD42" s="207">
        <v>39515</v>
      </c>
      <c r="AE42" s="200">
        <v>32.698937878470645</v>
      </c>
      <c r="AF42" s="200">
        <v>32.487420329411158</v>
      </c>
      <c r="AG42" s="200">
        <v>25.208859364398148</v>
      </c>
      <c r="AH42" s="200">
        <v>0</v>
      </c>
      <c r="AI42" s="200">
        <v>0</v>
      </c>
      <c r="AJ42" s="200">
        <v>0</v>
      </c>
      <c r="AL42" s="197">
        <f t="shared" si="0"/>
        <v>45298.641291938096</v>
      </c>
      <c r="AM42" s="197" t="str">
        <f t="shared" si="1"/>
        <v>Box Medium 4</v>
      </c>
      <c r="AN42" s="3">
        <f t="shared" si="2"/>
        <v>8.9287817503600806</v>
      </c>
      <c r="AO42" s="3">
        <f t="shared" si="3"/>
        <v>3.4464583367826194</v>
      </c>
      <c r="AP42" s="3">
        <f t="shared" si="4"/>
        <v>0</v>
      </c>
      <c r="AQ42" s="3">
        <f t="shared" si="5"/>
        <v>0</v>
      </c>
      <c r="AR42" s="3">
        <f t="shared" si="6"/>
        <v>3.4464583367826194</v>
      </c>
      <c r="AS42" s="81">
        <f t="shared" si="7"/>
        <v>1</v>
      </c>
      <c r="AT42" s="81">
        <f t="shared" si="8"/>
        <v>0</v>
      </c>
    </row>
    <row r="43" spans="1:46" x14ac:dyDescent="0.25">
      <c r="A43" t="s">
        <v>808</v>
      </c>
      <c r="B43">
        <v>2050</v>
      </c>
      <c r="C43" t="s">
        <v>680</v>
      </c>
      <c r="D43" t="s">
        <v>518</v>
      </c>
      <c r="E43" t="s">
        <v>1028</v>
      </c>
      <c r="F43">
        <v>2</v>
      </c>
      <c r="G43" t="s">
        <v>1778</v>
      </c>
      <c r="H43" s="460">
        <v>2428.6920605372798</v>
      </c>
      <c r="I43">
        <v>840</v>
      </c>
      <c r="J43">
        <v>119.99999997072871</v>
      </c>
      <c r="K43" s="67">
        <v>67.027500000000003</v>
      </c>
      <c r="L43" s="159">
        <v>0</v>
      </c>
      <c r="M43" s="159">
        <v>10802</v>
      </c>
      <c r="N43" s="159">
        <v>220</v>
      </c>
      <c r="O43" s="159">
        <v>0</v>
      </c>
      <c r="P43" s="159">
        <v>0</v>
      </c>
      <c r="Q43" s="159">
        <v>1500</v>
      </c>
      <c r="R43" s="159">
        <v>2000</v>
      </c>
      <c r="S43" s="159">
        <v>15208</v>
      </c>
      <c r="T43" s="159">
        <v>1303</v>
      </c>
      <c r="U43" s="159">
        <v>6032</v>
      </c>
      <c r="V43" s="159">
        <v>4500</v>
      </c>
      <c r="W43" s="159">
        <v>186</v>
      </c>
      <c r="X43" s="159">
        <v>0</v>
      </c>
      <c r="Y43" s="159">
        <v>1500</v>
      </c>
      <c r="Z43" s="159">
        <v>1705</v>
      </c>
      <c r="AA43" s="159">
        <v>0</v>
      </c>
      <c r="AB43" s="159">
        <v>0</v>
      </c>
      <c r="AC43" s="159">
        <v>0</v>
      </c>
      <c r="AD43" s="207">
        <v>44956</v>
      </c>
      <c r="AE43" s="200">
        <v>116.34906664668684</v>
      </c>
      <c r="AF43" s="200">
        <v>54.458315848223137</v>
      </c>
      <c r="AG43" s="200">
        <v>35.215071259683867</v>
      </c>
      <c r="AH43" s="200">
        <v>296</v>
      </c>
      <c r="AI43" s="200">
        <v>519</v>
      </c>
      <c r="AJ43" s="200">
        <v>668</v>
      </c>
      <c r="AL43" s="197">
        <f t="shared" si="0"/>
        <v>51536.017156026042</v>
      </c>
      <c r="AM43" s="197" t="str">
        <f t="shared" si="1"/>
        <v>Box Medium 4</v>
      </c>
      <c r="AN43" s="3">
        <f t="shared" si="2"/>
        <v>3.0005967101513789</v>
      </c>
      <c r="AO43" s="3">
        <f t="shared" si="3"/>
        <v>1.158213050353333</v>
      </c>
      <c r="AP43" s="3">
        <f t="shared" si="4"/>
        <v>19.181465694011209</v>
      </c>
      <c r="AQ43" s="3">
        <f t="shared" si="5"/>
        <v>0.69053276498440352</v>
      </c>
      <c r="AR43" s="3">
        <f t="shared" si="6"/>
        <v>1.8487458153377365</v>
      </c>
      <c r="AS43" s="81">
        <f t="shared" si="7"/>
        <v>0.62648582663147012</v>
      </c>
      <c r="AT43" s="81">
        <f t="shared" si="8"/>
        <v>0.37351417336852993</v>
      </c>
    </row>
    <row r="44" spans="1:46" x14ac:dyDescent="0.25">
      <c r="A44" t="s">
        <v>808</v>
      </c>
      <c r="B44">
        <v>2050</v>
      </c>
      <c r="C44" t="s">
        <v>680</v>
      </c>
      <c r="D44" t="s">
        <v>518</v>
      </c>
      <c r="E44" t="s">
        <v>1028</v>
      </c>
      <c r="F44">
        <v>2</v>
      </c>
      <c r="G44" t="s">
        <v>1779</v>
      </c>
      <c r="H44" s="460">
        <v>2341.3145848400122</v>
      </c>
      <c r="I44">
        <v>840</v>
      </c>
      <c r="J44">
        <v>119.99999997072871</v>
      </c>
      <c r="K44" s="67">
        <v>60.324750000000002</v>
      </c>
      <c r="L44" s="159">
        <v>0</v>
      </c>
      <c r="M44" s="159">
        <v>8211</v>
      </c>
      <c r="N44" s="159">
        <v>220</v>
      </c>
      <c r="O44" s="159">
        <v>0</v>
      </c>
      <c r="P44" s="159">
        <v>2205</v>
      </c>
      <c r="Q44" s="159">
        <v>1500</v>
      </c>
      <c r="R44" s="159">
        <v>2000</v>
      </c>
      <c r="S44" s="159">
        <v>15208</v>
      </c>
      <c r="T44" s="159">
        <v>1109</v>
      </c>
      <c r="U44" s="159">
        <v>5429</v>
      </c>
      <c r="V44" s="159">
        <v>4500</v>
      </c>
      <c r="W44" s="159">
        <v>186</v>
      </c>
      <c r="X44" s="159">
        <v>0</v>
      </c>
      <c r="Y44" s="159">
        <v>1500</v>
      </c>
      <c r="Z44" s="159">
        <v>1382</v>
      </c>
      <c r="AA44" s="159">
        <v>0</v>
      </c>
      <c r="AB44" s="159">
        <v>0</v>
      </c>
      <c r="AC44" s="159">
        <v>0</v>
      </c>
      <c r="AD44" s="207">
        <v>43450</v>
      </c>
      <c r="AE44" s="200">
        <v>40.650670573204835</v>
      </c>
      <c r="AF44" s="200">
        <v>28.673258770093682</v>
      </c>
      <c r="AG44" s="200">
        <v>21.516583522952029</v>
      </c>
      <c r="AH44" s="200">
        <v>304</v>
      </c>
      <c r="AI44" s="200">
        <v>450</v>
      </c>
      <c r="AJ44" s="200">
        <v>589</v>
      </c>
      <c r="AL44" s="197">
        <f t="shared" si="0"/>
        <v>49809.590386807802</v>
      </c>
      <c r="AM44" s="197" t="str">
        <f t="shared" si="1"/>
        <v>Box Medium 4</v>
      </c>
      <c r="AN44" s="3">
        <f t="shared" si="2"/>
        <v>5.085842339950398</v>
      </c>
      <c r="AO44" s="3">
        <f t="shared" si="3"/>
        <v>1.9631058549927261</v>
      </c>
      <c r="AP44" s="3">
        <f t="shared" si="4"/>
        <v>17.025302297836383</v>
      </c>
      <c r="AQ44" s="3">
        <f t="shared" si="5"/>
        <v>0.61291088272210981</v>
      </c>
      <c r="AR44" s="3">
        <f t="shared" si="6"/>
        <v>2.576016737714836</v>
      </c>
      <c r="AS44" s="81">
        <f t="shared" si="7"/>
        <v>0.76207030266976516</v>
      </c>
      <c r="AT44" s="81">
        <f t="shared" si="8"/>
        <v>0.23792969733023481</v>
      </c>
    </row>
    <row r="45" spans="1:46" x14ac:dyDescent="0.25">
      <c r="A45" t="s">
        <v>230</v>
      </c>
      <c r="B45">
        <v>2050</v>
      </c>
      <c r="C45" t="s">
        <v>680</v>
      </c>
      <c r="D45" t="s">
        <v>518</v>
      </c>
      <c r="E45" t="s">
        <v>1028</v>
      </c>
      <c r="F45">
        <v>2</v>
      </c>
      <c r="G45" t="s">
        <v>1780</v>
      </c>
      <c r="H45" s="460">
        <v>2060.0906433333421</v>
      </c>
      <c r="I45">
        <v>840</v>
      </c>
      <c r="J45">
        <v>150.00000001001371</v>
      </c>
      <c r="K45" s="67">
        <v>89.866500000000002</v>
      </c>
      <c r="L45" s="159">
        <v>0</v>
      </c>
      <c r="M45" s="159">
        <v>0</v>
      </c>
      <c r="N45" s="159">
        <v>0</v>
      </c>
      <c r="O45" s="159">
        <v>0</v>
      </c>
      <c r="P45" s="159">
        <v>0</v>
      </c>
      <c r="Q45" s="159">
        <v>1500</v>
      </c>
      <c r="R45" s="159">
        <v>2000</v>
      </c>
      <c r="S45" s="159">
        <v>15208</v>
      </c>
      <c r="T45" s="159">
        <v>0</v>
      </c>
      <c r="U45" s="159">
        <v>8088</v>
      </c>
      <c r="V45" s="159">
        <v>4500</v>
      </c>
      <c r="W45" s="159">
        <v>186</v>
      </c>
      <c r="X45" s="159">
        <v>0</v>
      </c>
      <c r="Y45" s="159">
        <v>1500</v>
      </c>
      <c r="Z45" s="159">
        <v>1647</v>
      </c>
      <c r="AA45" s="159">
        <v>0</v>
      </c>
      <c r="AB45" s="159">
        <v>0</v>
      </c>
      <c r="AC45" s="159">
        <v>0</v>
      </c>
      <c r="AD45" s="207">
        <v>34629</v>
      </c>
      <c r="AE45" s="200">
        <v>0</v>
      </c>
      <c r="AF45" s="200">
        <v>0</v>
      </c>
      <c r="AG45" s="200">
        <v>0</v>
      </c>
      <c r="AH45" s="200">
        <v>277</v>
      </c>
      <c r="AI45" s="200">
        <v>497</v>
      </c>
      <c r="AJ45" s="200">
        <v>639</v>
      </c>
      <c r="AL45" s="197">
        <f t="shared" si="0"/>
        <v>39697.498400570024</v>
      </c>
      <c r="AM45" s="197" t="str">
        <f t="shared" si="1"/>
        <v>Box Medium 4</v>
      </c>
      <c r="AN45" s="3">
        <f t="shared" si="2"/>
        <v>0</v>
      </c>
      <c r="AO45" s="3">
        <f t="shared" si="3"/>
        <v>0</v>
      </c>
      <c r="AP45" s="3">
        <f t="shared" si="4"/>
        <v>36.662234207811899</v>
      </c>
      <c r="AQ45" s="3">
        <f t="shared" si="5"/>
        <v>1.3198404314812284</v>
      </c>
      <c r="AR45" s="3">
        <f t="shared" si="6"/>
        <v>1.3198404314812284</v>
      </c>
      <c r="AS45" s="81">
        <f t="shared" si="7"/>
        <v>0</v>
      </c>
      <c r="AT45" s="81">
        <f t="shared" si="8"/>
        <v>1</v>
      </c>
    </row>
    <row r="46" spans="1:46" x14ac:dyDescent="0.25">
      <c r="A46" t="s">
        <v>496</v>
      </c>
      <c r="B46">
        <v>2050</v>
      </c>
      <c r="C46" t="s">
        <v>680</v>
      </c>
      <c r="D46" t="s">
        <v>518</v>
      </c>
      <c r="E46" t="s">
        <v>1028</v>
      </c>
      <c r="F46">
        <v>2</v>
      </c>
      <c r="G46" t="s">
        <v>1781</v>
      </c>
      <c r="H46" s="460">
        <v>1925.0494281082788</v>
      </c>
      <c r="I46">
        <v>840</v>
      </c>
      <c r="J46">
        <v>150.00000001001371</v>
      </c>
      <c r="K46" s="67">
        <v>2.7086400000000004</v>
      </c>
      <c r="L46" s="159">
        <v>0</v>
      </c>
      <c r="M46" s="159">
        <v>0</v>
      </c>
      <c r="N46" s="159">
        <v>0</v>
      </c>
      <c r="O46" s="159">
        <v>0</v>
      </c>
      <c r="P46" s="159">
        <v>0</v>
      </c>
      <c r="Q46" s="159">
        <v>1500</v>
      </c>
      <c r="R46" s="159">
        <v>2000</v>
      </c>
      <c r="S46" s="159">
        <v>15208</v>
      </c>
      <c r="T46" s="159">
        <v>0</v>
      </c>
      <c r="U46" s="159">
        <v>870</v>
      </c>
      <c r="V46" s="159">
        <v>4500</v>
      </c>
      <c r="W46" s="159">
        <v>186</v>
      </c>
      <c r="X46" s="159">
        <v>0</v>
      </c>
      <c r="Y46" s="159">
        <v>1500</v>
      </c>
      <c r="Z46" s="159">
        <v>1635</v>
      </c>
      <c r="AA46" s="159">
        <v>8767</v>
      </c>
      <c r="AB46" s="159">
        <v>1867</v>
      </c>
      <c r="AC46" s="159">
        <v>0</v>
      </c>
      <c r="AD46" s="207">
        <v>38033</v>
      </c>
      <c r="AE46" s="200">
        <v>72.864776079337148</v>
      </c>
      <c r="AF46" s="200">
        <v>47.105939216735209</v>
      </c>
      <c r="AG46" s="200">
        <v>35.687999406263046</v>
      </c>
      <c r="AH46" s="200">
        <v>0</v>
      </c>
      <c r="AI46" s="200">
        <v>0</v>
      </c>
      <c r="AJ46" s="200">
        <v>0</v>
      </c>
      <c r="AL46" s="197">
        <f t="shared" si="0"/>
        <v>43599.727299918552</v>
      </c>
      <c r="AM46" s="197" t="str">
        <f t="shared" si="1"/>
        <v>Box Medium 4</v>
      </c>
      <c r="AN46" s="3">
        <f t="shared" si="2"/>
        <v>6.1108176428829468</v>
      </c>
      <c r="AO46" s="3">
        <f t="shared" si="3"/>
        <v>2.3587404193212484</v>
      </c>
      <c r="AP46" s="3">
        <f t="shared" si="4"/>
        <v>0</v>
      </c>
      <c r="AQ46" s="3">
        <f t="shared" si="5"/>
        <v>0</v>
      </c>
      <c r="AR46" s="3">
        <f t="shared" si="6"/>
        <v>2.3587404193212484</v>
      </c>
      <c r="AS46" s="81">
        <f t="shared" si="7"/>
        <v>1</v>
      </c>
      <c r="AT46" s="81">
        <f t="shared" si="8"/>
        <v>0</v>
      </c>
    </row>
    <row r="47" spans="1:46" x14ac:dyDescent="0.25">
      <c r="A47" t="s">
        <v>828</v>
      </c>
      <c r="B47">
        <v>2050</v>
      </c>
      <c r="C47" t="s">
        <v>680</v>
      </c>
      <c r="D47" t="s">
        <v>518</v>
      </c>
      <c r="E47" t="s">
        <v>1028</v>
      </c>
      <c r="F47">
        <v>2</v>
      </c>
      <c r="G47" t="s">
        <v>1782</v>
      </c>
      <c r="H47" s="460">
        <v>1892.5824274546753</v>
      </c>
      <c r="I47">
        <v>840</v>
      </c>
      <c r="J47">
        <v>150.00000001001371</v>
      </c>
      <c r="K47" s="67">
        <v>14.3985</v>
      </c>
      <c r="L47" s="159">
        <v>0</v>
      </c>
      <c r="M47" s="159">
        <v>0</v>
      </c>
      <c r="N47" s="159">
        <v>0</v>
      </c>
      <c r="O47" s="159">
        <v>0</v>
      </c>
      <c r="P47" s="159">
        <v>0</v>
      </c>
      <c r="Q47" s="159">
        <v>1500</v>
      </c>
      <c r="R47" s="159">
        <v>2000</v>
      </c>
      <c r="S47" s="159">
        <v>15208</v>
      </c>
      <c r="T47" s="159">
        <v>0</v>
      </c>
      <c r="U47" s="159">
        <v>1296</v>
      </c>
      <c r="V47" s="159">
        <v>4500</v>
      </c>
      <c r="W47" s="159">
        <v>186</v>
      </c>
      <c r="X47" s="159">
        <v>0</v>
      </c>
      <c r="Y47" s="159">
        <v>1500</v>
      </c>
      <c r="Z47" s="159">
        <v>1773</v>
      </c>
      <c r="AA47" s="159">
        <v>4701</v>
      </c>
      <c r="AB47" s="159">
        <v>1467</v>
      </c>
      <c r="AC47" s="159">
        <v>0</v>
      </c>
      <c r="AD47" s="207">
        <v>34131</v>
      </c>
      <c r="AE47" s="200">
        <v>76.014296029911606</v>
      </c>
      <c r="AF47" s="200">
        <v>44.376940108705234</v>
      </c>
      <c r="AG47" s="200">
        <v>33.218195977732904</v>
      </c>
      <c r="AH47" s="200">
        <v>0</v>
      </c>
      <c r="AI47" s="200">
        <v>0</v>
      </c>
      <c r="AJ47" s="200">
        <v>0</v>
      </c>
      <c r="AL47" s="197">
        <f t="shared" si="0"/>
        <v>39126.608273697057</v>
      </c>
      <c r="AM47" s="197" t="str">
        <f t="shared" si="1"/>
        <v>Box Medium 4</v>
      </c>
      <c r="AN47" s="3">
        <f t="shared" si="2"/>
        <v>6.5220091716813631</v>
      </c>
      <c r="AO47" s="3">
        <f t="shared" si="3"/>
        <v>2.5174579814774227</v>
      </c>
      <c r="AP47" s="3">
        <f t="shared" si="4"/>
        <v>0</v>
      </c>
      <c r="AQ47" s="3">
        <f t="shared" si="5"/>
        <v>0</v>
      </c>
      <c r="AR47" s="3">
        <f t="shared" si="6"/>
        <v>2.5174579814774227</v>
      </c>
      <c r="AS47" s="81">
        <f t="shared" si="7"/>
        <v>1</v>
      </c>
      <c r="AT47" s="81">
        <f t="shared" si="8"/>
        <v>0</v>
      </c>
    </row>
    <row r="48" spans="1:46" x14ac:dyDescent="0.25">
      <c r="A48" t="s">
        <v>805</v>
      </c>
      <c r="B48">
        <v>2023</v>
      </c>
      <c r="C48" t="s">
        <v>680</v>
      </c>
      <c r="D48" t="s">
        <v>806</v>
      </c>
      <c r="E48" t="s">
        <v>1028</v>
      </c>
      <c r="F48">
        <v>3</v>
      </c>
      <c r="G48" t="s">
        <v>1783</v>
      </c>
      <c r="H48" s="460">
        <v>2980.4788596094804</v>
      </c>
      <c r="I48">
        <v>1200</v>
      </c>
      <c r="J48">
        <v>0</v>
      </c>
      <c r="K48" s="67">
        <v>0</v>
      </c>
      <c r="L48" s="159">
        <v>150</v>
      </c>
      <c r="M48" s="159">
        <v>13714</v>
      </c>
      <c r="N48" s="159">
        <v>1920</v>
      </c>
      <c r="O48" s="159">
        <v>506</v>
      </c>
      <c r="P48" s="159">
        <v>4007</v>
      </c>
      <c r="Q48" s="159">
        <v>1500</v>
      </c>
      <c r="R48" s="159">
        <v>2000</v>
      </c>
      <c r="S48" s="159">
        <v>16000</v>
      </c>
      <c r="T48" s="159">
        <v>98</v>
      </c>
      <c r="U48" s="159">
        <v>120</v>
      </c>
      <c r="V48" s="159">
        <v>0</v>
      </c>
      <c r="W48" s="159">
        <v>186</v>
      </c>
      <c r="X48" s="159">
        <v>0</v>
      </c>
      <c r="Y48" s="159">
        <v>0</v>
      </c>
      <c r="Z48" s="159">
        <v>0</v>
      </c>
      <c r="AA48" s="159">
        <v>0</v>
      </c>
      <c r="AB48" s="159">
        <v>0</v>
      </c>
      <c r="AC48" s="159">
        <v>0</v>
      </c>
      <c r="AD48" s="207">
        <v>40201</v>
      </c>
      <c r="AE48" s="200">
        <v>15.023286558604735</v>
      </c>
      <c r="AF48" s="200">
        <v>17.408600759297588</v>
      </c>
      <c r="AG48" s="200">
        <v>14.527598311009465</v>
      </c>
      <c r="AH48" s="200">
        <v>0</v>
      </c>
      <c r="AI48" s="200">
        <v>0</v>
      </c>
      <c r="AJ48" s="200">
        <v>0</v>
      </c>
      <c r="AL48" s="197">
        <f t="shared" si="0"/>
        <v>46085.048173534189</v>
      </c>
      <c r="AM48" s="197" t="str">
        <f t="shared" si="1"/>
        <v>Box Medium 4</v>
      </c>
      <c r="AN48" s="3">
        <f t="shared" si="2"/>
        <v>15.896340736815848</v>
      </c>
      <c r="AO48" s="3">
        <f t="shared" si="3"/>
        <v>6.1358959809412674</v>
      </c>
      <c r="AP48" s="3">
        <f t="shared" si="4"/>
        <v>0</v>
      </c>
      <c r="AQ48" s="3">
        <f t="shared" si="5"/>
        <v>0</v>
      </c>
      <c r="AR48" s="3">
        <f t="shared" si="6"/>
        <v>6.1358959809412674</v>
      </c>
      <c r="AS48" s="81">
        <f t="shared" si="7"/>
        <v>1</v>
      </c>
      <c r="AT48" s="81">
        <f t="shared" si="8"/>
        <v>0</v>
      </c>
    </row>
    <row r="49" spans="1:46" x14ac:dyDescent="0.25">
      <c r="A49" t="s">
        <v>805</v>
      </c>
      <c r="B49">
        <v>2023</v>
      </c>
      <c r="C49" t="s">
        <v>680</v>
      </c>
      <c r="D49" t="s">
        <v>806</v>
      </c>
      <c r="E49" t="s">
        <v>1028</v>
      </c>
      <c r="F49">
        <v>3</v>
      </c>
      <c r="G49" t="s">
        <v>1784</v>
      </c>
      <c r="H49" s="460">
        <v>2851.9729766606188</v>
      </c>
      <c r="I49">
        <v>1200</v>
      </c>
      <c r="J49">
        <v>0</v>
      </c>
      <c r="K49" s="67">
        <v>0</v>
      </c>
      <c r="L49" s="159">
        <v>150</v>
      </c>
      <c r="M49" s="159">
        <v>20899</v>
      </c>
      <c r="N49" s="159">
        <v>1920</v>
      </c>
      <c r="O49" s="159">
        <v>506</v>
      </c>
      <c r="P49" s="159">
        <v>3343</v>
      </c>
      <c r="Q49" s="159">
        <v>1500</v>
      </c>
      <c r="R49" s="159">
        <v>2000</v>
      </c>
      <c r="S49" s="159">
        <v>16000</v>
      </c>
      <c r="T49" s="159">
        <v>98</v>
      </c>
      <c r="U49" s="159">
        <v>120</v>
      </c>
      <c r="V49" s="159">
        <v>0</v>
      </c>
      <c r="W49" s="159">
        <v>186</v>
      </c>
      <c r="X49" s="159">
        <v>0</v>
      </c>
      <c r="Y49" s="159">
        <v>0</v>
      </c>
      <c r="Z49" s="159">
        <v>0</v>
      </c>
      <c r="AA49" s="159">
        <v>0</v>
      </c>
      <c r="AB49" s="159">
        <v>0</v>
      </c>
      <c r="AC49" s="159">
        <v>0</v>
      </c>
      <c r="AD49" s="207">
        <v>46722</v>
      </c>
      <c r="AE49" s="200">
        <v>9.8592823969071297</v>
      </c>
      <c r="AF49" s="200">
        <v>11.966677690825135</v>
      </c>
      <c r="AG49" s="200">
        <v>11.69523091266999</v>
      </c>
      <c r="AH49" s="200">
        <v>0</v>
      </c>
      <c r="AI49" s="200">
        <v>0</v>
      </c>
      <c r="AJ49" s="200">
        <v>0</v>
      </c>
      <c r="AL49" s="197">
        <f t="shared" si="0"/>
        <v>53560.499011563501</v>
      </c>
      <c r="AM49" s="197" t="str">
        <f t="shared" si="1"/>
        <v>Box Medium 4</v>
      </c>
      <c r="AN49" s="3">
        <f t="shared" si="2"/>
        <v>20.445512225387866</v>
      </c>
      <c r="AO49" s="3">
        <f t="shared" si="3"/>
        <v>7.8918499778692963</v>
      </c>
      <c r="AP49" s="3">
        <f t="shared" si="4"/>
        <v>0</v>
      </c>
      <c r="AQ49" s="3">
        <f t="shared" si="5"/>
        <v>0</v>
      </c>
      <c r="AR49" s="3">
        <f t="shared" si="6"/>
        <v>7.8918499778692963</v>
      </c>
      <c r="AS49" s="81">
        <f t="shared" si="7"/>
        <v>1</v>
      </c>
      <c r="AT49" s="81">
        <f t="shared" si="8"/>
        <v>0</v>
      </c>
    </row>
    <row r="50" spans="1:46" x14ac:dyDescent="0.25">
      <c r="A50" t="s">
        <v>807</v>
      </c>
      <c r="B50">
        <v>2023</v>
      </c>
      <c r="C50" t="s">
        <v>680</v>
      </c>
      <c r="D50" t="s">
        <v>806</v>
      </c>
      <c r="E50" t="s">
        <v>1028</v>
      </c>
      <c r="F50">
        <v>3</v>
      </c>
      <c r="G50" t="s">
        <v>1785</v>
      </c>
      <c r="H50" s="460">
        <v>2975.5507241308314</v>
      </c>
      <c r="I50">
        <v>1200</v>
      </c>
      <c r="J50">
        <v>0</v>
      </c>
      <c r="K50" s="67">
        <v>2.1859200000000003</v>
      </c>
      <c r="L50" s="159">
        <v>150</v>
      </c>
      <c r="M50" s="159">
        <v>12548</v>
      </c>
      <c r="N50" s="159">
        <v>220</v>
      </c>
      <c r="O50" s="159">
        <v>392</v>
      </c>
      <c r="P50" s="159">
        <v>3482</v>
      </c>
      <c r="Q50" s="159">
        <v>1500</v>
      </c>
      <c r="R50" s="159">
        <v>2000</v>
      </c>
      <c r="S50" s="159">
        <v>16000</v>
      </c>
      <c r="T50" s="159">
        <v>0</v>
      </c>
      <c r="U50" s="159">
        <v>1530</v>
      </c>
      <c r="V50" s="159">
        <v>4500</v>
      </c>
      <c r="W50" s="159">
        <v>186</v>
      </c>
      <c r="X50" s="159">
        <v>120</v>
      </c>
      <c r="Y50" s="159">
        <v>1500</v>
      </c>
      <c r="Z50" s="159">
        <v>2358</v>
      </c>
      <c r="AA50" s="159">
        <v>0</v>
      </c>
      <c r="AB50" s="159">
        <v>0</v>
      </c>
      <c r="AC50" s="159">
        <v>0</v>
      </c>
      <c r="AD50" s="207">
        <v>46486</v>
      </c>
      <c r="AE50" s="200">
        <v>22.380831545541024</v>
      </c>
      <c r="AF50" s="200">
        <v>18.223020537658233</v>
      </c>
      <c r="AG50" s="200">
        <v>14.798509192068673</v>
      </c>
      <c r="AH50" s="200">
        <v>0</v>
      </c>
      <c r="AI50" s="200">
        <v>0</v>
      </c>
      <c r="AJ50" s="200">
        <v>0</v>
      </c>
      <c r="AL50" s="197">
        <f t="shared" si="0"/>
        <v>53289.956702442978</v>
      </c>
      <c r="AM50" s="197" t="str">
        <f t="shared" si="1"/>
        <v>Box Medium 4</v>
      </c>
      <c r="AN50" s="3">
        <f t="shared" si="2"/>
        <v>15.087205924824062</v>
      </c>
      <c r="AO50" s="3">
        <f t="shared" si="3"/>
        <v>5.8235746031387841</v>
      </c>
      <c r="AP50" s="3">
        <f t="shared" si="4"/>
        <v>0</v>
      </c>
      <c r="AQ50" s="3">
        <f t="shared" si="5"/>
        <v>0</v>
      </c>
      <c r="AR50" s="3">
        <f t="shared" si="6"/>
        <v>5.8235746031387841</v>
      </c>
      <c r="AS50" s="81">
        <f t="shared" si="7"/>
        <v>1</v>
      </c>
      <c r="AT50" s="81">
        <f t="shared" si="8"/>
        <v>0</v>
      </c>
    </row>
    <row r="51" spans="1:46" x14ac:dyDescent="0.25">
      <c r="A51" t="s">
        <v>807</v>
      </c>
      <c r="B51">
        <v>2023</v>
      </c>
      <c r="C51" t="s">
        <v>680</v>
      </c>
      <c r="D51" t="s">
        <v>806</v>
      </c>
      <c r="E51" t="s">
        <v>1028</v>
      </c>
      <c r="F51">
        <v>3</v>
      </c>
      <c r="G51" t="s">
        <v>1786</v>
      </c>
      <c r="H51" s="460">
        <v>2832.709418921741</v>
      </c>
      <c r="I51">
        <v>1200</v>
      </c>
      <c r="J51">
        <v>0</v>
      </c>
      <c r="K51" s="67">
        <v>2.7244800000000007</v>
      </c>
      <c r="L51" s="159">
        <v>150</v>
      </c>
      <c r="M51" s="159">
        <v>10129</v>
      </c>
      <c r="N51" s="159">
        <v>220</v>
      </c>
      <c r="O51" s="159">
        <v>392</v>
      </c>
      <c r="P51" s="159">
        <v>2315</v>
      </c>
      <c r="Q51" s="159">
        <v>1500</v>
      </c>
      <c r="R51" s="159">
        <v>2000</v>
      </c>
      <c r="S51" s="159">
        <v>16000</v>
      </c>
      <c r="T51" s="159">
        <v>0</v>
      </c>
      <c r="U51" s="159">
        <v>1907</v>
      </c>
      <c r="V51" s="159">
        <v>4500</v>
      </c>
      <c r="W51" s="159">
        <v>186</v>
      </c>
      <c r="X51" s="159">
        <v>120</v>
      </c>
      <c r="Y51" s="159">
        <v>1500</v>
      </c>
      <c r="Z51" s="159">
        <v>2277</v>
      </c>
      <c r="AA51" s="159">
        <v>0</v>
      </c>
      <c r="AB51" s="159">
        <v>0</v>
      </c>
      <c r="AC51" s="159">
        <v>0</v>
      </c>
      <c r="AD51" s="207">
        <v>43196</v>
      </c>
      <c r="AE51" s="200">
        <v>19.05008921155769</v>
      </c>
      <c r="AF51" s="200">
        <v>14.277242342074862</v>
      </c>
      <c r="AG51" s="200">
        <v>11.861853008137345</v>
      </c>
      <c r="AH51" s="200">
        <v>0</v>
      </c>
      <c r="AI51" s="200">
        <v>0</v>
      </c>
      <c r="AJ51" s="200">
        <v>0</v>
      </c>
      <c r="AL51" s="197">
        <f t="shared" si="0"/>
        <v>49518.413494788256</v>
      </c>
      <c r="AM51" s="197" t="str">
        <f t="shared" si="1"/>
        <v>Box Medium 4</v>
      </c>
      <c r="AN51" s="3">
        <f t="shared" si="2"/>
        <v>18.779383305075331</v>
      </c>
      <c r="AO51" s="3">
        <f t="shared" si="3"/>
        <v>7.2487338094923288</v>
      </c>
      <c r="AP51" s="3">
        <f t="shared" si="4"/>
        <v>0</v>
      </c>
      <c r="AQ51" s="3">
        <f t="shared" si="5"/>
        <v>0</v>
      </c>
      <c r="AR51" s="3">
        <f t="shared" si="6"/>
        <v>7.2487338094923288</v>
      </c>
      <c r="AS51" s="81">
        <f t="shared" si="7"/>
        <v>1</v>
      </c>
      <c r="AT51" s="81">
        <f t="shared" si="8"/>
        <v>0</v>
      </c>
    </row>
    <row r="52" spans="1:46" x14ac:dyDescent="0.25">
      <c r="A52" t="s">
        <v>808</v>
      </c>
      <c r="B52">
        <v>2023</v>
      </c>
      <c r="C52" t="s">
        <v>680</v>
      </c>
      <c r="D52" t="s">
        <v>806</v>
      </c>
      <c r="E52" t="s">
        <v>1028</v>
      </c>
      <c r="F52">
        <v>3</v>
      </c>
      <c r="G52" t="s">
        <v>1787</v>
      </c>
      <c r="H52" s="460">
        <v>3993.6009474955044</v>
      </c>
      <c r="I52">
        <v>1200</v>
      </c>
      <c r="J52">
        <v>119.99999997072871</v>
      </c>
      <c r="K52" s="67">
        <v>123.504375</v>
      </c>
      <c r="L52" s="159">
        <v>0</v>
      </c>
      <c r="M52" s="159">
        <v>11184</v>
      </c>
      <c r="N52" s="159">
        <v>220</v>
      </c>
      <c r="O52" s="159">
        <v>0</v>
      </c>
      <c r="P52" s="159">
        <v>0</v>
      </c>
      <c r="Q52" s="159">
        <v>1500</v>
      </c>
      <c r="R52" s="159">
        <v>2000</v>
      </c>
      <c r="S52" s="159">
        <v>16000</v>
      </c>
      <c r="T52" s="159">
        <v>3829</v>
      </c>
      <c r="U52" s="159">
        <v>43227</v>
      </c>
      <c r="V52" s="159">
        <v>4500</v>
      </c>
      <c r="W52" s="159">
        <v>186</v>
      </c>
      <c r="X52" s="159">
        <v>0</v>
      </c>
      <c r="Y52" s="159">
        <v>1500</v>
      </c>
      <c r="Z52" s="159">
        <v>5815</v>
      </c>
      <c r="AA52" s="159">
        <v>0</v>
      </c>
      <c r="AB52" s="159">
        <v>0</v>
      </c>
      <c r="AC52" s="159">
        <v>0</v>
      </c>
      <c r="AD52" s="207">
        <v>89961</v>
      </c>
      <c r="AE52" s="200">
        <v>61.092176244330432</v>
      </c>
      <c r="AF52" s="200">
        <v>27.9954560035942</v>
      </c>
      <c r="AG52" s="200">
        <v>17.833138837481087</v>
      </c>
      <c r="AH52" s="200">
        <v>561</v>
      </c>
      <c r="AI52" s="200">
        <v>945</v>
      </c>
      <c r="AJ52" s="200">
        <v>1211</v>
      </c>
      <c r="AL52" s="197">
        <f t="shared" si="0"/>
        <v>103128.20623216609</v>
      </c>
      <c r="AM52" s="197" t="str">
        <f t="shared" si="1"/>
        <v>Box Medium 4</v>
      </c>
      <c r="AN52" s="3">
        <f t="shared" si="2"/>
        <v>5.9124536040959406</v>
      </c>
      <c r="AO52" s="3">
        <f t="shared" si="3"/>
        <v>2.2821730426835813</v>
      </c>
      <c r="AP52" s="3">
        <f t="shared" si="4"/>
        <v>34.860874644264115</v>
      </c>
      <c r="AQ52" s="3">
        <f t="shared" si="5"/>
        <v>1.2549914871935082</v>
      </c>
      <c r="AR52" s="3">
        <f t="shared" si="6"/>
        <v>3.5371645298770895</v>
      </c>
      <c r="AS52" s="81">
        <f t="shared" si="7"/>
        <v>0.64519844169162321</v>
      </c>
      <c r="AT52" s="81">
        <f t="shared" si="8"/>
        <v>0.35480155830837673</v>
      </c>
    </row>
    <row r="53" spans="1:46" x14ac:dyDescent="0.25">
      <c r="A53" t="s">
        <v>808</v>
      </c>
      <c r="B53">
        <v>2023</v>
      </c>
      <c r="C53" t="s">
        <v>680</v>
      </c>
      <c r="D53" t="s">
        <v>806</v>
      </c>
      <c r="E53" t="s">
        <v>1028</v>
      </c>
      <c r="F53">
        <v>3</v>
      </c>
      <c r="G53" t="s">
        <v>1788</v>
      </c>
      <c r="H53" s="460">
        <v>3800.3245256515456</v>
      </c>
      <c r="I53">
        <v>1200</v>
      </c>
      <c r="J53">
        <v>119.99999997072871</v>
      </c>
      <c r="K53" s="67">
        <v>116.05687500000001</v>
      </c>
      <c r="L53" s="159">
        <v>0</v>
      </c>
      <c r="M53" s="159">
        <v>7584</v>
      </c>
      <c r="N53" s="159">
        <v>220</v>
      </c>
      <c r="O53" s="159">
        <v>0</v>
      </c>
      <c r="P53" s="159">
        <v>2594</v>
      </c>
      <c r="Q53" s="159">
        <v>1500</v>
      </c>
      <c r="R53" s="159">
        <v>2000</v>
      </c>
      <c r="S53" s="159">
        <v>16000</v>
      </c>
      <c r="T53" s="159">
        <v>3375</v>
      </c>
      <c r="U53" s="159">
        <v>40620</v>
      </c>
      <c r="V53" s="159">
        <v>4500</v>
      </c>
      <c r="W53" s="159">
        <v>186</v>
      </c>
      <c r="X53" s="159">
        <v>0</v>
      </c>
      <c r="Y53" s="159">
        <v>1500</v>
      </c>
      <c r="Z53" s="159">
        <v>4421</v>
      </c>
      <c r="AA53" s="159">
        <v>0</v>
      </c>
      <c r="AB53" s="159">
        <v>0</v>
      </c>
      <c r="AC53" s="159">
        <v>0</v>
      </c>
      <c r="AD53" s="207">
        <v>84500</v>
      </c>
      <c r="AE53" s="200">
        <v>17.544742491779253</v>
      </c>
      <c r="AF53" s="200">
        <v>12.237181194026288</v>
      </c>
      <c r="AG53" s="200">
        <v>9.0731864694766937</v>
      </c>
      <c r="AH53" s="200">
        <v>567</v>
      </c>
      <c r="AI53" s="200">
        <v>835</v>
      </c>
      <c r="AJ53" s="200">
        <v>1092</v>
      </c>
      <c r="AL53" s="197">
        <f t="shared" si="0"/>
        <v>96867.903053745904</v>
      </c>
      <c r="AM53" s="197" t="str">
        <f t="shared" si="1"/>
        <v>Box Medium 4</v>
      </c>
      <c r="AN53" s="3">
        <f t="shared" si="2"/>
        <v>12.034591849960989</v>
      </c>
      <c r="AO53" s="3">
        <f t="shared" si="3"/>
        <v>4.6452831495631024</v>
      </c>
      <c r="AP53" s="3">
        <f t="shared" si="4"/>
        <v>31.577230417438209</v>
      </c>
      <c r="AQ53" s="3">
        <f t="shared" si="5"/>
        <v>1.1367802950277754</v>
      </c>
      <c r="AR53" s="3">
        <f t="shared" si="6"/>
        <v>5.7820634445908778</v>
      </c>
      <c r="AS53" s="81">
        <f t="shared" si="7"/>
        <v>0.80339539579226971</v>
      </c>
      <c r="AT53" s="81">
        <f t="shared" si="8"/>
        <v>0.19660460420773032</v>
      </c>
    </row>
    <row r="54" spans="1:46" x14ac:dyDescent="0.25">
      <c r="A54" t="s">
        <v>230</v>
      </c>
      <c r="B54">
        <v>2023</v>
      </c>
      <c r="C54" t="s">
        <v>680</v>
      </c>
      <c r="D54" t="s">
        <v>806</v>
      </c>
      <c r="E54" t="s">
        <v>1028</v>
      </c>
      <c r="F54">
        <v>3</v>
      </c>
      <c r="G54" t="s">
        <v>1789</v>
      </c>
      <c r="H54" s="460">
        <v>3684.7077219474468</v>
      </c>
      <c r="I54">
        <v>1200</v>
      </c>
      <c r="J54">
        <v>150.00000001001371</v>
      </c>
      <c r="K54" s="67">
        <v>157.26637500000001</v>
      </c>
      <c r="L54" s="159">
        <v>0</v>
      </c>
      <c r="M54" s="159">
        <v>0</v>
      </c>
      <c r="N54" s="159">
        <v>0</v>
      </c>
      <c r="O54" s="159">
        <v>0</v>
      </c>
      <c r="P54" s="159">
        <v>0</v>
      </c>
      <c r="Q54" s="159">
        <v>1500</v>
      </c>
      <c r="R54" s="159">
        <v>2000</v>
      </c>
      <c r="S54" s="159">
        <v>16000</v>
      </c>
      <c r="T54" s="159">
        <v>0</v>
      </c>
      <c r="U54" s="159">
        <v>55043</v>
      </c>
      <c r="V54" s="159">
        <v>4500</v>
      </c>
      <c r="W54" s="159">
        <v>186</v>
      </c>
      <c r="X54" s="159">
        <v>0</v>
      </c>
      <c r="Y54" s="159">
        <v>1500</v>
      </c>
      <c r="Z54" s="159">
        <v>5048</v>
      </c>
      <c r="AA54" s="159">
        <v>0</v>
      </c>
      <c r="AB54" s="159">
        <v>0</v>
      </c>
      <c r="AC54" s="159">
        <v>0</v>
      </c>
      <c r="AD54" s="207">
        <v>85777</v>
      </c>
      <c r="AE54" s="200">
        <v>0</v>
      </c>
      <c r="AF54" s="200">
        <v>0</v>
      </c>
      <c r="AG54" s="200">
        <v>0</v>
      </c>
      <c r="AH54" s="200">
        <v>538</v>
      </c>
      <c r="AI54" s="200">
        <v>907</v>
      </c>
      <c r="AJ54" s="200">
        <v>1168</v>
      </c>
      <c r="AL54" s="197">
        <f t="shared" si="0"/>
        <v>98331.81207385991</v>
      </c>
      <c r="AM54" s="197" t="str">
        <f t="shared" si="1"/>
        <v>Box Medium 4</v>
      </c>
      <c r="AN54" s="3">
        <f t="shared" si="2"/>
        <v>0</v>
      </c>
      <c r="AO54" s="3">
        <f t="shared" si="3"/>
        <v>0</v>
      </c>
      <c r="AP54" s="3">
        <f t="shared" si="4"/>
        <v>67.202082841413244</v>
      </c>
      <c r="AQ54" s="3">
        <f t="shared" si="5"/>
        <v>2.4192749822908768</v>
      </c>
      <c r="AR54" s="3">
        <f t="shared" si="6"/>
        <v>2.4192749822908768</v>
      </c>
      <c r="AS54" s="81">
        <f t="shared" si="7"/>
        <v>0</v>
      </c>
      <c r="AT54" s="81">
        <f t="shared" si="8"/>
        <v>1</v>
      </c>
    </row>
    <row r="55" spans="1:46" x14ac:dyDescent="0.25">
      <c r="A55" t="s">
        <v>496</v>
      </c>
      <c r="B55">
        <v>2023</v>
      </c>
      <c r="C55" t="s">
        <v>680</v>
      </c>
      <c r="D55" t="s">
        <v>806</v>
      </c>
      <c r="E55" t="s">
        <v>1028</v>
      </c>
      <c r="F55">
        <v>3</v>
      </c>
      <c r="G55" t="s">
        <v>1790</v>
      </c>
      <c r="H55" s="460">
        <v>2982.355646601125</v>
      </c>
      <c r="I55">
        <v>1200</v>
      </c>
      <c r="J55">
        <v>150.00000001001371</v>
      </c>
      <c r="K55" s="67">
        <v>3.1046400000000003</v>
      </c>
      <c r="L55" s="159">
        <v>0</v>
      </c>
      <c r="M55" s="159">
        <v>0</v>
      </c>
      <c r="N55" s="159">
        <v>0</v>
      </c>
      <c r="O55" s="159">
        <v>0</v>
      </c>
      <c r="P55" s="159">
        <v>0</v>
      </c>
      <c r="Q55" s="159">
        <v>1500</v>
      </c>
      <c r="R55" s="159">
        <v>2000</v>
      </c>
      <c r="S55" s="159">
        <v>16000</v>
      </c>
      <c r="T55" s="159">
        <v>0</v>
      </c>
      <c r="U55" s="159">
        <v>2173</v>
      </c>
      <c r="V55" s="159">
        <v>4500</v>
      </c>
      <c r="W55" s="159">
        <v>186</v>
      </c>
      <c r="X55" s="159">
        <v>0</v>
      </c>
      <c r="Y55" s="159">
        <v>1500</v>
      </c>
      <c r="Z55" s="159">
        <v>5101</v>
      </c>
      <c r="AA55" s="159">
        <v>23601</v>
      </c>
      <c r="AB55" s="159">
        <v>8374</v>
      </c>
      <c r="AC55" s="159">
        <v>0</v>
      </c>
      <c r="AD55" s="207">
        <v>64935</v>
      </c>
      <c r="AE55" s="200">
        <v>40.863533305883635</v>
      </c>
      <c r="AF55" s="200">
        <v>24.927420068026798</v>
      </c>
      <c r="AG55" s="200">
        <v>18.625745987531893</v>
      </c>
      <c r="AH55" s="200">
        <v>0</v>
      </c>
      <c r="AI55" s="200">
        <v>0</v>
      </c>
      <c r="AJ55" s="200">
        <v>0</v>
      </c>
      <c r="AL55" s="197">
        <f t="shared" si="0"/>
        <v>74439.257808224735</v>
      </c>
      <c r="AM55" s="197" t="str">
        <f t="shared" si="1"/>
        <v>Box Medium 4</v>
      </c>
      <c r="AN55" s="3">
        <f t="shared" si="2"/>
        <v>11.653931294021637</v>
      </c>
      <c r="AO55" s="3">
        <f t="shared" si="3"/>
        <v>4.4983503671094844</v>
      </c>
      <c r="AP55" s="3">
        <f t="shared" si="4"/>
        <v>0</v>
      </c>
      <c r="AQ55" s="3">
        <f t="shared" si="5"/>
        <v>0</v>
      </c>
      <c r="AR55" s="3">
        <f t="shared" si="6"/>
        <v>4.4983503671094844</v>
      </c>
      <c r="AS55" s="81">
        <f t="shared" si="7"/>
        <v>1</v>
      </c>
      <c r="AT55" s="81">
        <f t="shared" si="8"/>
        <v>0</v>
      </c>
    </row>
    <row r="56" spans="1:46" x14ac:dyDescent="0.25">
      <c r="A56" t="s">
        <v>828</v>
      </c>
      <c r="B56">
        <v>2023</v>
      </c>
      <c r="C56" t="s">
        <v>680</v>
      </c>
      <c r="D56" t="s">
        <v>806</v>
      </c>
      <c r="E56" t="s">
        <v>1028</v>
      </c>
      <c r="F56">
        <v>3</v>
      </c>
      <c r="G56" t="s">
        <v>1791</v>
      </c>
      <c r="H56" s="460">
        <v>3065.0831847820464</v>
      </c>
      <c r="I56">
        <v>1200</v>
      </c>
      <c r="J56">
        <v>150.00000001001371</v>
      </c>
      <c r="K56" s="67">
        <v>22.714874999999999</v>
      </c>
      <c r="L56" s="159">
        <v>0</v>
      </c>
      <c r="M56" s="159">
        <v>0</v>
      </c>
      <c r="N56" s="159">
        <v>0</v>
      </c>
      <c r="O56" s="159">
        <v>0</v>
      </c>
      <c r="P56" s="159">
        <v>0</v>
      </c>
      <c r="Q56" s="159">
        <v>1500</v>
      </c>
      <c r="R56" s="159">
        <v>2000</v>
      </c>
      <c r="S56" s="159">
        <v>16000</v>
      </c>
      <c r="T56" s="159">
        <v>0</v>
      </c>
      <c r="U56" s="159">
        <v>7950</v>
      </c>
      <c r="V56" s="159">
        <v>4500</v>
      </c>
      <c r="W56" s="159">
        <v>186</v>
      </c>
      <c r="X56" s="159">
        <v>0</v>
      </c>
      <c r="Y56" s="159">
        <v>1500</v>
      </c>
      <c r="Z56" s="159">
        <v>6398</v>
      </c>
      <c r="AA56" s="159">
        <v>14185</v>
      </c>
      <c r="AB56" s="159">
        <v>7083</v>
      </c>
      <c r="AC56" s="159">
        <v>0</v>
      </c>
      <c r="AD56" s="207">
        <v>61302</v>
      </c>
      <c r="AE56" s="200">
        <v>40.482455122022131</v>
      </c>
      <c r="AF56" s="200">
        <v>23.018002276072998</v>
      </c>
      <c r="AG56" s="200">
        <v>17.519620583686628</v>
      </c>
      <c r="AH56" s="200">
        <v>0</v>
      </c>
      <c r="AI56" s="200">
        <v>0</v>
      </c>
      <c r="AJ56" s="200">
        <v>0</v>
      </c>
      <c r="AL56" s="197">
        <f t="shared" si="0"/>
        <v>70274.511159771966</v>
      </c>
      <c r="AM56" s="197" t="str">
        <f t="shared" si="1"/>
        <v>Box Medium 4</v>
      </c>
      <c r="AN56" s="3">
        <f t="shared" si="2"/>
        <v>12.37562403819369</v>
      </c>
      <c r="AO56" s="3">
        <f t="shared" si="3"/>
        <v>4.7769196102928548</v>
      </c>
      <c r="AP56" s="3">
        <f t="shared" si="4"/>
        <v>0</v>
      </c>
      <c r="AQ56" s="3">
        <f t="shared" si="5"/>
        <v>0</v>
      </c>
      <c r="AR56" s="3">
        <f t="shared" si="6"/>
        <v>4.7769196102928548</v>
      </c>
      <c r="AS56" s="81">
        <f t="shared" si="7"/>
        <v>1</v>
      </c>
      <c r="AT56" s="81">
        <f t="shared" si="8"/>
        <v>0</v>
      </c>
    </row>
    <row r="57" spans="1:46" x14ac:dyDescent="0.25">
      <c r="A57" t="s">
        <v>805</v>
      </c>
      <c r="B57">
        <v>2025</v>
      </c>
      <c r="C57" t="s">
        <v>680</v>
      </c>
      <c r="D57" t="s">
        <v>806</v>
      </c>
      <c r="E57" t="s">
        <v>1028</v>
      </c>
      <c r="F57">
        <v>3</v>
      </c>
      <c r="G57" t="s">
        <v>1792</v>
      </c>
      <c r="H57" s="460">
        <v>2959.7819680715238</v>
      </c>
      <c r="I57">
        <v>1200</v>
      </c>
      <c r="J57">
        <v>0</v>
      </c>
      <c r="K57" s="67">
        <v>0</v>
      </c>
      <c r="L57" s="159">
        <v>150</v>
      </c>
      <c r="M57" s="159">
        <v>14096</v>
      </c>
      <c r="N57" s="159">
        <v>1920</v>
      </c>
      <c r="O57" s="159">
        <v>506</v>
      </c>
      <c r="P57" s="159">
        <v>4007</v>
      </c>
      <c r="Q57" s="159">
        <v>1500</v>
      </c>
      <c r="R57" s="159">
        <v>2000</v>
      </c>
      <c r="S57" s="159">
        <v>16103</v>
      </c>
      <c r="T57" s="159">
        <v>92</v>
      </c>
      <c r="U57" s="159">
        <v>120</v>
      </c>
      <c r="V57" s="159">
        <v>0</v>
      </c>
      <c r="W57" s="159">
        <v>186</v>
      </c>
      <c r="X57" s="159">
        <v>0</v>
      </c>
      <c r="Y57" s="159">
        <v>0</v>
      </c>
      <c r="Z57" s="159">
        <v>0</v>
      </c>
      <c r="AA57" s="159">
        <v>0</v>
      </c>
      <c r="AB57" s="159">
        <v>0</v>
      </c>
      <c r="AC57" s="159">
        <v>0</v>
      </c>
      <c r="AD57" s="207">
        <v>40680</v>
      </c>
      <c r="AE57" s="200">
        <v>16.262543936394245</v>
      </c>
      <c r="AF57" s="200">
        <v>19.273796261713041</v>
      </c>
      <c r="AG57" s="200">
        <v>16.320610725518701</v>
      </c>
      <c r="AH57" s="200">
        <v>0</v>
      </c>
      <c r="AI57" s="200">
        <v>0</v>
      </c>
      <c r="AJ57" s="200">
        <v>0</v>
      </c>
      <c r="AL57" s="197">
        <f t="shared" si="0"/>
        <v>46634.157351791517</v>
      </c>
      <c r="AM57" s="197" t="str">
        <f t="shared" si="1"/>
        <v>Box Medium 4</v>
      </c>
      <c r="AN57" s="3">
        <f t="shared" si="2"/>
        <v>14.218553423704744</v>
      </c>
      <c r="AO57" s="3">
        <f t="shared" si="3"/>
        <v>5.4882797400821284</v>
      </c>
      <c r="AP57" s="3">
        <f t="shared" si="4"/>
        <v>0</v>
      </c>
      <c r="AQ57" s="3">
        <f t="shared" si="5"/>
        <v>0</v>
      </c>
      <c r="AR57" s="3">
        <f t="shared" si="6"/>
        <v>5.4882797400821284</v>
      </c>
      <c r="AS57" s="81">
        <f t="shared" si="7"/>
        <v>1</v>
      </c>
      <c r="AT57" s="81">
        <f t="shared" si="8"/>
        <v>0</v>
      </c>
    </row>
    <row r="58" spans="1:46" x14ac:dyDescent="0.25">
      <c r="A58" t="s">
        <v>805</v>
      </c>
      <c r="B58">
        <v>2025</v>
      </c>
      <c r="C58" t="s">
        <v>680</v>
      </c>
      <c r="D58" t="s">
        <v>806</v>
      </c>
      <c r="E58" t="s">
        <v>1028</v>
      </c>
      <c r="F58">
        <v>3</v>
      </c>
      <c r="G58" t="s">
        <v>1793</v>
      </c>
      <c r="H58" s="460">
        <v>2834.5232802463702</v>
      </c>
      <c r="I58">
        <v>1200</v>
      </c>
      <c r="J58">
        <v>0</v>
      </c>
      <c r="K58" s="67">
        <v>0</v>
      </c>
      <c r="L58" s="159">
        <v>150</v>
      </c>
      <c r="M58" s="159">
        <v>22146</v>
      </c>
      <c r="N58" s="159">
        <v>1920</v>
      </c>
      <c r="O58" s="159">
        <v>506</v>
      </c>
      <c r="P58" s="159">
        <v>3390</v>
      </c>
      <c r="Q58" s="159">
        <v>1500</v>
      </c>
      <c r="R58" s="159">
        <v>2000</v>
      </c>
      <c r="S58" s="159">
        <v>16103</v>
      </c>
      <c r="T58" s="159">
        <v>92</v>
      </c>
      <c r="U58" s="159">
        <v>120</v>
      </c>
      <c r="V58" s="159">
        <v>0</v>
      </c>
      <c r="W58" s="159">
        <v>186</v>
      </c>
      <c r="X58" s="159">
        <v>0</v>
      </c>
      <c r="Y58" s="159">
        <v>0</v>
      </c>
      <c r="Z58" s="159">
        <v>0</v>
      </c>
      <c r="AA58" s="159">
        <v>0</v>
      </c>
      <c r="AB58" s="159">
        <v>0</v>
      </c>
      <c r="AC58" s="159">
        <v>0</v>
      </c>
      <c r="AD58" s="207">
        <v>48113</v>
      </c>
      <c r="AE58" s="200">
        <v>10.460630266731748</v>
      </c>
      <c r="AF58" s="200">
        <v>13.18539053250449</v>
      </c>
      <c r="AG58" s="200">
        <v>13.133938984228669</v>
      </c>
      <c r="AH58" s="200">
        <v>0</v>
      </c>
      <c r="AI58" s="200">
        <v>0</v>
      </c>
      <c r="AJ58" s="200">
        <v>0</v>
      </c>
      <c r="AL58" s="197">
        <f t="shared" si="0"/>
        <v>55155.093723371319</v>
      </c>
      <c r="AM58" s="197" t="str">
        <f t="shared" si="1"/>
        <v>Box Medium 4</v>
      </c>
      <c r="AN58" s="3">
        <f t="shared" si="2"/>
        <v>18.360344785572607</v>
      </c>
      <c r="AO58" s="3">
        <f t="shared" si="3"/>
        <v>7.0869873541133561</v>
      </c>
      <c r="AP58" s="3">
        <f t="shared" si="4"/>
        <v>0</v>
      </c>
      <c r="AQ58" s="3">
        <f t="shared" si="5"/>
        <v>0</v>
      </c>
      <c r="AR58" s="3">
        <f t="shared" si="6"/>
        <v>7.0869873541133561</v>
      </c>
      <c r="AS58" s="81">
        <f t="shared" si="7"/>
        <v>1</v>
      </c>
      <c r="AT58" s="81">
        <f t="shared" si="8"/>
        <v>0</v>
      </c>
    </row>
    <row r="59" spans="1:46" x14ac:dyDescent="0.25">
      <c r="A59" t="s">
        <v>807</v>
      </c>
      <c r="B59">
        <v>2025</v>
      </c>
      <c r="C59" t="s">
        <v>680</v>
      </c>
      <c r="D59" t="s">
        <v>806</v>
      </c>
      <c r="E59" t="s">
        <v>1028</v>
      </c>
      <c r="F59">
        <v>3</v>
      </c>
      <c r="G59" t="s">
        <v>1794</v>
      </c>
      <c r="H59" s="460">
        <v>2949.5917763816979</v>
      </c>
      <c r="I59">
        <v>1200</v>
      </c>
      <c r="J59">
        <v>0</v>
      </c>
      <c r="K59" s="67">
        <v>2.6928000000000001</v>
      </c>
      <c r="L59" s="159">
        <v>150</v>
      </c>
      <c r="M59" s="159">
        <v>12732</v>
      </c>
      <c r="N59" s="159">
        <v>220</v>
      </c>
      <c r="O59" s="159">
        <v>392</v>
      </c>
      <c r="P59" s="159">
        <v>3392</v>
      </c>
      <c r="Q59" s="159">
        <v>1500</v>
      </c>
      <c r="R59" s="159">
        <v>2000</v>
      </c>
      <c r="S59" s="159">
        <v>16103</v>
      </c>
      <c r="T59" s="159">
        <v>0</v>
      </c>
      <c r="U59" s="159">
        <v>1272</v>
      </c>
      <c r="V59" s="159">
        <v>4500</v>
      </c>
      <c r="W59" s="159">
        <v>186</v>
      </c>
      <c r="X59" s="159">
        <v>120</v>
      </c>
      <c r="Y59" s="159">
        <v>1500</v>
      </c>
      <c r="Z59" s="159">
        <v>2037</v>
      </c>
      <c r="AA59" s="159">
        <v>0</v>
      </c>
      <c r="AB59" s="159">
        <v>0</v>
      </c>
      <c r="AC59" s="159">
        <v>0</v>
      </c>
      <c r="AD59" s="207">
        <v>46104</v>
      </c>
      <c r="AE59" s="200">
        <v>24.414446879985828</v>
      </c>
      <c r="AF59" s="200">
        <v>20.355509687162389</v>
      </c>
      <c r="AG59" s="200">
        <v>16.709639229993371</v>
      </c>
      <c r="AH59" s="200">
        <v>0</v>
      </c>
      <c r="AI59" s="200">
        <v>0</v>
      </c>
      <c r="AJ59" s="200">
        <v>0</v>
      </c>
      <c r="AL59" s="197">
        <f t="shared" si="0"/>
        <v>52852.044998697056</v>
      </c>
      <c r="AM59" s="197" t="str">
        <f t="shared" si="1"/>
        <v>Box Medium 4</v>
      </c>
      <c r="AN59" s="3">
        <f t="shared" si="2"/>
        <v>13.40546407547318</v>
      </c>
      <c r="AO59" s="3">
        <f t="shared" si="3"/>
        <v>5.1744319340643798</v>
      </c>
      <c r="AP59" s="3">
        <f t="shared" si="4"/>
        <v>0</v>
      </c>
      <c r="AQ59" s="3">
        <f t="shared" si="5"/>
        <v>0</v>
      </c>
      <c r="AR59" s="3">
        <f t="shared" si="6"/>
        <v>5.1744319340643798</v>
      </c>
      <c r="AS59" s="81">
        <f t="shared" si="7"/>
        <v>1</v>
      </c>
      <c r="AT59" s="81">
        <f t="shared" si="8"/>
        <v>0</v>
      </c>
    </row>
    <row r="60" spans="1:46" x14ac:dyDescent="0.25">
      <c r="A60" t="s">
        <v>807</v>
      </c>
      <c r="B60">
        <v>2025</v>
      </c>
      <c r="C60" t="s">
        <v>680</v>
      </c>
      <c r="D60" t="s">
        <v>806</v>
      </c>
      <c r="E60" t="s">
        <v>1028</v>
      </c>
      <c r="F60">
        <v>3</v>
      </c>
      <c r="G60" t="s">
        <v>1795</v>
      </c>
      <c r="H60" s="460">
        <v>2809.8609419623153</v>
      </c>
      <c r="I60">
        <v>1200</v>
      </c>
      <c r="J60">
        <v>0</v>
      </c>
      <c r="K60" s="67">
        <v>2.5977600000000001</v>
      </c>
      <c r="L60" s="159">
        <v>150</v>
      </c>
      <c r="M60" s="159">
        <v>10573</v>
      </c>
      <c r="N60" s="159">
        <v>220</v>
      </c>
      <c r="O60" s="159">
        <v>392</v>
      </c>
      <c r="P60" s="159">
        <v>2315</v>
      </c>
      <c r="Q60" s="159">
        <v>1500</v>
      </c>
      <c r="R60" s="159">
        <v>2000</v>
      </c>
      <c r="S60" s="159">
        <v>16103</v>
      </c>
      <c r="T60" s="159">
        <v>0</v>
      </c>
      <c r="U60" s="159">
        <v>1227</v>
      </c>
      <c r="V60" s="159">
        <v>4500</v>
      </c>
      <c r="W60" s="159">
        <v>186</v>
      </c>
      <c r="X60" s="159">
        <v>120</v>
      </c>
      <c r="Y60" s="159">
        <v>1500</v>
      </c>
      <c r="Z60" s="159">
        <v>1921</v>
      </c>
      <c r="AA60" s="159">
        <v>0</v>
      </c>
      <c r="AB60" s="159">
        <v>0</v>
      </c>
      <c r="AC60" s="159">
        <v>0</v>
      </c>
      <c r="AD60" s="207">
        <v>42707</v>
      </c>
      <c r="AE60" s="200">
        <v>20.201771957699052</v>
      </c>
      <c r="AF60" s="200">
        <v>16.132777514640456</v>
      </c>
      <c r="AG60" s="200">
        <v>13.778550334119895</v>
      </c>
      <c r="AH60" s="200">
        <v>0</v>
      </c>
      <c r="AI60" s="200">
        <v>0</v>
      </c>
      <c r="AJ60" s="200">
        <v>0</v>
      </c>
      <c r="AL60" s="197">
        <f t="shared" si="0"/>
        <v>48957.840659364803</v>
      </c>
      <c r="AM60" s="197" t="str">
        <f t="shared" si="1"/>
        <v>Box Medium 4</v>
      </c>
      <c r="AN60" s="3">
        <f t="shared" si="2"/>
        <v>16.304122199601974</v>
      </c>
      <c r="AO60" s="3">
        <f t="shared" si="3"/>
        <v>6.2932972772545046</v>
      </c>
      <c r="AP60" s="3">
        <f t="shared" si="4"/>
        <v>0</v>
      </c>
      <c r="AQ60" s="3">
        <f t="shared" si="5"/>
        <v>0</v>
      </c>
      <c r="AR60" s="3">
        <f t="shared" si="6"/>
        <v>6.2932972772545046</v>
      </c>
      <c r="AS60" s="81">
        <f t="shared" si="7"/>
        <v>1</v>
      </c>
      <c r="AT60" s="81">
        <f t="shared" si="8"/>
        <v>0</v>
      </c>
    </row>
    <row r="61" spans="1:46" x14ac:dyDescent="0.25">
      <c r="A61" t="s">
        <v>808</v>
      </c>
      <c r="B61">
        <v>2025</v>
      </c>
      <c r="C61" t="s">
        <v>680</v>
      </c>
      <c r="D61" t="s">
        <v>806</v>
      </c>
      <c r="E61" t="s">
        <v>1028</v>
      </c>
      <c r="F61">
        <v>3</v>
      </c>
      <c r="G61" t="s">
        <v>1796</v>
      </c>
      <c r="H61" s="460">
        <v>3741.672833617893</v>
      </c>
      <c r="I61">
        <v>1200</v>
      </c>
      <c r="J61">
        <v>119.99999997072871</v>
      </c>
      <c r="K61" s="67">
        <v>116.05687500000001</v>
      </c>
      <c r="L61" s="159">
        <v>0</v>
      </c>
      <c r="M61" s="159">
        <v>11267</v>
      </c>
      <c r="N61" s="159">
        <v>220</v>
      </c>
      <c r="O61" s="159">
        <v>0</v>
      </c>
      <c r="P61" s="159">
        <v>0</v>
      </c>
      <c r="Q61" s="159">
        <v>1500</v>
      </c>
      <c r="R61" s="159">
        <v>2000</v>
      </c>
      <c r="S61" s="159">
        <v>16103</v>
      </c>
      <c r="T61" s="159">
        <v>3351</v>
      </c>
      <c r="U61" s="159">
        <v>32496</v>
      </c>
      <c r="V61" s="159">
        <v>4500</v>
      </c>
      <c r="W61" s="159">
        <v>186</v>
      </c>
      <c r="X61" s="159">
        <v>0</v>
      </c>
      <c r="Y61" s="159">
        <v>1500</v>
      </c>
      <c r="Z61" s="159">
        <v>4854</v>
      </c>
      <c r="AA61" s="159">
        <v>0</v>
      </c>
      <c r="AB61" s="159">
        <v>0</v>
      </c>
      <c r="AC61" s="159">
        <v>0</v>
      </c>
      <c r="AD61" s="207">
        <v>77977</v>
      </c>
      <c r="AE61" s="200">
        <v>66.641728198577511</v>
      </c>
      <c r="AF61" s="200">
        <v>31.258613793230037</v>
      </c>
      <c r="AG61" s="200">
        <v>20.24344679192815</v>
      </c>
      <c r="AH61" s="200">
        <v>514</v>
      </c>
      <c r="AI61" s="200">
        <v>869</v>
      </c>
      <c r="AJ61" s="200">
        <v>1111</v>
      </c>
      <c r="AL61" s="197">
        <f t="shared" si="0"/>
        <v>89390.159484283358</v>
      </c>
      <c r="AM61" s="197" t="str">
        <f t="shared" si="1"/>
        <v>Box Medium 4</v>
      </c>
      <c r="AN61" s="3">
        <f t="shared" si="2"/>
        <v>5.2209190520345485</v>
      </c>
      <c r="AO61" s="3">
        <f t="shared" si="3"/>
        <v>2.0152446879806454</v>
      </c>
      <c r="AP61" s="3">
        <f t="shared" si="4"/>
        <v>31.985782991785456</v>
      </c>
      <c r="AQ61" s="3">
        <f t="shared" si="5"/>
        <v>1.1514881877042764</v>
      </c>
      <c r="AR61" s="3">
        <f t="shared" si="6"/>
        <v>3.1667328756849216</v>
      </c>
      <c r="AS61" s="81">
        <f t="shared" si="7"/>
        <v>0.63637975386375945</v>
      </c>
      <c r="AT61" s="81">
        <f t="shared" si="8"/>
        <v>0.36362024613624067</v>
      </c>
    </row>
    <row r="62" spans="1:46" x14ac:dyDescent="0.25">
      <c r="A62" t="s">
        <v>808</v>
      </c>
      <c r="B62">
        <v>2025</v>
      </c>
      <c r="C62" t="s">
        <v>680</v>
      </c>
      <c r="D62" t="s">
        <v>806</v>
      </c>
      <c r="E62" t="s">
        <v>1028</v>
      </c>
      <c r="F62">
        <v>3</v>
      </c>
      <c r="G62" t="s">
        <v>1797</v>
      </c>
      <c r="H62" s="460">
        <v>3571.4129959093771</v>
      </c>
      <c r="I62">
        <v>1200</v>
      </c>
      <c r="J62">
        <v>119.99999997072871</v>
      </c>
      <c r="K62" s="67">
        <v>106.7475</v>
      </c>
      <c r="L62" s="159">
        <v>0</v>
      </c>
      <c r="M62" s="159">
        <v>7734</v>
      </c>
      <c r="N62" s="159">
        <v>220</v>
      </c>
      <c r="O62" s="159">
        <v>0</v>
      </c>
      <c r="P62" s="159">
        <v>2566</v>
      </c>
      <c r="Q62" s="159">
        <v>1500</v>
      </c>
      <c r="R62" s="159">
        <v>2000</v>
      </c>
      <c r="S62" s="159">
        <v>16103</v>
      </c>
      <c r="T62" s="159">
        <v>2901</v>
      </c>
      <c r="U62" s="159">
        <v>29889</v>
      </c>
      <c r="V62" s="159">
        <v>4500</v>
      </c>
      <c r="W62" s="159">
        <v>186</v>
      </c>
      <c r="X62" s="159">
        <v>0</v>
      </c>
      <c r="Y62" s="159">
        <v>1500</v>
      </c>
      <c r="Z62" s="159">
        <v>3681</v>
      </c>
      <c r="AA62" s="159">
        <v>0</v>
      </c>
      <c r="AB62" s="159">
        <v>0</v>
      </c>
      <c r="AC62" s="159">
        <v>0</v>
      </c>
      <c r="AD62" s="207">
        <v>72780</v>
      </c>
      <c r="AE62" s="200">
        <v>20.294384817168332</v>
      </c>
      <c r="AF62" s="200">
        <v>14.216805039562825</v>
      </c>
      <c r="AG62" s="200">
        <v>10.57955167780068</v>
      </c>
      <c r="AH62" s="200">
        <v>522</v>
      </c>
      <c r="AI62" s="200">
        <v>764</v>
      </c>
      <c r="AJ62" s="200">
        <v>998</v>
      </c>
      <c r="AL62" s="197">
        <f t="shared" si="0"/>
        <v>83432.496855048841</v>
      </c>
      <c r="AM62" s="197" t="str">
        <f t="shared" si="1"/>
        <v>Box Medium 4</v>
      </c>
      <c r="AN62" s="3">
        <f t="shared" si="2"/>
        <v>10.328389767261156</v>
      </c>
      <c r="AO62" s="3">
        <f t="shared" si="3"/>
        <v>3.986698971277014</v>
      </c>
      <c r="AP62" s="3">
        <f t="shared" si="4"/>
        <v>28.87332695390657</v>
      </c>
      <c r="AQ62" s="3">
        <f t="shared" si="5"/>
        <v>1.0394397703406364</v>
      </c>
      <c r="AR62" s="3">
        <f t="shared" si="6"/>
        <v>5.0261387416176504</v>
      </c>
      <c r="AS62" s="81">
        <f t="shared" si="7"/>
        <v>0.7931931799387425</v>
      </c>
      <c r="AT62" s="81">
        <f t="shared" si="8"/>
        <v>0.20680682006125745</v>
      </c>
    </row>
    <row r="63" spans="1:46" x14ac:dyDescent="0.25">
      <c r="A63" t="s">
        <v>230</v>
      </c>
      <c r="B63">
        <v>2025</v>
      </c>
      <c r="C63" t="s">
        <v>680</v>
      </c>
      <c r="D63" t="s">
        <v>806</v>
      </c>
      <c r="E63" t="s">
        <v>1028</v>
      </c>
      <c r="F63">
        <v>3</v>
      </c>
      <c r="G63" t="s">
        <v>1798</v>
      </c>
      <c r="H63" s="460">
        <v>3430.8503912725391</v>
      </c>
      <c r="I63">
        <v>1200</v>
      </c>
      <c r="J63">
        <v>150.00000001001371</v>
      </c>
      <c r="K63" s="67">
        <v>147.4605</v>
      </c>
      <c r="L63" s="159">
        <v>0</v>
      </c>
      <c r="M63" s="159">
        <v>0</v>
      </c>
      <c r="N63" s="159">
        <v>0</v>
      </c>
      <c r="O63" s="159">
        <v>0</v>
      </c>
      <c r="P63" s="159">
        <v>0</v>
      </c>
      <c r="Q63" s="159">
        <v>1500</v>
      </c>
      <c r="R63" s="159">
        <v>2000</v>
      </c>
      <c r="S63" s="159">
        <v>16103</v>
      </c>
      <c r="T63" s="159">
        <v>0</v>
      </c>
      <c r="U63" s="159">
        <v>41289</v>
      </c>
      <c r="V63" s="159">
        <v>4500</v>
      </c>
      <c r="W63" s="159">
        <v>186</v>
      </c>
      <c r="X63" s="159">
        <v>0</v>
      </c>
      <c r="Y63" s="159">
        <v>1500</v>
      </c>
      <c r="Z63" s="159">
        <v>4210</v>
      </c>
      <c r="AA63" s="159">
        <v>0</v>
      </c>
      <c r="AB63" s="159">
        <v>0</v>
      </c>
      <c r="AC63" s="159">
        <v>0</v>
      </c>
      <c r="AD63" s="207">
        <v>71288</v>
      </c>
      <c r="AE63" s="200">
        <v>0</v>
      </c>
      <c r="AF63" s="200">
        <v>0</v>
      </c>
      <c r="AG63" s="200">
        <v>0</v>
      </c>
      <c r="AH63" s="200">
        <v>492</v>
      </c>
      <c r="AI63" s="200">
        <v>831</v>
      </c>
      <c r="AJ63" s="200">
        <v>1069</v>
      </c>
      <c r="AL63" s="197">
        <f t="shared" si="0"/>
        <v>81722.119205863171</v>
      </c>
      <c r="AM63" s="197" t="str">
        <f t="shared" si="1"/>
        <v>Box Medium 4</v>
      </c>
      <c r="AN63" s="3">
        <f t="shared" si="2"/>
        <v>0</v>
      </c>
      <c r="AO63" s="3">
        <f t="shared" si="3"/>
        <v>0</v>
      </c>
      <c r="AP63" s="3">
        <f t="shared" si="4"/>
        <v>61.50844445549108</v>
      </c>
      <c r="AQ63" s="3">
        <f t="shared" si="5"/>
        <v>2.2143040003976791</v>
      </c>
      <c r="AR63" s="3">
        <f t="shared" si="6"/>
        <v>2.2143040003976791</v>
      </c>
      <c r="AS63" s="81">
        <f t="shared" si="7"/>
        <v>0</v>
      </c>
      <c r="AT63" s="81">
        <f t="shared" si="8"/>
        <v>1</v>
      </c>
    </row>
    <row r="64" spans="1:46" x14ac:dyDescent="0.25">
      <c r="A64" t="s">
        <v>496</v>
      </c>
      <c r="B64">
        <v>2025</v>
      </c>
      <c r="C64" t="s">
        <v>680</v>
      </c>
      <c r="D64" t="s">
        <v>806</v>
      </c>
      <c r="E64" t="s">
        <v>1028</v>
      </c>
      <c r="F64">
        <v>3</v>
      </c>
      <c r="G64" t="s">
        <v>1799</v>
      </c>
      <c r="H64" s="460">
        <v>2822.0854078812972</v>
      </c>
      <c r="I64">
        <v>1200</v>
      </c>
      <c r="J64">
        <v>150.00000001001371</v>
      </c>
      <c r="K64" s="67">
        <v>3.0888000000000004</v>
      </c>
      <c r="L64" s="159">
        <v>0</v>
      </c>
      <c r="M64" s="159">
        <v>0</v>
      </c>
      <c r="N64" s="159">
        <v>0</v>
      </c>
      <c r="O64" s="159">
        <v>0</v>
      </c>
      <c r="P64" s="159">
        <v>0</v>
      </c>
      <c r="Q64" s="159">
        <v>1500</v>
      </c>
      <c r="R64" s="159">
        <v>2000</v>
      </c>
      <c r="S64" s="159">
        <v>16103</v>
      </c>
      <c r="T64" s="159">
        <v>0</v>
      </c>
      <c r="U64" s="159">
        <v>1459</v>
      </c>
      <c r="V64" s="159">
        <v>4500</v>
      </c>
      <c r="W64" s="159">
        <v>186</v>
      </c>
      <c r="X64" s="159">
        <v>0</v>
      </c>
      <c r="Y64" s="159">
        <v>1500</v>
      </c>
      <c r="Z64" s="159">
        <v>4212</v>
      </c>
      <c r="AA64" s="159">
        <v>17024</v>
      </c>
      <c r="AB64" s="159">
        <v>6271</v>
      </c>
      <c r="AC64" s="159">
        <v>0</v>
      </c>
      <c r="AD64" s="207">
        <v>54755</v>
      </c>
      <c r="AE64" s="200">
        <v>43.940980362131107</v>
      </c>
      <c r="AF64" s="200">
        <v>27.254359005875202</v>
      </c>
      <c r="AG64" s="200">
        <v>20.44535027090366</v>
      </c>
      <c r="AH64" s="200">
        <v>0</v>
      </c>
      <c r="AI64" s="200">
        <v>0</v>
      </c>
      <c r="AJ64" s="200">
        <v>0</v>
      </c>
      <c r="AL64" s="197">
        <f t="shared" si="0"/>
        <v>62769.254813110732</v>
      </c>
      <c r="AM64" s="197" t="str">
        <f t="shared" si="1"/>
        <v>Box Medium 4</v>
      </c>
      <c r="AN64" s="3">
        <f t="shared" si="2"/>
        <v>10.630738742160013</v>
      </c>
      <c r="AO64" s="3">
        <f t="shared" si="3"/>
        <v>4.1034039344278739</v>
      </c>
      <c r="AP64" s="3">
        <f t="shared" si="4"/>
        <v>0</v>
      </c>
      <c r="AQ64" s="3">
        <f t="shared" si="5"/>
        <v>0</v>
      </c>
      <c r="AR64" s="3">
        <f t="shared" si="6"/>
        <v>4.1034039344278739</v>
      </c>
      <c r="AS64" s="81">
        <f t="shared" si="7"/>
        <v>1</v>
      </c>
      <c r="AT64" s="81">
        <f t="shared" si="8"/>
        <v>0</v>
      </c>
    </row>
    <row r="65" spans="1:46" x14ac:dyDescent="0.25">
      <c r="A65" t="s">
        <v>828</v>
      </c>
      <c r="B65">
        <v>2025</v>
      </c>
      <c r="C65" t="s">
        <v>680</v>
      </c>
      <c r="D65" t="s">
        <v>806</v>
      </c>
      <c r="E65" t="s">
        <v>1028</v>
      </c>
      <c r="F65">
        <v>3</v>
      </c>
      <c r="G65" t="s">
        <v>1800</v>
      </c>
      <c r="H65" s="460">
        <v>2873.1301694982685</v>
      </c>
      <c r="I65">
        <v>1200</v>
      </c>
      <c r="J65">
        <v>150.00000001001371</v>
      </c>
      <c r="K65" s="67">
        <v>23.087250000000001</v>
      </c>
      <c r="L65" s="159">
        <v>0</v>
      </c>
      <c r="M65" s="159">
        <v>0</v>
      </c>
      <c r="N65" s="159">
        <v>0</v>
      </c>
      <c r="O65" s="159">
        <v>0</v>
      </c>
      <c r="P65" s="159">
        <v>0</v>
      </c>
      <c r="Q65" s="159">
        <v>1500</v>
      </c>
      <c r="R65" s="159">
        <v>2000</v>
      </c>
      <c r="S65" s="159">
        <v>16103</v>
      </c>
      <c r="T65" s="159">
        <v>0</v>
      </c>
      <c r="U65" s="159">
        <v>6464</v>
      </c>
      <c r="V65" s="159">
        <v>4500</v>
      </c>
      <c r="W65" s="159">
        <v>186</v>
      </c>
      <c r="X65" s="159">
        <v>0</v>
      </c>
      <c r="Y65" s="159">
        <v>1500</v>
      </c>
      <c r="Z65" s="159">
        <v>5280</v>
      </c>
      <c r="AA65" s="159">
        <v>9567</v>
      </c>
      <c r="AB65" s="159">
        <v>5175</v>
      </c>
      <c r="AC65" s="159">
        <v>0</v>
      </c>
      <c r="AD65" s="207">
        <v>52275</v>
      </c>
      <c r="AE65" s="200">
        <v>43.815778290842061</v>
      </c>
      <c r="AF65" s="200">
        <v>25.022387683651395</v>
      </c>
      <c r="AG65" s="200">
        <v>19.103066802524282</v>
      </c>
      <c r="AH65" s="200">
        <v>0</v>
      </c>
      <c r="AI65" s="200">
        <v>0</v>
      </c>
      <c r="AJ65" s="200">
        <v>0</v>
      </c>
      <c r="AL65" s="197">
        <f t="shared" si="0"/>
        <v>59926.267835912033</v>
      </c>
      <c r="AM65" s="197" t="str">
        <f t="shared" si="1"/>
        <v>Box Medium 4</v>
      </c>
      <c r="AN65" s="3">
        <f t="shared" si="2"/>
        <v>11.356334296261638</v>
      </c>
      <c r="AO65" s="3">
        <f t="shared" si="3"/>
        <v>4.38347963976865</v>
      </c>
      <c r="AP65" s="3">
        <f t="shared" si="4"/>
        <v>0</v>
      </c>
      <c r="AQ65" s="3">
        <f t="shared" si="5"/>
        <v>0</v>
      </c>
      <c r="AR65" s="3">
        <f t="shared" si="6"/>
        <v>4.38347963976865</v>
      </c>
      <c r="AS65" s="81">
        <f t="shared" si="7"/>
        <v>1</v>
      </c>
      <c r="AT65" s="81">
        <f t="shared" si="8"/>
        <v>0</v>
      </c>
    </row>
    <row r="66" spans="1:46" x14ac:dyDescent="0.25">
      <c r="A66" t="s">
        <v>805</v>
      </c>
      <c r="B66">
        <v>2030</v>
      </c>
      <c r="C66" t="s">
        <v>680</v>
      </c>
      <c r="D66" t="s">
        <v>806</v>
      </c>
      <c r="E66" t="s">
        <v>1028</v>
      </c>
      <c r="F66">
        <v>3</v>
      </c>
      <c r="G66" t="s">
        <v>1801</v>
      </c>
      <c r="H66" s="460">
        <v>2935.3120029213514</v>
      </c>
      <c r="I66">
        <v>1200</v>
      </c>
      <c r="J66">
        <v>0</v>
      </c>
      <c r="K66" s="67">
        <v>0</v>
      </c>
      <c r="L66" s="159">
        <v>150</v>
      </c>
      <c r="M66" s="159">
        <v>14320</v>
      </c>
      <c r="N66" s="159">
        <v>1920</v>
      </c>
      <c r="O66" s="159">
        <v>506</v>
      </c>
      <c r="P66" s="159">
        <v>3996</v>
      </c>
      <c r="Q66" s="159">
        <v>1500</v>
      </c>
      <c r="R66" s="159">
        <v>2000</v>
      </c>
      <c r="S66" s="159">
        <v>16219</v>
      </c>
      <c r="T66" s="159">
        <v>73</v>
      </c>
      <c r="U66" s="159">
        <v>120</v>
      </c>
      <c r="V66" s="159">
        <v>0</v>
      </c>
      <c r="W66" s="159">
        <v>186</v>
      </c>
      <c r="X66" s="159">
        <v>0</v>
      </c>
      <c r="Y66" s="159">
        <v>0</v>
      </c>
      <c r="Z66" s="159">
        <v>0</v>
      </c>
      <c r="AA66" s="159">
        <v>0</v>
      </c>
      <c r="AB66" s="159">
        <v>0</v>
      </c>
      <c r="AC66" s="159">
        <v>0</v>
      </c>
      <c r="AD66" s="207">
        <v>40990</v>
      </c>
      <c r="AE66" s="200">
        <v>17.454970025216046</v>
      </c>
      <c r="AF66" s="200">
        <v>21.304170930478186</v>
      </c>
      <c r="AG66" s="200">
        <v>18.274429013214778</v>
      </c>
      <c r="AH66" s="200">
        <v>0</v>
      </c>
      <c r="AI66" s="200">
        <v>0</v>
      </c>
      <c r="AJ66" s="200">
        <v>0</v>
      </c>
      <c r="AL66" s="197">
        <f t="shared" si="0"/>
        <v>46989.530723941352</v>
      </c>
      <c r="AM66" s="197" t="str">
        <f t="shared" si="1"/>
        <v>Box Medium 4</v>
      </c>
      <c r="AN66" s="3">
        <f t="shared" si="2"/>
        <v>12.766955077016812</v>
      </c>
      <c r="AO66" s="3">
        <f t="shared" si="3"/>
        <v>4.9279711376906841</v>
      </c>
      <c r="AP66" s="3">
        <f t="shared" si="4"/>
        <v>0</v>
      </c>
      <c r="AQ66" s="3">
        <f t="shared" si="5"/>
        <v>0</v>
      </c>
      <c r="AR66" s="3">
        <f t="shared" si="6"/>
        <v>4.9279711376906841</v>
      </c>
      <c r="AS66" s="81">
        <f t="shared" si="7"/>
        <v>1</v>
      </c>
      <c r="AT66" s="81">
        <f t="shared" si="8"/>
        <v>0</v>
      </c>
    </row>
    <row r="67" spans="1:46" x14ac:dyDescent="0.25">
      <c r="A67" t="s">
        <v>805</v>
      </c>
      <c r="B67">
        <v>2030</v>
      </c>
      <c r="C67" t="s">
        <v>680</v>
      </c>
      <c r="D67" t="s">
        <v>806</v>
      </c>
      <c r="E67" t="s">
        <v>1028</v>
      </c>
      <c r="F67">
        <v>3</v>
      </c>
      <c r="G67" t="s">
        <v>1802</v>
      </c>
      <c r="H67" s="460">
        <v>2811.4279522197794</v>
      </c>
      <c r="I67">
        <v>1200</v>
      </c>
      <c r="J67">
        <v>0</v>
      </c>
      <c r="K67" s="67">
        <v>0</v>
      </c>
      <c r="L67" s="159">
        <v>150</v>
      </c>
      <c r="M67" s="159">
        <v>22541</v>
      </c>
      <c r="N67" s="159">
        <v>1920</v>
      </c>
      <c r="O67" s="159">
        <v>506</v>
      </c>
      <c r="P67" s="159">
        <v>3391</v>
      </c>
      <c r="Q67" s="159">
        <v>1500</v>
      </c>
      <c r="R67" s="159">
        <v>2000</v>
      </c>
      <c r="S67" s="159">
        <v>16219</v>
      </c>
      <c r="T67" s="159">
        <v>73</v>
      </c>
      <c r="U67" s="159">
        <v>120</v>
      </c>
      <c r="V67" s="159">
        <v>0</v>
      </c>
      <c r="W67" s="159">
        <v>186</v>
      </c>
      <c r="X67" s="159">
        <v>0</v>
      </c>
      <c r="Y67" s="159">
        <v>0</v>
      </c>
      <c r="Z67" s="159">
        <v>0</v>
      </c>
      <c r="AA67" s="159">
        <v>0</v>
      </c>
      <c r="AB67" s="159">
        <v>0</v>
      </c>
      <c r="AC67" s="159">
        <v>0</v>
      </c>
      <c r="AD67" s="207">
        <v>48606</v>
      </c>
      <c r="AE67" s="200">
        <v>11.158073728440719</v>
      </c>
      <c r="AF67" s="200">
        <v>14.478058093037445</v>
      </c>
      <c r="AG67" s="200">
        <v>14.676193051124622</v>
      </c>
      <c r="AH67" s="200">
        <v>0</v>
      </c>
      <c r="AI67" s="200">
        <v>0</v>
      </c>
      <c r="AJ67" s="200">
        <v>0</v>
      </c>
      <c r="AL67" s="197">
        <f t="shared" ref="AL67:AL130" si="9">AD67*USD2023_to_CAD2020</f>
        <v>55720.252021661225</v>
      </c>
      <c r="AM67" s="197" t="str">
        <f t="shared" ref="AM67:AM130" si="10">IF(AND(F67&lt;5, D67="School"), $BF$2, IF(F67&lt;5, $BA$2,
IF(AND(F67&lt;=7, D67="School"), $BE$2, IF(F67&lt;7, $AZ$2,
IF(AND(F67&lt;8, E67="DayCab"), $BC$2, IF(F67&lt;8, $AZ$2,
IF(VLOOKUP(D67, $BH$3:$BI$10, 2, FALSE)="Longhaul", $AY$2,
IF(VLOOKUP(D67, $BH$3:$BI$10, 2, FALSE)="Drayage", $BB$2,
IF(VLOOKUP(D67, $BH$3:$BI$10, 2, FALSE)="Regional", $BC$2,
IF(VLOOKUP(D67, $BH$3:$BI$10, 2, FALSE)="Transit", $BE$2,
IF(VLOOKUP(D67, $BH$3:$BI$10, 2, FALSE)="Vocational", $BD$2, NA())))))))))))</f>
        <v>Box Medium 4</v>
      </c>
      <c r="AN67" s="3">
        <f t="shared" ref="AN67:AN130" si="11">(IFERROR(L_100km_to_mpg/AE67 * HLOOKUP($AM67, $AY$2:$BF$6, 2, FALSE) +
L_100km_to_mpg/AF67 * HLOOKUP($AM67, $AY$2:$BF$6, 3, FALSE) +
L_100km_to_mpg/AG67 * HLOOKUP($AM67, $AY$2:$BF$6, 4, FALSE), 0)) *
IF(ISERROR(SEARCH("PHEV",$A67)), 1, 1-HLOOKUP($AM67, $AY$2:$BF$6, 5, FALSE))</f>
        <v>16.552052214863188</v>
      </c>
      <c r="AO67" s="3">
        <f t="shared" ref="AO67:AO130" si="12">AN67*DSL_PJ_ML*10</f>
        <v>6.3889968353718469</v>
      </c>
      <c r="AP67" s="3">
        <f t="shared" ref="AP67:AP130" si="13">(AH67/km_mile/10 * HLOOKUP($AM67, $AY$2:$BF$6, 2, FALSE) +
AI67/km_mile/10 * HLOOKUP($AM67, $AY$2:$BF$6, 3, FALSE) +
AJ67/km_mile/10 * HLOOKUP($AM67, $AY$2:$BF$6, 4, FALSE)) *
IF(ISERROR(SEARCH("PHEV",$A67)), 1, HLOOKUP($AM67, $AY$2:$BF$6, 5, FALSE))</f>
        <v>0</v>
      </c>
      <c r="AQ67" s="3">
        <f t="shared" si="5"/>
        <v>0</v>
      </c>
      <c r="AR67" s="3">
        <f t="shared" si="6"/>
        <v>6.3889968353718469</v>
      </c>
      <c r="AS67" s="81">
        <f t="shared" si="7"/>
        <v>1</v>
      </c>
      <c r="AT67" s="81">
        <f t="shared" si="8"/>
        <v>0</v>
      </c>
    </row>
    <row r="68" spans="1:46" x14ac:dyDescent="0.25">
      <c r="A68" t="s">
        <v>807</v>
      </c>
      <c r="B68">
        <v>2030</v>
      </c>
      <c r="C68" t="s">
        <v>680</v>
      </c>
      <c r="D68" t="s">
        <v>806</v>
      </c>
      <c r="E68" t="s">
        <v>1028</v>
      </c>
      <c r="F68">
        <v>3</v>
      </c>
      <c r="G68" t="s">
        <v>1803</v>
      </c>
      <c r="H68" s="460">
        <v>2919.4796378022602</v>
      </c>
      <c r="I68">
        <v>1200</v>
      </c>
      <c r="J68">
        <v>0</v>
      </c>
      <c r="K68" s="67">
        <v>2.6611200000000004</v>
      </c>
      <c r="L68" s="159">
        <v>150</v>
      </c>
      <c r="M68" s="159">
        <v>12981</v>
      </c>
      <c r="N68" s="159">
        <v>220</v>
      </c>
      <c r="O68" s="159">
        <v>392</v>
      </c>
      <c r="P68" s="159">
        <v>3392</v>
      </c>
      <c r="Q68" s="159">
        <v>1500</v>
      </c>
      <c r="R68" s="159">
        <v>2000</v>
      </c>
      <c r="S68" s="159">
        <v>16219</v>
      </c>
      <c r="T68" s="159">
        <v>0</v>
      </c>
      <c r="U68" s="159">
        <v>956</v>
      </c>
      <c r="V68" s="159">
        <v>4500</v>
      </c>
      <c r="W68" s="159">
        <v>186</v>
      </c>
      <c r="X68" s="159">
        <v>120</v>
      </c>
      <c r="Y68" s="159">
        <v>1500</v>
      </c>
      <c r="Z68" s="159">
        <v>1529</v>
      </c>
      <c r="AA68" s="159">
        <v>0</v>
      </c>
      <c r="AB68" s="159">
        <v>0</v>
      </c>
      <c r="AC68" s="159">
        <v>0</v>
      </c>
      <c r="AD68" s="207">
        <v>45645</v>
      </c>
      <c r="AE68" s="200">
        <v>26.764166091559574</v>
      </c>
      <c r="AF68" s="200">
        <v>22.745467816882183</v>
      </c>
      <c r="AG68" s="200">
        <v>18.727215993714875</v>
      </c>
      <c r="AH68" s="200">
        <v>0</v>
      </c>
      <c r="AI68" s="200">
        <v>0</v>
      </c>
      <c r="AJ68" s="200">
        <v>0</v>
      </c>
      <c r="AL68" s="197">
        <f t="shared" si="9"/>
        <v>52325.863134771971</v>
      </c>
      <c r="AM68" s="197" t="str">
        <f t="shared" si="10"/>
        <v>Box Medium 4</v>
      </c>
      <c r="AN68" s="3">
        <f t="shared" si="11"/>
        <v>11.983205846446673</v>
      </c>
      <c r="AO68" s="3">
        <f t="shared" si="12"/>
        <v>4.6254484481270728</v>
      </c>
      <c r="AP68" s="3">
        <f t="shared" si="13"/>
        <v>0</v>
      </c>
      <c r="AQ68" s="3">
        <f t="shared" ref="AQ68:AQ131" si="14">AP68*3.6/100</f>
        <v>0</v>
      </c>
      <c r="AR68" s="3">
        <f t="shared" ref="AR68:AR131" si="15">AO68+AQ68</f>
        <v>4.6254484481270728</v>
      </c>
      <c r="AS68" s="81">
        <f t="shared" ref="AS68:AS131" si="16">AO68/AR68</f>
        <v>1</v>
      </c>
      <c r="AT68" s="81">
        <f t="shared" ref="AT68:AT131" si="17">AQ68/AR68</f>
        <v>0</v>
      </c>
    </row>
    <row r="69" spans="1:46" x14ac:dyDescent="0.25">
      <c r="A69" t="s">
        <v>807</v>
      </c>
      <c r="B69">
        <v>2030</v>
      </c>
      <c r="C69" t="s">
        <v>680</v>
      </c>
      <c r="D69" t="s">
        <v>806</v>
      </c>
      <c r="E69" t="s">
        <v>1028</v>
      </c>
      <c r="F69">
        <v>3</v>
      </c>
      <c r="G69" t="s">
        <v>1804</v>
      </c>
      <c r="H69" s="460">
        <v>2782.7974784748817</v>
      </c>
      <c r="I69">
        <v>1200</v>
      </c>
      <c r="J69">
        <v>0</v>
      </c>
      <c r="K69" s="67">
        <v>2.5660800000000004</v>
      </c>
      <c r="L69" s="159">
        <v>150</v>
      </c>
      <c r="M69" s="159">
        <v>10955</v>
      </c>
      <c r="N69" s="159">
        <v>220</v>
      </c>
      <c r="O69" s="159">
        <v>392</v>
      </c>
      <c r="P69" s="159">
        <v>2315</v>
      </c>
      <c r="Q69" s="159">
        <v>1500</v>
      </c>
      <c r="R69" s="159">
        <v>2000</v>
      </c>
      <c r="S69" s="159">
        <v>16219</v>
      </c>
      <c r="T69" s="159">
        <v>0</v>
      </c>
      <c r="U69" s="159">
        <v>921</v>
      </c>
      <c r="V69" s="159">
        <v>4500</v>
      </c>
      <c r="W69" s="159">
        <v>186</v>
      </c>
      <c r="X69" s="159">
        <v>120</v>
      </c>
      <c r="Y69" s="159">
        <v>1500</v>
      </c>
      <c r="Z69" s="159">
        <v>1532</v>
      </c>
      <c r="AA69" s="159">
        <v>0</v>
      </c>
      <c r="AB69" s="159">
        <v>0</v>
      </c>
      <c r="AC69" s="159">
        <v>0</v>
      </c>
      <c r="AD69" s="207">
        <v>42510</v>
      </c>
      <c r="AE69" s="200">
        <v>4.3325741511889015</v>
      </c>
      <c r="AF69" s="200">
        <v>18.069150216053693</v>
      </c>
      <c r="AG69" s="200">
        <v>15.780274234684912</v>
      </c>
      <c r="AH69" s="200">
        <v>0</v>
      </c>
      <c r="AI69" s="200">
        <v>0</v>
      </c>
      <c r="AJ69" s="200">
        <v>0</v>
      </c>
      <c r="AL69" s="197">
        <f t="shared" si="9"/>
        <v>48732.00661319217</v>
      </c>
      <c r="AM69" s="197" t="str">
        <f t="shared" si="10"/>
        <v>Box Medium 4</v>
      </c>
      <c r="AN69" s="3">
        <f t="shared" si="11"/>
        <v>18.674137195692321</v>
      </c>
      <c r="AO69" s="3">
        <f t="shared" si="12"/>
        <v>7.2081094173592843</v>
      </c>
      <c r="AP69" s="3">
        <f t="shared" si="13"/>
        <v>0</v>
      </c>
      <c r="AQ69" s="3">
        <f t="shared" si="14"/>
        <v>0</v>
      </c>
      <c r="AR69" s="3">
        <f t="shared" si="15"/>
        <v>7.2081094173592843</v>
      </c>
      <c r="AS69" s="81">
        <f t="shared" si="16"/>
        <v>1</v>
      </c>
      <c r="AT69" s="81">
        <f t="shared" si="17"/>
        <v>0</v>
      </c>
    </row>
    <row r="70" spans="1:46" x14ac:dyDescent="0.25">
      <c r="A70" t="s">
        <v>808</v>
      </c>
      <c r="B70">
        <v>2030</v>
      </c>
      <c r="C70" t="s">
        <v>680</v>
      </c>
      <c r="D70" t="s">
        <v>806</v>
      </c>
      <c r="E70" t="s">
        <v>1028</v>
      </c>
      <c r="F70">
        <v>3</v>
      </c>
      <c r="G70" t="s">
        <v>1805</v>
      </c>
      <c r="H70" s="460">
        <v>3517.6758311854655</v>
      </c>
      <c r="I70">
        <v>1200</v>
      </c>
      <c r="J70">
        <v>119.99999997072871</v>
      </c>
      <c r="K70" s="67">
        <v>107.98875</v>
      </c>
      <c r="L70" s="159">
        <v>0</v>
      </c>
      <c r="M70" s="159">
        <v>11516</v>
      </c>
      <c r="N70" s="159">
        <v>220</v>
      </c>
      <c r="O70" s="159">
        <v>0</v>
      </c>
      <c r="P70" s="159">
        <v>0</v>
      </c>
      <c r="Q70" s="159">
        <v>1500</v>
      </c>
      <c r="R70" s="159">
        <v>2000</v>
      </c>
      <c r="S70" s="159">
        <v>16219</v>
      </c>
      <c r="T70" s="159">
        <v>2666</v>
      </c>
      <c r="U70" s="159">
        <v>21598</v>
      </c>
      <c r="V70" s="159">
        <v>4500</v>
      </c>
      <c r="W70" s="159">
        <v>186</v>
      </c>
      <c r="X70" s="159">
        <v>0</v>
      </c>
      <c r="Y70" s="159">
        <v>1500</v>
      </c>
      <c r="Z70" s="159">
        <v>3797</v>
      </c>
      <c r="AA70" s="159">
        <v>0</v>
      </c>
      <c r="AB70" s="159">
        <v>0</v>
      </c>
      <c r="AC70" s="159">
        <v>0</v>
      </c>
      <c r="AD70" s="207">
        <v>65702</v>
      </c>
      <c r="AE70" s="200">
        <v>71.635857335171366</v>
      </c>
      <c r="AF70" s="200">
        <v>34.794308946341879</v>
      </c>
      <c r="AG70" s="200">
        <v>22.468541614063881</v>
      </c>
      <c r="AH70" s="200">
        <v>479</v>
      </c>
      <c r="AI70" s="200">
        <v>803</v>
      </c>
      <c r="AJ70" s="200">
        <v>1027</v>
      </c>
      <c r="AL70" s="197">
        <f t="shared" si="9"/>
        <v>75318.520312866429</v>
      </c>
      <c r="AM70" s="197" t="str">
        <f t="shared" si="10"/>
        <v>Box Medium 4</v>
      </c>
      <c r="AN70" s="3">
        <f t="shared" si="11"/>
        <v>4.7081814050747353</v>
      </c>
      <c r="AO70" s="3">
        <f t="shared" si="12"/>
        <v>1.8173309089955461</v>
      </c>
      <c r="AP70" s="3">
        <f t="shared" si="13"/>
        <v>29.578585010004101</v>
      </c>
      <c r="AQ70" s="3">
        <f t="shared" si="14"/>
        <v>1.0648290603601476</v>
      </c>
      <c r="AR70" s="3">
        <f t="shared" si="15"/>
        <v>2.8821599693556936</v>
      </c>
      <c r="AS70" s="81">
        <f t="shared" si="16"/>
        <v>0.63054477486265625</v>
      </c>
      <c r="AT70" s="81">
        <f t="shared" si="17"/>
        <v>0.36945522513734375</v>
      </c>
    </row>
    <row r="71" spans="1:46" x14ac:dyDescent="0.25">
      <c r="A71" t="s">
        <v>808</v>
      </c>
      <c r="B71">
        <v>2030</v>
      </c>
      <c r="C71" t="s">
        <v>680</v>
      </c>
      <c r="D71" t="s">
        <v>806</v>
      </c>
      <c r="E71" t="s">
        <v>1028</v>
      </c>
      <c r="F71">
        <v>3</v>
      </c>
      <c r="G71" t="s">
        <v>1806</v>
      </c>
      <c r="H71" s="460">
        <v>3359.7278220837434</v>
      </c>
      <c r="I71">
        <v>1200</v>
      </c>
      <c r="J71">
        <v>119.99999997072871</v>
      </c>
      <c r="K71" s="67">
        <v>98.8035</v>
      </c>
      <c r="L71" s="159">
        <v>0</v>
      </c>
      <c r="M71" s="159">
        <v>7867</v>
      </c>
      <c r="N71" s="159">
        <v>220</v>
      </c>
      <c r="O71" s="159">
        <v>0</v>
      </c>
      <c r="P71" s="159">
        <v>2509</v>
      </c>
      <c r="Q71" s="159">
        <v>1500</v>
      </c>
      <c r="R71" s="159">
        <v>2000</v>
      </c>
      <c r="S71" s="159">
        <v>16219</v>
      </c>
      <c r="T71" s="159">
        <v>2136</v>
      </c>
      <c r="U71" s="159">
        <v>19761</v>
      </c>
      <c r="V71" s="159">
        <v>4500</v>
      </c>
      <c r="W71" s="159">
        <v>186</v>
      </c>
      <c r="X71" s="159">
        <v>0</v>
      </c>
      <c r="Y71" s="159">
        <v>1500</v>
      </c>
      <c r="Z71" s="159">
        <v>2827</v>
      </c>
      <c r="AA71" s="159">
        <v>0</v>
      </c>
      <c r="AB71" s="159">
        <v>0</v>
      </c>
      <c r="AC71" s="159">
        <v>0</v>
      </c>
      <c r="AD71" s="207">
        <v>61225</v>
      </c>
      <c r="AE71" s="200">
        <v>23.050997394460413</v>
      </c>
      <c r="AF71" s="200">
        <v>16.261478109036283</v>
      </c>
      <c r="AG71" s="200">
        <v>12.142882014813871</v>
      </c>
      <c r="AH71" s="200">
        <v>486</v>
      </c>
      <c r="AI71" s="200">
        <v>702</v>
      </c>
      <c r="AJ71" s="200">
        <v>915</v>
      </c>
      <c r="AL71" s="197">
        <f t="shared" si="9"/>
        <v>70186.240999592817</v>
      </c>
      <c r="AM71" s="197" t="str">
        <f t="shared" si="10"/>
        <v>Box Medium 4</v>
      </c>
      <c r="AN71" s="3">
        <f t="shared" si="11"/>
        <v>9.0062110960929491</v>
      </c>
      <c r="AO71" s="3">
        <f t="shared" si="12"/>
        <v>3.4763456183372288</v>
      </c>
      <c r="AP71" s="3">
        <f t="shared" si="13"/>
        <v>26.499372413535987</v>
      </c>
      <c r="AQ71" s="3">
        <f t="shared" si="14"/>
        <v>0.9539774068872956</v>
      </c>
      <c r="AR71" s="3">
        <f t="shared" si="15"/>
        <v>4.4303230252245243</v>
      </c>
      <c r="AS71" s="81">
        <f t="shared" si="16"/>
        <v>0.78467091418487511</v>
      </c>
      <c r="AT71" s="81">
        <f t="shared" si="17"/>
        <v>0.21532908581512497</v>
      </c>
    </row>
    <row r="72" spans="1:46" x14ac:dyDescent="0.25">
      <c r="A72" t="s">
        <v>230</v>
      </c>
      <c r="B72">
        <v>2030</v>
      </c>
      <c r="C72" t="s">
        <v>680</v>
      </c>
      <c r="D72" t="s">
        <v>806</v>
      </c>
      <c r="E72" t="s">
        <v>1028</v>
      </c>
      <c r="F72">
        <v>3</v>
      </c>
      <c r="G72" t="s">
        <v>1807</v>
      </c>
      <c r="H72" s="460">
        <v>3181.1154537147931</v>
      </c>
      <c r="I72">
        <v>1200</v>
      </c>
      <c r="J72">
        <v>150.00000001001371</v>
      </c>
      <c r="K72" s="67">
        <v>137.77875</v>
      </c>
      <c r="L72" s="159">
        <v>0</v>
      </c>
      <c r="M72" s="159">
        <v>0</v>
      </c>
      <c r="N72" s="159">
        <v>0</v>
      </c>
      <c r="O72" s="159">
        <v>0</v>
      </c>
      <c r="P72" s="159">
        <v>0</v>
      </c>
      <c r="Q72" s="159">
        <v>1500</v>
      </c>
      <c r="R72" s="159">
        <v>2000</v>
      </c>
      <c r="S72" s="159">
        <v>16219</v>
      </c>
      <c r="T72" s="159">
        <v>0</v>
      </c>
      <c r="U72" s="159">
        <v>27556</v>
      </c>
      <c r="V72" s="159">
        <v>4500</v>
      </c>
      <c r="W72" s="159">
        <v>186</v>
      </c>
      <c r="X72" s="159">
        <v>0</v>
      </c>
      <c r="Y72" s="159">
        <v>1500</v>
      </c>
      <c r="Z72" s="159">
        <v>3292</v>
      </c>
      <c r="AA72" s="159">
        <v>0</v>
      </c>
      <c r="AB72" s="159">
        <v>0</v>
      </c>
      <c r="AC72" s="159">
        <v>0</v>
      </c>
      <c r="AD72" s="207">
        <v>56753</v>
      </c>
      <c r="AE72" s="200">
        <v>0</v>
      </c>
      <c r="AF72" s="200">
        <v>0</v>
      </c>
      <c r="AG72" s="200">
        <v>0</v>
      </c>
      <c r="AH72" s="200">
        <v>456</v>
      </c>
      <c r="AI72" s="200">
        <v>766</v>
      </c>
      <c r="AJ72" s="200">
        <v>983</v>
      </c>
      <c r="AL72" s="197">
        <f t="shared" si="9"/>
        <v>65059.693514902261</v>
      </c>
      <c r="AM72" s="197" t="str">
        <f t="shared" si="10"/>
        <v>Box Medium 4</v>
      </c>
      <c r="AN72" s="3">
        <f t="shared" si="11"/>
        <v>0</v>
      </c>
      <c r="AO72" s="3">
        <f t="shared" si="12"/>
        <v>0</v>
      </c>
      <c r="AP72" s="3">
        <f t="shared" si="13"/>
        <v>56.592764735854452</v>
      </c>
      <c r="AQ72" s="3">
        <f t="shared" si="14"/>
        <v>2.0373395304907604</v>
      </c>
      <c r="AR72" s="3">
        <f t="shared" si="15"/>
        <v>2.0373395304907604</v>
      </c>
      <c r="AS72" s="81">
        <f t="shared" si="16"/>
        <v>0</v>
      </c>
      <c r="AT72" s="81">
        <f t="shared" si="17"/>
        <v>1</v>
      </c>
    </row>
    <row r="73" spans="1:46" x14ac:dyDescent="0.25">
      <c r="A73" t="s">
        <v>496</v>
      </c>
      <c r="B73">
        <v>2030</v>
      </c>
      <c r="C73" t="s">
        <v>680</v>
      </c>
      <c r="D73" t="s">
        <v>806</v>
      </c>
      <c r="E73" t="s">
        <v>1028</v>
      </c>
      <c r="F73">
        <v>3</v>
      </c>
      <c r="G73" t="s">
        <v>1808</v>
      </c>
      <c r="H73" s="460">
        <v>2703.2717037751868</v>
      </c>
      <c r="I73">
        <v>1200</v>
      </c>
      <c r="J73">
        <v>150.00000001001371</v>
      </c>
      <c r="K73" s="67">
        <v>3.1046400000000003</v>
      </c>
      <c r="L73" s="159">
        <v>0</v>
      </c>
      <c r="M73" s="159">
        <v>0</v>
      </c>
      <c r="N73" s="159">
        <v>0</v>
      </c>
      <c r="O73" s="159">
        <v>0</v>
      </c>
      <c r="P73" s="159">
        <v>0</v>
      </c>
      <c r="Q73" s="159">
        <v>1500</v>
      </c>
      <c r="R73" s="159">
        <v>2000</v>
      </c>
      <c r="S73" s="159">
        <v>16219</v>
      </c>
      <c r="T73" s="159">
        <v>0</v>
      </c>
      <c r="U73" s="159">
        <v>1115</v>
      </c>
      <c r="V73" s="159">
        <v>4500</v>
      </c>
      <c r="W73" s="159">
        <v>186</v>
      </c>
      <c r="X73" s="159">
        <v>0</v>
      </c>
      <c r="Y73" s="159">
        <v>1500</v>
      </c>
      <c r="Z73" s="159">
        <v>3295</v>
      </c>
      <c r="AA73" s="159">
        <v>14584</v>
      </c>
      <c r="AB73" s="159">
        <v>5036</v>
      </c>
      <c r="AC73" s="159">
        <v>0</v>
      </c>
      <c r="AD73" s="207">
        <v>49935</v>
      </c>
      <c r="AE73" s="200">
        <v>47.25212415019783</v>
      </c>
      <c r="AF73" s="200">
        <v>30.012381270540814</v>
      </c>
      <c r="AG73" s="200">
        <v>22.630741102019073</v>
      </c>
      <c r="AH73" s="200">
        <v>0</v>
      </c>
      <c r="AI73" s="200">
        <v>0</v>
      </c>
      <c r="AJ73" s="200">
        <v>0</v>
      </c>
      <c r="AL73" s="197">
        <f t="shared" si="9"/>
        <v>57243.772059039075</v>
      </c>
      <c r="AM73" s="197" t="str">
        <f t="shared" si="10"/>
        <v>Box Medium 4</v>
      </c>
      <c r="AN73" s="3">
        <f t="shared" si="11"/>
        <v>9.6219665446830938</v>
      </c>
      <c r="AO73" s="3">
        <f t="shared" si="12"/>
        <v>3.7140236754951657</v>
      </c>
      <c r="AP73" s="3">
        <f t="shared" si="13"/>
        <v>0</v>
      </c>
      <c r="AQ73" s="3">
        <f t="shared" si="14"/>
        <v>0</v>
      </c>
      <c r="AR73" s="3">
        <f t="shared" si="15"/>
        <v>3.7140236754951657</v>
      </c>
      <c r="AS73" s="81">
        <f t="shared" si="16"/>
        <v>1</v>
      </c>
      <c r="AT73" s="81">
        <f t="shared" si="17"/>
        <v>0</v>
      </c>
    </row>
    <row r="74" spans="1:46" x14ac:dyDescent="0.25">
      <c r="A74" t="s">
        <v>828</v>
      </c>
      <c r="B74">
        <v>2030</v>
      </c>
      <c r="C74" t="s">
        <v>680</v>
      </c>
      <c r="D74" t="s">
        <v>806</v>
      </c>
      <c r="E74" t="s">
        <v>1028</v>
      </c>
      <c r="F74">
        <v>3</v>
      </c>
      <c r="G74" t="s">
        <v>1809</v>
      </c>
      <c r="H74" s="460">
        <v>2736.9468998523971</v>
      </c>
      <c r="I74">
        <v>1200</v>
      </c>
      <c r="J74">
        <v>150.00000001001371</v>
      </c>
      <c r="K74" s="67">
        <v>24.328500000000002</v>
      </c>
      <c r="L74" s="159">
        <v>0</v>
      </c>
      <c r="M74" s="159">
        <v>0</v>
      </c>
      <c r="N74" s="159">
        <v>0</v>
      </c>
      <c r="O74" s="159">
        <v>0</v>
      </c>
      <c r="P74" s="159">
        <v>0</v>
      </c>
      <c r="Q74" s="159">
        <v>1500</v>
      </c>
      <c r="R74" s="159">
        <v>2000</v>
      </c>
      <c r="S74" s="159">
        <v>16219</v>
      </c>
      <c r="T74" s="159">
        <v>0</v>
      </c>
      <c r="U74" s="159">
        <v>4866</v>
      </c>
      <c r="V74" s="159">
        <v>4500</v>
      </c>
      <c r="W74" s="159">
        <v>186</v>
      </c>
      <c r="X74" s="159">
        <v>0</v>
      </c>
      <c r="Y74" s="159">
        <v>1500</v>
      </c>
      <c r="Z74" s="159">
        <v>4187</v>
      </c>
      <c r="AA74" s="159">
        <v>7642</v>
      </c>
      <c r="AB74" s="159">
        <v>4078</v>
      </c>
      <c r="AC74" s="159">
        <v>0</v>
      </c>
      <c r="AD74" s="207">
        <v>46678</v>
      </c>
      <c r="AE74" s="200">
        <v>47.344365413039462</v>
      </c>
      <c r="AF74" s="200">
        <v>27.323312027207304</v>
      </c>
      <c r="AG74" s="200">
        <v>20.960479072305553</v>
      </c>
      <c r="AH74" s="200">
        <v>0</v>
      </c>
      <c r="AI74" s="200">
        <v>0</v>
      </c>
      <c r="AJ74" s="200">
        <v>0</v>
      </c>
      <c r="AL74" s="197">
        <f t="shared" si="9"/>
        <v>53510.058920032556</v>
      </c>
      <c r="AM74" s="197" t="str">
        <f t="shared" si="10"/>
        <v>Box Medium 4</v>
      </c>
      <c r="AN74" s="3">
        <f t="shared" si="11"/>
        <v>10.361279923115477</v>
      </c>
      <c r="AO74" s="3">
        <f t="shared" si="12"/>
        <v>3.9993943820297333</v>
      </c>
      <c r="AP74" s="3">
        <f t="shared" si="13"/>
        <v>0</v>
      </c>
      <c r="AQ74" s="3">
        <f t="shared" si="14"/>
        <v>0</v>
      </c>
      <c r="AR74" s="3">
        <f t="shared" si="15"/>
        <v>3.9993943820297333</v>
      </c>
      <c r="AS74" s="81">
        <f t="shared" si="16"/>
        <v>1</v>
      </c>
      <c r="AT74" s="81">
        <f t="shared" si="17"/>
        <v>0</v>
      </c>
    </row>
    <row r="75" spans="1:46" x14ac:dyDescent="0.25">
      <c r="A75" t="s">
        <v>805</v>
      </c>
      <c r="B75">
        <v>2035</v>
      </c>
      <c r="C75" t="s">
        <v>680</v>
      </c>
      <c r="D75" t="s">
        <v>806</v>
      </c>
      <c r="E75" t="s">
        <v>1028</v>
      </c>
      <c r="F75">
        <v>3</v>
      </c>
      <c r="G75" t="s">
        <v>1810</v>
      </c>
      <c r="H75" s="460">
        <v>2931.246285609488</v>
      </c>
      <c r="I75">
        <v>1200</v>
      </c>
      <c r="J75">
        <v>0</v>
      </c>
      <c r="K75" s="67">
        <v>0</v>
      </c>
      <c r="L75" s="159">
        <v>150</v>
      </c>
      <c r="M75" s="159">
        <v>14181</v>
      </c>
      <c r="N75" s="159">
        <v>1920</v>
      </c>
      <c r="O75" s="159">
        <v>506</v>
      </c>
      <c r="P75" s="159">
        <v>3959</v>
      </c>
      <c r="Q75" s="159">
        <v>1500</v>
      </c>
      <c r="R75" s="159">
        <v>2000</v>
      </c>
      <c r="S75" s="159">
        <v>16219</v>
      </c>
      <c r="T75" s="159">
        <v>63</v>
      </c>
      <c r="U75" s="159">
        <v>120</v>
      </c>
      <c r="V75" s="159">
        <v>0</v>
      </c>
      <c r="W75" s="159">
        <v>186</v>
      </c>
      <c r="X75" s="159">
        <v>0</v>
      </c>
      <c r="Y75" s="159">
        <v>0</v>
      </c>
      <c r="Z75" s="159">
        <v>0</v>
      </c>
      <c r="AA75" s="159">
        <v>0</v>
      </c>
      <c r="AB75" s="159">
        <v>0</v>
      </c>
      <c r="AC75" s="159">
        <v>0</v>
      </c>
      <c r="AD75" s="207">
        <v>40804</v>
      </c>
      <c r="AE75" s="200">
        <v>18.463042069966463</v>
      </c>
      <c r="AF75" s="200">
        <v>23.306187614059205</v>
      </c>
      <c r="AG75" s="200">
        <v>20.23632207120755</v>
      </c>
      <c r="AH75" s="200">
        <v>0</v>
      </c>
      <c r="AI75" s="200">
        <v>0</v>
      </c>
      <c r="AJ75" s="200">
        <v>0</v>
      </c>
      <c r="AL75" s="197">
        <f t="shared" si="9"/>
        <v>46776.306700651454</v>
      </c>
      <c r="AM75" s="197" t="str">
        <f t="shared" si="10"/>
        <v>Box Medium 4</v>
      </c>
      <c r="AN75" s="3">
        <f t="shared" si="11"/>
        <v>11.597257314029518</v>
      </c>
      <c r="AO75" s="3">
        <f t="shared" si="12"/>
        <v>4.4764745372052968</v>
      </c>
      <c r="AP75" s="3">
        <f t="shared" si="13"/>
        <v>0</v>
      </c>
      <c r="AQ75" s="3">
        <f t="shared" si="14"/>
        <v>0</v>
      </c>
      <c r="AR75" s="3">
        <f t="shared" si="15"/>
        <v>4.4764745372052968</v>
      </c>
      <c r="AS75" s="81">
        <f t="shared" si="16"/>
        <v>1</v>
      </c>
      <c r="AT75" s="81">
        <f t="shared" si="17"/>
        <v>0</v>
      </c>
    </row>
    <row r="76" spans="1:46" x14ac:dyDescent="0.25">
      <c r="A76" t="s">
        <v>805</v>
      </c>
      <c r="B76">
        <v>2035</v>
      </c>
      <c r="C76" t="s">
        <v>680</v>
      </c>
      <c r="D76" t="s">
        <v>806</v>
      </c>
      <c r="E76" t="s">
        <v>1028</v>
      </c>
      <c r="F76">
        <v>3</v>
      </c>
      <c r="G76" t="s">
        <v>1811</v>
      </c>
      <c r="H76" s="460">
        <v>2811.5837460965231</v>
      </c>
      <c r="I76">
        <v>1200</v>
      </c>
      <c r="J76">
        <v>0</v>
      </c>
      <c r="K76" s="67">
        <v>0</v>
      </c>
      <c r="L76" s="159">
        <v>150</v>
      </c>
      <c r="M76" s="159">
        <v>22962</v>
      </c>
      <c r="N76" s="159">
        <v>1920</v>
      </c>
      <c r="O76" s="159">
        <v>506</v>
      </c>
      <c r="P76" s="159">
        <v>3393</v>
      </c>
      <c r="Q76" s="159">
        <v>1500</v>
      </c>
      <c r="R76" s="159">
        <v>2000</v>
      </c>
      <c r="S76" s="159">
        <v>16219</v>
      </c>
      <c r="T76" s="159">
        <v>63</v>
      </c>
      <c r="U76" s="159">
        <v>120</v>
      </c>
      <c r="V76" s="159">
        <v>0</v>
      </c>
      <c r="W76" s="159">
        <v>186</v>
      </c>
      <c r="X76" s="159">
        <v>0</v>
      </c>
      <c r="Y76" s="159">
        <v>0</v>
      </c>
      <c r="Z76" s="159">
        <v>0</v>
      </c>
      <c r="AA76" s="159">
        <v>0</v>
      </c>
      <c r="AB76" s="159">
        <v>0</v>
      </c>
      <c r="AC76" s="159">
        <v>0</v>
      </c>
      <c r="AD76" s="207">
        <v>49019</v>
      </c>
      <c r="AE76" s="200">
        <v>11.885373534762603</v>
      </c>
      <c r="AF76" s="200">
        <v>15.85000669480325</v>
      </c>
      <c r="AG76" s="200">
        <v>16.392351617007044</v>
      </c>
      <c r="AH76" s="200">
        <v>0</v>
      </c>
      <c r="AI76" s="200">
        <v>0</v>
      </c>
      <c r="AJ76" s="200">
        <v>0</v>
      </c>
      <c r="AL76" s="197">
        <f t="shared" si="9"/>
        <v>56193.701062622131</v>
      </c>
      <c r="AM76" s="197" t="str">
        <f t="shared" si="10"/>
        <v>Box Medium 4</v>
      </c>
      <c r="AN76" s="3">
        <f t="shared" si="11"/>
        <v>14.937388438630048</v>
      </c>
      <c r="AO76" s="3">
        <f t="shared" si="12"/>
        <v>5.7657459162332767</v>
      </c>
      <c r="AP76" s="3">
        <f t="shared" si="13"/>
        <v>0</v>
      </c>
      <c r="AQ76" s="3">
        <f t="shared" si="14"/>
        <v>0</v>
      </c>
      <c r="AR76" s="3">
        <f t="shared" si="15"/>
        <v>5.7657459162332767</v>
      </c>
      <c r="AS76" s="81">
        <f t="shared" si="16"/>
        <v>1</v>
      </c>
      <c r="AT76" s="81">
        <f t="shared" si="17"/>
        <v>0</v>
      </c>
    </row>
    <row r="77" spans="1:46" x14ac:dyDescent="0.25">
      <c r="A77" t="s">
        <v>807</v>
      </c>
      <c r="B77">
        <v>2035</v>
      </c>
      <c r="C77" t="s">
        <v>680</v>
      </c>
      <c r="D77" t="s">
        <v>806</v>
      </c>
      <c r="E77" t="s">
        <v>1028</v>
      </c>
      <c r="F77">
        <v>3</v>
      </c>
      <c r="G77" t="s">
        <v>1812</v>
      </c>
      <c r="H77" s="460">
        <v>2918.426579061218</v>
      </c>
      <c r="I77">
        <v>1200</v>
      </c>
      <c r="J77">
        <v>0</v>
      </c>
      <c r="K77" s="67">
        <v>2.6611200000000004</v>
      </c>
      <c r="L77" s="159">
        <v>150</v>
      </c>
      <c r="M77" s="159">
        <v>12924</v>
      </c>
      <c r="N77" s="159">
        <v>220</v>
      </c>
      <c r="O77" s="159">
        <v>392</v>
      </c>
      <c r="P77" s="159">
        <v>3392</v>
      </c>
      <c r="Q77" s="159">
        <v>1500</v>
      </c>
      <c r="R77" s="159">
        <v>2000</v>
      </c>
      <c r="S77" s="159">
        <v>16219</v>
      </c>
      <c r="T77" s="159">
        <v>0</v>
      </c>
      <c r="U77" s="159">
        <v>905</v>
      </c>
      <c r="V77" s="159">
        <v>4500</v>
      </c>
      <c r="W77" s="159">
        <v>186</v>
      </c>
      <c r="X77" s="159">
        <v>120</v>
      </c>
      <c r="Y77" s="159">
        <v>1500</v>
      </c>
      <c r="Z77" s="159">
        <v>1268</v>
      </c>
      <c r="AA77" s="159">
        <v>0</v>
      </c>
      <c r="AB77" s="159">
        <v>0</v>
      </c>
      <c r="AC77" s="159">
        <v>0</v>
      </c>
      <c r="AD77" s="207">
        <v>45276</v>
      </c>
      <c r="AE77" s="200">
        <v>29.149418035196305</v>
      </c>
      <c r="AF77" s="200">
        <v>24.982610491907611</v>
      </c>
      <c r="AG77" s="200">
        <v>20.773817813851259</v>
      </c>
      <c r="AH77" s="200">
        <v>0</v>
      </c>
      <c r="AI77" s="200">
        <v>0</v>
      </c>
      <c r="AJ77" s="200">
        <v>0</v>
      </c>
      <c r="AL77" s="197">
        <f t="shared" si="9"/>
        <v>51902.854185342003</v>
      </c>
      <c r="AM77" s="197" t="str">
        <f t="shared" si="10"/>
        <v>Box Medium 4</v>
      </c>
      <c r="AN77" s="3">
        <f t="shared" si="11"/>
        <v>10.825656963311374</v>
      </c>
      <c r="AO77" s="3">
        <f t="shared" si="12"/>
        <v>4.1786412453018755</v>
      </c>
      <c r="AP77" s="3">
        <f t="shared" si="13"/>
        <v>0</v>
      </c>
      <c r="AQ77" s="3">
        <f t="shared" si="14"/>
        <v>0</v>
      </c>
      <c r="AR77" s="3">
        <f t="shared" si="15"/>
        <v>4.1786412453018755</v>
      </c>
      <c r="AS77" s="81">
        <f t="shared" si="16"/>
        <v>1</v>
      </c>
      <c r="AT77" s="81">
        <f t="shared" si="17"/>
        <v>0</v>
      </c>
    </row>
    <row r="78" spans="1:46" x14ac:dyDescent="0.25">
      <c r="A78" t="s">
        <v>807</v>
      </c>
      <c r="B78">
        <v>2035</v>
      </c>
      <c r="C78" t="s">
        <v>680</v>
      </c>
      <c r="D78" t="s">
        <v>806</v>
      </c>
      <c r="E78" t="s">
        <v>1028</v>
      </c>
      <c r="F78">
        <v>3</v>
      </c>
      <c r="G78" t="s">
        <v>1813</v>
      </c>
      <c r="H78" s="460">
        <v>2783.0035480128463</v>
      </c>
      <c r="I78">
        <v>1200</v>
      </c>
      <c r="J78">
        <v>0</v>
      </c>
      <c r="K78" s="67">
        <v>2.6611200000000004</v>
      </c>
      <c r="L78" s="159">
        <v>150</v>
      </c>
      <c r="M78" s="159">
        <v>11337</v>
      </c>
      <c r="N78" s="159">
        <v>220</v>
      </c>
      <c r="O78" s="159">
        <v>392</v>
      </c>
      <c r="P78" s="159">
        <v>2315</v>
      </c>
      <c r="Q78" s="159">
        <v>1500</v>
      </c>
      <c r="R78" s="159">
        <v>2000</v>
      </c>
      <c r="S78" s="159">
        <v>16219</v>
      </c>
      <c r="T78" s="159">
        <v>0</v>
      </c>
      <c r="U78" s="159">
        <v>905</v>
      </c>
      <c r="V78" s="159">
        <v>4500</v>
      </c>
      <c r="W78" s="159">
        <v>186</v>
      </c>
      <c r="X78" s="159">
        <v>120</v>
      </c>
      <c r="Y78" s="159">
        <v>1500</v>
      </c>
      <c r="Z78" s="159">
        <v>1292</v>
      </c>
      <c r="AA78" s="159">
        <v>0</v>
      </c>
      <c r="AB78" s="159">
        <v>0</v>
      </c>
      <c r="AC78" s="159">
        <v>0</v>
      </c>
      <c r="AD78" s="207">
        <v>42636</v>
      </c>
      <c r="AE78" s="200">
        <v>25.857207133624403</v>
      </c>
      <c r="AF78" s="200">
        <v>20.258619230273339</v>
      </c>
      <c r="AG78" s="200">
        <v>18.074092365330792</v>
      </c>
      <c r="AH78" s="200">
        <v>0</v>
      </c>
      <c r="AI78" s="200">
        <v>0</v>
      </c>
      <c r="AJ78" s="200">
        <v>0</v>
      </c>
      <c r="AL78" s="197">
        <f t="shared" si="9"/>
        <v>48876.448693485327</v>
      </c>
      <c r="AM78" s="197" t="str">
        <f t="shared" si="10"/>
        <v>Box Medium 4</v>
      </c>
      <c r="AN78" s="3">
        <f t="shared" si="11"/>
        <v>12.495915084879776</v>
      </c>
      <c r="AO78" s="3">
        <f t="shared" si="12"/>
        <v>4.8233512615844605</v>
      </c>
      <c r="AP78" s="3">
        <f t="shared" si="13"/>
        <v>0</v>
      </c>
      <c r="AQ78" s="3">
        <f t="shared" si="14"/>
        <v>0</v>
      </c>
      <c r="AR78" s="3">
        <f t="shared" si="15"/>
        <v>4.8233512615844605</v>
      </c>
      <c r="AS78" s="81">
        <f t="shared" si="16"/>
        <v>1</v>
      </c>
      <c r="AT78" s="81">
        <f t="shared" si="17"/>
        <v>0</v>
      </c>
    </row>
    <row r="79" spans="1:46" x14ac:dyDescent="0.25">
      <c r="A79" t="s">
        <v>808</v>
      </c>
      <c r="B79">
        <v>2035</v>
      </c>
      <c r="C79" t="s">
        <v>680</v>
      </c>
      <c r="D79" t="s">
        <v>806</v>
      </c>
      <c r="E79" t="s">
        <v>1028</v>
      </c>
      <c r="F79">
        <v>3</v>
      </c>
      <c r="G79" t="s">
        <v>1814</v>
      </c>
      <c r="H79" s="460">
        <v>3342.9342798159787</v>
      </c>
      <c r="I79">
        <v>1200</v>
      </c>
      <c r="J79">
        <v>119.99999997072871</v>
      </c>
      <c r="K79" s="67">
        <v>96.817499999999995</v>
      </c>
      <c r="L79" s="159">
        <v>0</v>
      </c>
      <c r="M79" s="159">
        <v>11185</v>
      </c>
      <c r="N79" s="159">
        <v>220</v>
      </c>
      <c r="O79" s="159">
        <v>0</v>
      </c>
      <c r="P79" s="159">
        <v>0</v>
      </c>
      <c r="Q79" s="159">
        <v>1500</v>
      </c>
      <c r="R79" s="159">
        <v>2000</v>
      </c>
      <c r="S79" s="159">
        <v>16219</v>
      </c>
      <c r="T79" s="159">
        <v>2138</v>
      </c>
      <c r="U79" s="159">
        <v>15491</v>
      </c>
      <c r="V79" s="159">
        <v>4500</v>
      </c>
      <c r="W79" s="159">
        <v>186</v>
      </c>
      <c r="X79" s="159">
        <v>0</v>
      </c>
      <c r="Y79" s="159">
        <v>1500</v>
      </c>
      <c r="Z79" s="159">
        <v>3070</v>
      </c>
      <c r="AA79" s="159">
        <v>0</v>
      </c>
      <c r="AB79" s="159">
        <v>0</v>
      </c>
      <c r="AC79" s="159">
        <v>0</v>
      </c>
      <c r="AD79" s="207">
        <v>58009</v>
      </c>
      <c r="AE79" s="200">
        <v>77.583548691487948</v>
      </c>
      <c r="AF79" s="200">
        <v>38.442156269199614</v>
      </c>
      <c r="AG79" s="200">
        <v>24.900535160523706</v>
      </c>
      <c r="AH79" s="200">
        <v>443</v>
      </c>
      <c r="AI79" s="200">
        <v>737</v>
      </c>
      <c r="AJ79" s="200">
        <v>941</v>
      </c>
      <c r="AL79" s="197">
        <f t="shared" si="9"/>
        <v>66499.528854967401</v>
      </c>
      <c r="AM79" s="197" t="str">
        <f t="shared" si="10"/>
        <v>Box Medium 4</v>
      </c>
      <c r="AN79" s="3">
        <f t="shared" si="11"/>
        <v>4.2526345746900489</v>
      </c>
      <c r="AO79" s="3">
        <f t="shared" si="12"/>
        <v>1.6414924558593291</v>
      </c>
      <c r="AP79" s="3">
        <f t="shared" si="13"/>
        <v>27.11794897287087</v>
      </c>
      <c r="AQ79" s="3">
        <f t="shared" si="14"/>
        <v>0.97624616302335143</v>
      </c>
      <c r="AR79" s="3">
        <f t="shared" si="15"/>
        <v>2.6177386188826803</v>
      </c>
      <c r="AS79" s="81">
        <f t="shared" si="16"/>
        <v>0.62706507212701068</v>
      </c>
      <c r="AT79" s="81">
        <f t="shared" si="17"/>
        <v>0.37293492787298949</v>
      </c>
    </row>
    <row r="80" spans="1:46" x14ac:dyDescent="0.25">
      <c r="A80" t="s">
        <v>808</v>
      </c>
      <c r="B80">
        <v>2035</v>
      </c>
      <c r="C80" t="s">
        <v>680</v>
      </c>
      <c r="D80" t="s">
        <v>806</v>
      </c>
      <c r="E80" t="s">
        <v>1028</v>
      </c>
      <c r="F80">
        <v>3</v>
      </c>
      <c r="G80" t="s">
        <v>1815</v>
      </c>
      <c r="H80" s="460">
        <v>3210.3526517874552</v>
      </c>
      <c r="I80">
        <v>1200</v>
      </c>
      <c r="J80">
        <v>119.99999997072871</v>
      </c>
      <c r="K80" s="67">
        <v>88.873500000000007</v>
      </c>
      <c r="L80" s="159">
        <v>0</v>
      </c>
      <c r="M80" s="159">
        <v>8045</v>
      </c>
      <c r="N80" s="159">
        <v>220</v>
      </c>
      <c r="O80" s="159">
        <v>0</v>
      </c>
      <c r="P80" s="159">
        <v>2485</v>
      </c>
      <c r="Q80" s="159">
        <v>1500</v>
      </c>
      <c r="R80" s="159">
        <v>2000</v>
      </c>
      <c r="S80" s="159">
        <v>16219</v>
      </c>
      <c r="T80" s="159">
        <v>1705</v>
      </c>
      <c r="U80" s="159">
        <v>14220</v>
      </c>
      <c r="V80" s="159">
        <v>4500</v>
      </c>
      <c r="W80" s="159">
        <v>186</v>
      </c>
      <c r="X80" s="159">
        <v>0</v>
      </c>
      <c r="Y80" s="159">
        <v>1500</v>
      </c>
      <c r="Z80" s="159">
        <v>2291</v>
      </c>
      <c r="AA80" s="159">
        <v>0</v>
      </c>
      <c r="AB80" s="159">
        <v>0</v>
      </c>
      <c r="AC80" s="159">
        <v>0</v>
      </c>
      <c r="AD80" s="207">
        <v>54871</v>
      </c>
      <c r="AE80" s="200">
        <v>26.012119230307256</v>
      </c>
      <c r="AF80" s="200">
        <v>18.732580298645242</v>
      </c>
      <c r="AG80" s="200">
        <v>14.050421549183705</v>
      </c>
      <c r="AH80" s="200">
        <v>453</v>
      </c>
      <c r="AI80" s="200">
        <v>640</v>
      </c>
      <c r="AJ80" s="200">
        <v>832</v>
      </c>
      <c r="AL80" s="197">
        <f t="shared" si="9"/>
        <v>62902.233236237764</v>
      </c>
      <c r="AM80" s="197" t="str">
        <f t="shared" si="10"/>
        <v>Box Medium 4</v>
      </c>
      <c r="AN80" s="3">
        <f t="shared" si="11"/>
        <v>7.797186133150106</v>
      </c>
      <c r="AO80" s="3">
        <f t="shared" si="12"/>
        <v>3.0096689451455454</v>
      </c>
      <c r="AP80" s="3">
        <f t="shared" si="13"/>
        <v>24.134738464215143</v>
      </c>
      <c r="AQ80" s="3">
        <f t="shared" si="14"/>
        <v>0.86885058471174514</v>
      </c>
      <c r="AR80" s="3">
        <f t="shared" si="15"/>
        <v>3.8785195298572903</v>
      </c>
      <c r="AS80" s="81">
        <f t="shared" si="16"/>
        <v>0.77598396036858064</v>
      </c>
      <c r="AT80" s="81">
        <f t="shared" si="17"/>
        <v>0.22401603963141947</v>
      </c>
    </row>
    <row r="81" spans="1:46" x14ac:dyDescent="0.25">
      <c r="A81" t="s">
        <v>230</v>
      </c>
      <c r="B81">
        <v>2035</v>
      </c>
      <c r="C81" t="s">
        <v>680</v>
      </c>
      <c r="D81" t="s">
        <v>806</v>
      </c>
      <c r="E81" t="s">
        <v>1028</v>
      </c>
      <c r="F81">
        <v>3</v>
      </c>
      <c r="G81" t="s">
        <v>1816</v>
      </c>
      <c r="H81" s="460">
        <v>2990.9945694184999</v>
      </c>
      <c r="I81">
        <v>1200</v>
      </c>
      <c r="J81">
        <v>150.00000001001371</v>
      </c>
      <c r="K81" s="67">
        <v>125.11800000000001</v>
      </c>
      <c r="L81" s="159">
        <v>0</v>
      </c>
      <c r="M81" s="159">
        <v>0</v>
      </c>
      <c r="N81" s="159">
        <v>0</v>
      </c>
      <c r="O81" s="159">
        <v>0</v>
      </c>
      <c r="P81" s="159">
        <v>0</v>
      </c>
      <c r="Q81" s="159">
        <v>1500</v>
      </c>
      <c r="R81" s="159">
        <v>2000</v>
      </c>
      <c r="S81" s="159">
        <v>16219</v>
      </c>
      <c r="T81" s="159">
        <v>0</v>
      </c>
      <c r="U81" s="159">
        <v>20019</v>
      </c>
      <c r="V81" s="159">
        <v>4500</v>
      </c>
      <c r="W81" s="159">
        <v>186</v>
      </c>
      <c r="X81" s="159">
        <v>0</v>
      </c>
      <c r="Y81" s="159">
        <v>1500</v>
      </c>
      <c r="Z81" s="159">
        <v>2610</v>
      </c>
      <c r="AA81" s="159">
        <v>0</v>
      </c>
      <c r="AB81" s="159">
        <v>0</v>
      </c>
      <c r="AC81" s="159">
        <v>0</v>
      </c>
      <c r="AD81" s="207">
        <v>48534</v>
      </c>
      <c r="AE81" s="200">
        <v>0</v>
      </c>
      <c r="AF81" s="200">
        <v>0</v>
      </c>
      <c r="AG81" s="200">
        <v>0</v>
      </c>
      <c r="AH81" s="200">
        <v>418</v>
      </c>
      <c r="AI81" s="200">
        <v>699</v>
      </c>
      <c r="AJ81" s="200">
        <v>894</v>
      </c>
      <c r="AL81" s="197">
        <f t="shared" si="9"/>
        <v>55637.713690065131</v>
      </c>
      <c r="AM81" s="197" t="str">
        <f t="shared" si="10"/>
        <v>Box Medium 4</v>
      </c>
      <c r="AN81" s="3">
        <f t="shared" si="11"/>
        <v>0</v>
      </c>
      <c r="AO81" s="3">
        <f t="shared" si="12"/>
        <v>0</v>
      </c>
      <c r="AP81" s="3">
        <f t="shared" si="13"/>
        <v>51.50247927721923</v>
      </c>
      <c r="AQ81" s="3">
        <f t="shared" si="14"/>
        <v>1.8540892539798923</v>
      </c>
      <c r="AR81" s="3">
        <f t="shared" si="15"/>
        <v>1.8540892539798923</v>
      </c>
      <c r="AS81" s="81">
        <f t="shared" si="16"/>
        <v>0</v>
      </c>
      <c r="AT81" s="81">
        <f t="shared" si="17"/>
        <v>1</v>
      </c>
    </row>
    <row r="82" spans="1:46" x14ac:dyDescent="0.25">
      <c r="A82" t="s">
        <v>496</v>
      </c>
      <c r="B82">
        <v>2035</v>
      </c>
      <c r="C82" t="s">
        <v>680</v>
      </c>
      <c r="D82" t="s">
        <v>806</v>
      </c>
      <c r="E82" t="s">
        <v>1028</v>
      </c>
      <c r="F82">
        <v>3</v>
      </c>
      <c r="G82" t="s">
        <v>1817</v>
      </c>
      <c r="H82" s="460">
        <v>2657.6628007686295</v>
      </c>
      <c r="I82">
        <v>1200</v>
      </c>
      <c r="J82">
        <v>150.00000001001371</v>
      </c>
      <c r="K82" s="67">
        <v>3.1680000000000006</v>
      </c>
      <c r="L82" s="159">
        <v>0</v>
      </c>
      <c r="M82" s="159">
        <v>0</v>
      </c>
      <c r="N82" s="159">
        <v>0</v>
      </c>
      <c r="O82" s="159">
        <v>0</v>
      </c>
      <c r="P82" s="159">
        <v>0</v>
      </c>
      <c r="Q82" s="159">
        <v>1500</v>
      </c>
      <c r="R82" s="159">
        <v>2000</v>
      </c>
      <c r="S82" s="159">
        <v>16219</v>
      </c>
      <c r="T82" s="159">
        <v>0</v>
      </c>
      <c r="U82" s="159">
        <v>1078</v>
      </c>
      <c r="V82" s="159">
        <v>4500</v>
      </c>
      <c r="W82" s="159">
        <v>186</v>
      </c>
      <c r="X82" s="159">
        <v>0</v>
      </c>
      <c r="Y82" s="159">
        <v>1500</v>
      </c>
      <c r="Z82" s="159">
        <v>2665</v>
      </c>
      <c r="AA82" s="159">
        <v>12399</v>
      </c>
      <c r="AB82" s="159">
        <v>4013</v>
      </c>
      <c r="AC82" s="159">
        <v>0</v>
      </c>
      <c r="AD82" s="207">
        <v>46060</v>
      </c>
      <c r="AE82" s="200">
        <v>50.109837016174772</v>
      </c>
      <c r="AF82" s="200">
        <v>32.769097867377781</v>
      </c>
      <c r="AG82" s="200">
        <v>24.866896605451327</v>
      </c>
      <c r="AH82" s="200">
        <v>0</v>
      </c>
      <c r="AI82" s="200">
        <v>0</v>
      </c>
      <c r="AJ82" s="200">
        <v>0</v>
      </c>
      <c r="AL82" s="197">
        <f t="shared" si="9"/>
        <v>52801.604907166111</v>
      </c>
      <c r="AM82" s="197" t="str">
        <f t="shared" si="10"/>
        <v>Box Medium 4</v>
      </c>
      <c r="AN82" s="3">
        <f t="shared" si="11"/>
        <v>8.7771771915830001</v>
      </c>
      <c r="AO82" s="3">
        <f t="shared" si="12"/>
        <v>3.3879398501514002</v>
      </c>
      <c r="AP82" s="3">
        <f t="shared" si="13"/>
        <v>0</v>
      </c>
      <c r="AQ82" s="3">
        <f t="shared" si="14"/>
        <v>0</v>
      </c>
      <c r="AR82" s="3">
        <f t="shared" si="15"/>
        <v>3.3879398501514002</v>
      </c>
      <c r="AS82" s="81">
        <f t="shared" si="16"/>
        <v>1</v>
      </c>
      <c r="AT82" s="81">
        <f t="shared" si="17"/>
        <v>0</v>
      </c>
    </row>
    <row r="83" spans="1:46" x14ac:dyDescent="0.25">
      <c r="A83" t="s">
        <v>828</v>
      </c>
      <c r="B83">
        <v>2035</v>
      </c>
      <c r="C83" t="s">
        <v>680</v>
      </c>
      <c r="D83" t="s">
        <v>806</v>
      </c>
      <c r="E83" t="s">
        <v>1028</v>
      </c>
      <c r="F83">
        <v>3</v>
      </c>
      <c r="G83" t="s">
        <v>1818</v>
      </c>
      <c r="H83" s="460">
        <v>2666.8176664916627</v>
      </c>
      <c r="I83">
        <v>1200</v>
      </c>
      <c r="J83">
        <v>150.00000001001371</v>
      </c>
      <c r="K83" s="67">
        <v>24.080249999999999</v>
      </c>
      <c r="L83" s="159">
        <v>0</v>
      </c>
      <c r="M83" s="159">
        <v>0</v>
      </c>
      <c r="N83" s="159">
        <v>0</v>
      </c>
      <c r="O83" s="159">
        <v>0</v>
      </c>
      <c r="P83" s="159">
        <v>0</v>
      </c>
      <c r="Q83" s="159">
        <v>1500</v>
      </c>
      <c r="R83" s="159">
        <v>2000</v>
      </c>
      <c r="S83" s="159">
        <v>16219</v>
      </c>
      <c r="T83" s="159">
        <v>0</v>
      </c>
      <c r="U83" s="159">
        <v>3853</v>
      </c>
      <c r="V83" s="159">
        <v>4500</v>
      </c>
      <c r="W83" s="159">
        <v>186</v>
      </c>
      <c r="X83" s="159">
        <v>0</v>
      </c>
      <c r="Y83" s="159">
        <v>1500</v>
      </c>
      <c r="Z83" s="159">
        <v>3365</v>
      </c>
      <c r="AA83" s="159">
        <v>6083</v>
      </c>
      <c r="AB83" s="159">
        <v>3157</v>
      </c>
      <c r="AC83" s="159">
        <v>0</v>
      </c>
      <c r="AD83" s="207">
        <v>42363</v>
      </c>
      <c r="AE83" s="200">
        <v>50.595498297735631</v>
      </c>
      <c r="AF83" s="200">
        <v>29.733377174635251</v>
      </c>
      <c r="AG83" s="200">
        <v>22.859064938681183</v>
      </c>
      <c r="AH83" s="200">
        <v>0</v>
      </c>
      <c r="AI83" s="200">
        <v>0</v>
      </c>
      <c r="AJ83" s="200">
        <v>0</v>
      </c>
      <c r="AL83" s="197">
        <f t="shared" si="9"/>
        <v>48563.490852850147</v>
      </c>
      <c r="AM83" s="197" t="str">
        <f t="shared" si="10"/>
        <v>Box Medium 4</v>
      </c>
      <c r="AN83" s="3">
        <f t="shared" si="11"/>
        <v>9.5116012514359038</v>
      </c>
      <c r="AO83" s="3">
        <f t="shared" si="12"/>
        <v>3.6714233078707808</v>
      </c>
      <c r="AP83" s="3">
        <f t="shared" si="13"/>
        <v>0</v>
      </c>
      <c r="AQ83" s="3">
        <f t="shared" si="14"/>
        <v>0</v>
      </c>
      <c r="AR83" s="3">
        <f t="shared" si="15"/>
        <v>3.6714233078707808</v>
      </c>
      <c r="AS83" s="81">
        <f t="shared" si="16"/>
        <v>1</v>
      </c>
      <c r="AT83" s="81">
        <f t="shared" si="17"/>
        <v>0</v>
      </c>
    </row>
    <row r="84" spans="1:46" x14ac:dyDescent="0.25">
      <c r="A84" t="s">
        <v>805</v>
      </c>
      <c r="B84">
        <v>2050</v>
      </c>
      <c r="C84" t="s">
        <v>680</v>
      </c>
      <c r="D84" t="s">
        <v>806</v>
      </c>
      <c r="E84" t="s">
        <v>1028</v>
      </c>
      <c r="F84">
        <v>3</v>
      </c>
      <c r="G84" t="s">
        <v>1819</v>
      </c>
      <c r="H84" s="460">
        <v>2912.5791485992686</v>
      </c>
      <c r="I84">
        <v>1200</v>
      </c>
      <c r="J84">
        <v>0</v>
      </c>
      <c r="K84" s="67">
        <v>0</v>
      </c>
      <c r="L84" s="159">
        <v>150</v>
      </c>
      <c r="M84" s="159">
        <v>14207</v>
      </c>
      <c r="N84" s="159">
        <v>1920</v>
      </c>
      <c r="O84" s="159">
        <v>506</v>
      </c>
      <c r="P84" s="159">
        <v>3897</v>
      </c>
      <c r="Q84" s="159">
        <v>1500</v>
      </c>
      <c r="R84" s="159">
        <v>2000</v>
      </c>
      <c r="S84" s="159">
        <v>16284</v>
      </c>
      <c r="T84" s="159">
        <v>44</v>
      </c>
      <c r="U84" s="159">
        <v>120</v>
      </c>
      <c r="V84" s="159">
        <v>0</v>
      </c>
      <c r="W84" s="159">
        <v>186</v>
      </c>
      <c r="X84" s="159">
        <v>0</v>
      </c>
      <c r="Y84" s="159">
        <v>0</v>
      </c>
      <c r="Z84" s="159">
        <v>0</v>
      </c>
      <c r="AA84" s="159">
        <v>0</v>
      </c>
      <c r="AB84" s="159">
        <v>0</v>
      </c>
      <c r="AC84" s="159">
        <v>0</v>
      </c>
      <c r="AD84" s="207">
        <v>40814</v>
      </c>
      <c r="AE84" s="200">
        <v>20.059167992514784</v>
      </c>
      <c r="AF84" s="200">
        <v>25.945933408812333</v>
      </c>
      <c r="AG84" s="200">
        <v>22.68728837592527</v>
      </c>
      <c r="AH84" s="200">
        <v>0</v>
      </c>
      <c r="AI84" s="200">
        <v>0</v>
      </c>
      <c r="AJ84" s="200">
        <v>0</v>
      </c>
      <c r="AL84" s="197">
        <f t="shared" si="9"/>
        <v>46787.770357817579</v>
      </c>
      <c r="AM84" s="197" t="str">
        <f t="shared" si="10"/>
        <v>Box Medium 4</v>
      </c>
      <c r="AN84" s="3">
        <f t="shared" si="11"/>
        <v>10.386350664662</v>
      </c>
      <c r="AO84" s="3">
        <f t="shared" si="12"/>
        <v>4.0090715438898998</v>
      </c>
      <c r="AP84" s="3">
        <f t="shared" si="13"/>
        <v>0</v>
      </c>
      <c r="AQ84" s="3">
        <f t="shared" si="14"/>
        <v>0</v>
      </c>
      <c r="AR84" s="3">
        <f t="shared" si="15"/>
        <v>4.0090715438898998</v>
      </c>
      <c r="AS84" s="81">
        <f t="shared" si="16"/>
        <v>1</v>
      </c>
      <c r="AT84" s="81">
        <f t="shared" si="17"/>
        <v>0</v>
      </c>
    </row>
    <row r="85" spans="1:46" x14ac:dyDescent="0.25">
      <c r="A85" t="s">
        <v>805</v>
      </c>
      <c r="B85">
        <v>2050</v>
      </c>
      <c r="C85" t="s">
        <v>680</v>
      </c>
      <c r="D85" t="s">
        <v>806</v>
      </c>
      <c r="E85" t="s">
        <v>1028</v>
      </c>
      <c r="F85">
        <v>3</v>
      </c>
      <c r="G85" t="s">
        <v>1820</v>
      </c>
      <c r="H85" s="460">
        <v>2797.9014221972757</v>
      </c>
      <c r="I85">
        <v>1200</v>
      </c>
      <c r="J85">
        <v>0</v>
      </c>
      <c r="K85" s="67">
        <v>0</v>
      </c>
      <c r="L85" s="159">
        <v>150</v>
      </c>
      <c r="M85" s="159">
        <v>23152</v>
      </c>
      <c r="N85" s="159">
        <v>1920</v>
      </c>
      <c r="O85" s="159">
        <v>506</v>
      </c>
      <c r="P85" s="159">
        <v>3382</v>
      </c>
      <c r="Q85" s="159">
        <v>1500</v>
      </c>
      <c r="R85" s="159">
        <v>2000</v>
      </c>
      <c r="S85" s="159">
        <v>16284</v>
      </c>
      <c r="T85" s="159">
        <v>44</v>
      </c>
      <c r="U85" s="159">
        <v>120</v>
      </c>
      <c r="V85" s="159">
        <v>0</v>
      </c>
      <c r="W85" s="159">
        <v>186</v>
      </c>
      <c r="X85" s="159">
        <v>0</v>
      </c>
      <c r="Y85" s="159">
        <v>0</v>
      </c>
      <c r="Z85" s="159">
        <v>0</v>
      </c>
      <c r="AA85" s="159">
        <v>0</v>
      </c>
      <c r="AB85" s="159">
        <v>0</v>
      </c>
      <c r="AC85" s="159">
        <v>0</v>
      </c>
      <c r="AD85" s="207">
        <v>49244</v>
      </c>
      <c r="AE85" s="200">
        <v>12.760666802307371</v>
      </c>
      <c r="AF85" s="200">
        <v>17.294064559174462</v>
      </c>
      <c r="AG85" s="200">
        <v>18.181149062783515</v>
      </c>
      <c r="AH85" s="200">
        <v>0</v>
      </c>
      <c r="AI85" s="200">
        <v>0</v>
      </c>
      <c r="AJ85" s="200">
        <v>0</v>
      </c>
      <c r="AL85" s="197">
        <f t="shared" si="9"/>
        <v>56451.633348859919</v>
      </c>
      <c r="AM85" s="197" t="str">
        <f t="shared" si="10"/>
        <v>Box Medium 4</v>
      </c>
      <c r="AN85" s="3">
        <f t="shared" si="11"/>
        <v>13.546584005628052</v>
      </c>
      <c r="AO85" s="3">
        <f t="shared" si="12"/>
        <v>5.2289034144260569</v>
      </c>
      <c r="AP85" s="3">
        <f t="shared" si="13"/>
        <v>0</v>
      </c>
      <c r="AQ85" s="3">
        <f t="shared" si="14"/>
        <v>0</v>
      </c>
      <c r="AR85" s="3">
        <f t="shared" si="15"/>
        <v>5.2289034144260569</v>
      </c>
      <c r="AS85" s="81">
        <f t="shared" si="16"/>
        <v>1</v>
      </c>
      <c r="AT85" s="81">
        <f t="shared" si="17"/>
        <v>0</v>
      </c>
    </row>
    <row r="86" spans="1:46" x14ac:dyDescent="0.25">
      <c r="A86" t="s">
        <v>807</v>
      </c>
      <c r="B86">
        <v>2050</v>
      </c>
      <c r="C86" t="s">
        <v>680</v>
      </c>
      <c r="D86" t="s">
        <v>806</v>
      </c>
      <c r="E86" t="s">
        <v>1028</v>
      </c>
      <c r="F86">
        <v>3</v>
      </c>
      <c r="G86" t="s">
        <v>1821</v>
      </c>
      <c r="H86" s="460">
        <v>2904.2158137484894</v>
      </c>
      <c r="I86">
        <v>1200</v>
      </c>
      <c r="J86">
        <v>0</v>
      </c>
      <c r="K86" s="67">
        <v>2.5344000000000002</v>
      </c>
      <c r="L86" s="159">
        <v>150</v>
      </c>
      <c r="M86" s="159">
        <v>13087</v>
      </c>
      <c r="N86" s="159">
        <v>220</v>
      </c>
      <c r="O86" s="159">
        <v>392</v>
      </c>
      <c r="P86" s="159">
        <v>3392</v>
      </c>
      <c r="Q86" s="159">
        <v>1500</v>
      </c>
      <c r="R86" s="159">
        <v>2000</v>
      </c>
      <c r="S86" s="159">
        <v>16284</v>
      </c>
      <c r="T86" s="159">
        <v>0</v>
      </c>
      <c r="U86" s="159">
        <v>814</v>
      </c>
      <c r="V86" s="159">
        <v>4500</v>
      </c>
      <c r="W86" s="159">
        <v>186</v>
      </c>
      <c r="X86" s="159">
        <v>120</v>
      </c>
      <c r="Y86" s="159">
        <v>1500</v>
      </c>
      <c r="Z86" s="159">
        <v>935</v>
      </c>
      <c r="AA86" s="159">
        <v>0</v>
      </c>
      <c r="AB86" s="159">
        <v>0</v>
      </c>
      <c r="AC86" s="159">
        <v>0</v>
      </c>
      <c r="AD86" s="207">
        <v>45080</v>
      </c>
      <c r="AE86" s="200">
        <v>32.854075484578651</v>
      </c>
      <c r="AF86" s="200">
        <v>27.964457065558925</v>
      </c>
      <c r="AG86" s="200">
        <v>23.306562271399347</v>
      </c>
      <c r="AH86" s="200">
        <v>0</v>
      </c>
      <c r="AI86" s="200">
        <v>0</v>
      </c>
      <c r="AJ86" s="200">
        <v>0</v>
      </c>
      <c r="AL86" s="197">
        <f t="shared" si="9"/>
        <v>51678.16650488598</v>
      </c>
      <c r="AM86" s="197" t="str">
        <f t="shared" si="10"/>
        <v>Box Medium 4</v>
      </c>
      <c r="AN86" s="3">
        <f t="shared" si="11"/>
        <v>9.6476524234438461</v>
      </c>
      <c r="AO86" s="3">
        <f t="shared" si="12"/>
        <v>3.723938276777587</v>
      </c>
      <c r="AP86" s="3">
        <f t="shared" si="13"/>
        <v>0</v>
      </c>
      <c r="AQ86" s="3">
        <f t="shared" si="14"/>
        <v>0</v>
      </c>
      <c r="AR86" s="3">
        <f t="shared" si="15"/>
        <v>3.723938276777587</v>
      </c>
      <c r="AS86" s="81">
        <f t="shared" si="16"/>
        <v>1</v>
      </c>
      <c r="AT86" s="81">
        <f t="shared" si="17"/>
        <v>0</v>
      </c>
    </row>
    <row r="87" spans="1:46" x14ac:dyDescent="0.25">
      <c r="A87" t="s">
        <v>807</v>
      </c>
      <c r="B87">
        <v>2050</v>
      </c>
      <c r="C87" t="s">
        <v>680</v>
      </c>
      <c r="D87" t="s">
        <v>806</v>
      </c>
      <c r="E87" t="s">
        <v>1028</v>
      </c>
      <c r="F87">
        <v>3</v>
      </c>
      <c r="G87" t="s">
        <v>1822</v>
      </c>
      <c r="H87" s="460">
        <v>2773.7218466861095</v>
      </c>
      <c r="I87">
        <v>1200</v>
      </c>
      <c r="J87">
        <v>0</v>
      </c>
      <c r="K87" s="67">
        <v>3.6115200000000005</v>
      </c>
      <c r="L87" s="159">
        <v>150</v>
      </c>
      <c r="M87" s="159">
        <v>11720</v>
      </c>
      <c r="N87" s="159">
        <v>220</v>
      </c>
      <c r="O87" s="159">
        <v>392</v>
      </c>
      <c r="P87" s="159">
        <v>2315</v>
      </c>
      <c r="Q87" s="159">
        <v>1500</v>
      </c>
      <c r="R87" s="159">
        <v>2000</v>
      </c>
      <c r="S87" s="159">
        <v>16284</v>
      </c>
      <c r="T87" s="159">
        <v>0</v>
      </c>
      <c r="U87" s="159">
        <v>1160</v>
      </c>
      <c r="V87" s="159">
        <v>4500</v>
      </c>
      <c r="W87" s="159">
        <v>186</v>
      </c>
      <c r="X87" s="159">
        <v>120</v>
      </c>
      <c r="Y87" s="159">
        <v>1500</v>
      </c>
      <c r="Z87" s="159">
        <v>969</v>
      </c>
      <c r="AA87" s="159">
        <v>0</v>
      </c>
      <c r="AB87" s="159">
        <v>0</v>
      </c>
      <c r="AC87" s="159">
        <v>0</v>
      </c>
      <c r="AD87" s="207">
        <v>43016</v>
      </c>
      <c r="AE87" s="200">
        <v>28.981148498541721</v>
      </c>
      <c r="AF87" s="200">
        <v>22.72657540339161</v>
      </c>
      <c r="AG87" s="200">
        <v>20.467237753331254</v>
      </c>
      <c r="AH87" s="200">
        <v>0</v>
      </c>
      <c r="AI87" s="200">
        <v>0</v>
      </c>
      <c r="AJ87" s="200">
        <v>0</v>
      </c>
      <c r="AL87" s="197">
        <f t="shared" si="9"/>
        <v>49312.067665798029</v>
      </c>
      <c r="AM87" s="197" t="str">
        <f t="shared" si="10"/>
        <v>Box Medium 4</v>
      </c>
      <c r="AN87" s="3">
        <f t="shared" si="11"/>
        <v>11.051837193373625</v>
      </c>
      <c r="AO87" s="3">
        <f t="shared" si="12"/>
        <v>4.2659455115845644</v>
      </c>
      <c r="AP87" s="3">
        <f t="shared" si="13"/>
        <v>0</v>
      </c>
      <c r="AQ87" s="3">
        <f t="shared" si="14"/>
        <v>0</v>
      </c>
      <c r="AR87" s="3">
        <f t="shared" si="15"/>
        <v>4.2659455115845644</v>
      </c>
      <c r="AS87" s="81">
        <f t="shared" si="16"/>
        <v>1</v>
      </c>
      <c r="AT87" s="81">
        <f t="shared" si="17"/>
        <v>0</v>
      </c>
    </row>
    <row r="88" spans="1:46" x14ac:dyDescent="0.25">
      <c r="A88" t="s">
        <v>808</v>
      </c>
      <c r="B88">
        <v>2050</v>
      </c>
      <c r="C88" t="s">
        <v>680</v>
      </c>
      <c r="D88" t="s">
        <v>806</v>
      </c>
      <c r="E88" t="s">
        <v>1028</v>
      </c>
      <c r="F88">
        <v>3</v>
      </c>
      <c r="G88" t="s">
        <v>1823</v>
      </c>
      <c r="H88" s="460">
        <v>3098.1084044819281</v>
      </c>
      <c r="I88">
        <v>1200</v>
      </c>
      <c r="J88">
        <v>119.99999997072871</v>
      </c>
      <c r="K88" s="67">
        <v>85.894500000000008</v>
      </c>
      <c r="L88" s="159">
        <v>0</v>
      </c>
      <c r="M88" s="159">
        <v>11049</v>
      </c>
      <c r="N88" s="159">
        <v>220</v>
      </c>
      <c r="O88" s="159">
        <v>0</v>
      </c>
      <c r="P88" s="159">
        <v>0</v>
      </c>
      <c r="Q88" s="159">
        <v>1500</v>
      </c>
      <c r="R88" s="159">
        <v>2000</v>
      </c>
      <c r="S88" s="159">
        <v>16284</v>
      </c>
      <c r="T88" s="159">
        <v>1393</v>
      </c>
      <c r="U88" s="159">
        <v>7731</v>
      </c>
      <c r="V88" s="159">
        <v>4500</v>
      </c>
      <c r="W88" s="159">
        <v>186</v>
      </c>
      <c r="X88" s="159">
        <v>0</v>
      </c>
      <c r="Y88" s="159">
        <v>1500</v>
      </c>
      <c r="Z88" s="159">
        <v>2215</v>
      </c>
      <c r="AA88" s="159">
        <v>0</v>
      </c>
      <c r="AB88" s="159">
        <v>0</v>
      </c>
      <c r="AC88" s="159">
        <v>0</v>
      </c>
      <c r="AD88" s="207">
        <v>48578</v>
      </c>
      <c r="AE88" s="200">
        <v>87.701953947672891</v>
      </c>
      <c r="AF88" s="200">
        <v>43.398070494235256</v>
      </c>
      <c r="AG88" s="200">
        <v>28.082258307412538</v>
      </c>
      <c r="AH88" s="200">
        <v>393</v>
      </c>
      <c r="AI88" s="200">
        <v>666</v>
      </c>
      <c r="AJ88" s="200">
        <v>855</v>
      </c>
      <c r="AL88" s="197">
        <f t="shared" si="9"/>
        <v>55688.153781596076</v>
      </c>
      <c r="AM88" s="197" t="str">
        <f t="shared" si="10"/>
        <v>Box Medium 4</v>
      </c>
      <c r="AN88" s="3">
        <f t="shared" si="11"/>
        <v>3.7702495600070636</v>
      </c>
      <c r="AO88" s="3">
        <f t="shared" si="12"/>
        <v>1.4552946181390674</v>
      </c>
      <c r="AP88" s="3">
        <f t="shared" si="13"/>
        <v>24.599835957597527</v>
      </c>
      <c r="AQ88" s="3">
        <f t="shared" si="14"/>
        <v>0.88559409447351101</v>
      </c>
      <c r="AR88" s="3">
        <f t="shared" si="15"/>
        <v>2.3408887126125784</v>
      </c>
      <c r="AS88" s="81">
        <f t="shared" si="16"/>
        <v>0.62168466629704389</v>
      </c>
      <c r="AT88" s="81">
        <f t="shared" si="17"/>
        <v>0.37831533370295617</v>
      </c>
    </row>
    <row r="89" spans="1:46" x14ac:dyDescent="0.25">
      <c r="A89" t="s">
        <v>808</v>
      </c>
      <c r="B89">
        <v>2050</v>
      </c>
      <c r="C89" t="s">
        <v>680</v>
      </c>
      <c r="D89" t="s">
        <v>806</v>
      </c>
      <c r="E89" t="s">
        <v>1028</v>
      </c>
      <c r="F89">
        <v>3</v>
      </c>
      <c r="G89" t="s">
        <v>1824</v>
      </c>
      <c r="H89" s="460">
        <v>2998.12089299945</v>
      </c>
      <c r="I89">
        <v>1200</v>
      </c>
      <c r="J89">
        <v>119.99999997072871</v>
      </c>
      <c r="K89" s="67">
        <v>78.9435</v>
      </c>
      <c r="L89" s="159">
        <v>0</v>
      </c>
      <c r="M89" s="159">
        <v>8172</v>
      </c>
      <c r="N89" s="159">
        <v>220</v>
      </c>
      <c r="O89" s="159">
        <v>0</v>
      </c>
      <c r="P89" s="159">
        <v>2459</v>
      </c>
      <c r="Q89" s="159">
        <v>1500</v>
      </c>
      <c r="R89" s="159">
        <v>2000</v>
      </c>
      <c r="S89" s="159">
        <v>16284</v>
      </c>
      <c r="T89" s="159">
        <v>1093</v>
      </c>
      <c r="U89" s="159">
        <v>7105</v>
      </c>
      <c r="V89" s="159">
        <v>4500</v>
      </c>
      <c r="W89" s="159">
        <v>186</v>
      </c>
      <c r="X89" s="159">
        <v>0</v>
      </c>
      <c r="Y89" s="159">
        <v>1500</v>
      </c>
      <c r="Z89" s="159">
        <v>1653</v>
      </c>
      <c r="AA89" s="159">
        <v>0</v>
      </c>
      <c r="AB89" s="159">
        <v>0</v>
      </c>
      <c r="AC89" s="159">
        <v>0</v>
      </c>
      <c r="AD89" s="207">
        <v>46672</v>
      </c>
      <c r="AE89" s="200">
        <v>30.714387454788024</v>
      </c>
      <c r="AF89" s="200">
        <v>21.635732646574446</v>
      </c>
      <c r="AG89" s="200">
        <v>16.340436021302054</v>
      </c>
      <c r="AH89" s="200">
        <v>402</v>
      </c>
      <c r="AI89" s="200">
        <v>576</v>
      </c>
      <c r="AJ89" s="200">
        <v>751</v>
      </c>
      <c r="AL89" s="197">
        <f t="shared" si="9"/>
        <v>53503.180725732884</v>
      </c>
      <c r="AM89" s="197" t="str">
        <f t="shared" si="10"/>
        <v>Box Medium 4</v>
      </c>
      <c r="AN89" s="3">
        <f t="shared" si="11"/>
        <v>6.7019689891448122</v>
      </c>
      <c r="AO89" s="3">
        <f t="shared" si="12"/>
        <v>2.58692143466999</v>
      </c>
      <c r="AP89" s="3">
        <f t="shared" si="13"/>
        <v>21.758919805634608</v>
      </c>
      <c r="AQ89" s="3">
        <f t="shared" si="14"/>
        <v>0.7833211130028459</v>
      </c>
      <c r="AR89" s="3">
        <f t="shared" si="15"/>
        <v>3.3702425476728362</v>
      </c>
      <c r="AS89" s="81">
        <f t="shared" si="16"/>
        <v>0.76757722866452682</v>
      </c>
      <c r="AT89" s="81">
        <f t="shared" si="17"/>
        <v>0.23242277133547309</v>
      </c>
    </row>
    <row r="90" spans="1:46" x14ac:dyDescent="0.25">
      <c r="A90" t="s">
        <v>230</v>
      </c>
      <c r="B90">
        <v>2050</v>
      </c>
      <c r="C90" t="s">
        <v>680</v>
      </c>
      <c r="D90" t="s">
        <v>806</v>
      </c>
      <c r="E90" t="s">
        <v>1028</v>
      </c>
      <c r="F90">
        <v>3</v>
      </c>
      <c r="G90" t="s">
        <v>1825</v>
      </c>
      <c r="H90" s="460">
        <v>2730.0962711274951</v>
      </c>
      <c r="I90">
        <v>1200</v>
      </c>
      <c r="J90">
        <v>150.00000001001371</v>
      </c>
      <c r="K90" s="67">
        <v>114.19500000000001</v>
      </c>
      <c r="L90" s="159">
        <v>0</v>
      </c>
      <c r="M90" s="159">
        <v>0</v>
      </c>
      <c r="N90" s="159">
        <v>0</v>
      </c>
      <c r="O90" s="159">
        <v>0</v>
      </c>
      <c r="P90" s="159">
        <v>0</v>
      </c>
      <c r="Q90" s="159">
        <v>1500</v>
      </c>
      <c r="R90" s="159">
        <v>2000</v>
      </c>
      <c r="S90" s="159">
        <v>16284</v>
      </c>
      <c r="T90" s="159">
        <v>0</v>
      </c>
      <c r="U90" s="159">
        <v>10278</v>
      </c>
      <c r="V90" s="159">
        <v>4500</v>
      </c>
      <c r="W90" s="159">
        <v>186</v>
      </c>
      <c r="X90" s="159">
        <v>0</v>
      </c>
      <c r="Y90" s="159">
        <v>1500</v>
      </c>
      <c r="Z90" s="159">
        <v>1881</v>
      </c>
      <c r="AA90" s="159">
        <v>0</v>
      </c>
      <c r="AB90" s="159">
        <v>0</v>
      </c>
      <c r="AC90" s="159">
        <v>0</v>
      </c>
      <c r="AD90" s="207">
        <v>38129</v>
      </c>
      <c r="AE90" s="200">
        <v>0</v>
      </c>
      <c r="AF90" s="200">
        <v>0</v>
      </c>
      <c r="AG90" s="200">
        <v>0</v>
      </c>
      <c r="AH90" s="200">
        <v>367</v>
      </c>
      <c r="AI90" s="200">
        <v>630</v>
      </c>
      <c r="AJ90" s="200">
        <v>808</v>
      </c>
      <c r="AL90" s="197">
        <f t="shared" si="9"/>
        <v>43709.77840871334</v>
      </c>
      <c r="AM90" s="197" t="str">
        <f t="shared" si="10"/>
        <v>Box Medium 4</v>
      </c>
      <c r="AN90" s="3">
        <f t="shared" si="11"/>
        <v>0</v>
      </c>
      <c r="AO90" s="3">
        <f t="shared" si="12"/>
        <v>0</v>
      </c>
      <c r="AP90" s="3">
        <f t="shared" si="13"/>
        <v>46.471224228565752</v>
      </c>
      <c r="AQ90" s="3">
        <f t="shared" si="14"/>
        <v>1.672964072228367</v>
      </c>
      <c r="AR90" s="3">
        <f t="shared" si="15"/>
        <v>1.672964072228367</v>
      </c>
      <c r="AS90" s="81">
        <f t="shared" si="16"/>
        <v>0</v>
      </c>
      <c r="AT90" s="81">
        <f t="shared" si="17"/>
        <v>1</v>
      </c>
    </row>
    <row r="91" spans="1:46" x14ac:dyDescent="0.25">
      <c r="A91" t="s">
        <v>496</v>
      </c>
      <c r="B91">
        <v>2050</v>
      </c>
      <c r="C91" t="s">
        <v>680</v>
      </c>
      <c r="D91" t="s">
        <v>806</v>
      </c>
      <c r="E91" t="s">
        <v>1028</v>
      </c>
      <c r="F91">
        <v>3</v>
      </c>
      <c r="G91" t="s">
        <v>1826</v>
      </c>
      <c r="H91" s="460">
        <v>2560.6026174340795</v>
      </c>
      <c r="I91">
        <v>1200</v>
      </c>
      <c r="J91">
        <v>150.00000001001371</v>
      </c>
      <c r="K91" s="67">
        <v>3.1363200000000004</v>
      </c>
      <c r="L91" s="159">
        <v>0</v>
      </c>
      <c r="M91" s="159">
        <v>0</v>
      </c>
      <c r="N91" s="159">
        <v>0</v>
      </c>
      <c r="O91" s="159">
        <v>0</v>
      </c>
      <c r="P91" s="159">
        <v>0</v>
      </c>
      <c r="Q91" s="159">
        <v>1500</v>
      </c>
      <c r="R91" s="159">
        <v>2000</v>
      </c>
      <c r="S91" s="159">
        <v>16284</v>
      </c>
      <c r="T91" s="159">
        <v>0</v>
      </c>
      <c r="U91" s="159">
        <v>1008</v>
      </c>
      <c r="V91" s="159">
        <v>4500</v>
      </c>
      <c r="W91" s="159">
        <v>186</v>
      </c>
      <c r="X91" s="159">
        <v>0</v>
      </c>
      <c r="Y91" s="159">
        <v>1500</v>
      </c>
      <c r="Z91" s="159">
        <v>1924</v>
      </c>
      <c r="AA91" s="159">
        <v>10274</v>
      </c>
      <c r="AB91" s="159">
        <v>2442</v>
      </c>
      <c r="AC91" s="159">
        <v>0</v>
      </c>
      <c r="AD91" s="207">
        <v>41618</v>
      </c>
      <c r="AE91" s="200">
        <v>55.7640268181962</v>
      </c>
      <c r="AF91" s="200">
        <v>36.753941191098725</v>
      </c>
      <c r="AG91" s="200">
        <v>27.919621920583602</v>
      </c>
      <c r="AH91" s="200">
        <v>0</v>
      </c>
      <c r="AI91" s="200">
        <v>0</v>
      </c>
      <c r="AJ91" s="200">
        <v>0</v>
      </c>
      <c r="AL91" s="197">
        <f t="shared" si="9"/>
        <v>47709.448393973929</v>
      </c>
      <c r="AM91" s="197" t="str">
        <f t="shared" si="10"/>
        <v>Box Medium 4</v>
      </c>
      <c r="AN91" s="3">
        <f t="shared" si="11"/>
        <v>7.8218063991666167</v>
      </c>
      <c r="AO91" s="3">
        <f t="shared" si="12"/>
        <v>3.0191722260453147</v>
      </c>
      <c r="AP91" s="3">
        <f t="shared" si="13"/>
        <v>0</v>
      </c>
      <c r="AQ91" s="3">
        <f t="shared" si="14"/>
        <v>0</v>
      </c>
      <c r="AR91" s="3">
        <f t="shared" si="15"/>
        <v>3.0191722260453147</v>
      </c>
      <c r="AS91" s="81">
        <f t="shared" si="16"/>
        <v>1</v>
      </c>
      <c r="AT91" s="81">
        <f t="shared" si="17"/>
        <v>0</v>
      </c>
    </row>
    <row r="92" spans="1:46" x14ac:dyDescent="0.25">
      <c r="A92" t="s">
        <v>828</v>
      </c>
      <c r="B92">
        <v>2050</v>
      </c>
      <c r="C92" t="s">
        <v>680</v>
      </c>
      <c r="D92" t="s">
        <v>806</v>
      </c>
      <c r="E92" t="s">
        <v>1028</v>
      </c>
      <c r="F92">
        <v>3</v>
      </c>
      <c r="G92" t="s">
        <v>1827</v>
      </c>
      <c r="H92" s="460">
        <v>2535.6305607201284</v>
      </c>
      <c r="I92">
        <v>1200</v>
      </c>
      <c r="J92">
        <v>150.00000001001371</v>
      </c>
      <c r="K92" s="67">
        <v>23.3355</v>
      </c>
      <c r="L92" s="159">
        <v>0</v>
      </c>
      <c r="M92" s="159">
        <v>0</v>
      </c>
      <c r="N92" s="159">
        <v>0</v>
      </c>
      <c r="O92" s="159">
        <v>0</v>
      </c>
      <c r="P92" s="159">
        <v>0</v>
      </c>
      <c r="Q92" s="159">
        <v>1500</v>
      </c>
      <c r="R92" s="159">
        <v>2000</v>
      </c>
      <c r="S92" s="159">
        <v>16284</v>
      </c>
      <c r="T92" s="159">
        <v>0</v>
      </c>
      <c r="U92" s="159">
        <v>2100</v>
      </c>
      <c r="V92" s="159">
        <v>4500</v>
      </c>
      <c r="W92" s="159">
        <v>186</v>
      </c>
      <c r="X92" s="159">
        <v>0</v>
      </c>
      <c r="Y92" s="159">
        <v>1500</v>
      </c>
      <c r="Z92" s="159">
        <v>2405</v>
      </c>
      <c r="AA92" s="159">
        <v>4821</v>
      </c>
      <c r="AB92" s="159">
        <v>1838</v>
      </c>
      <c r="AC92" s="159">
        <v>0</v>
      </c>
      <c r="AD92" s="207">
        <v>37134</v>
      </c>
      <c r="AE92" s="200">
        <v>57.026608800043022</v>
      </c>
      <c r="AF92" s="200">
        <v>33.361499951502346</v>
      </c>
      <c r="AG92" s="200">
        <v>25.405867107676272</v>
      </c>
      <c r="AH92" s="200">
        <v>0</v>
      </c>
      <c r="AI92" s="200">
        <v>0</v>
      </c>
      <c r="AJ92" s="200">
        <v>0</v>
      </c>
      <c r="AL92" s="197">
        <f t="shared" si="9"/>
        <v>42569.144520684029</v>
      </c>
      <c r="AM92" s="197" t="str">
        <f t="shared" si="10"/>
        <v>Box Medium 4</v>
      </c>
      <c r="AN92" s="3">
        <f t="shared" si="11"/>
        <v>8.5462325449127583</v>
      </c>
      <c r="AO92" s="3">
        <f t="shared" si="12"/>
        <v>3.2987965464952356</v>
      </c>
      <c r="AP92" s="3">
        <f t="shared" si="13"/>
        <v>0</v>
      </c>
      <c r="AQ92" s="3">
        <f t="shared" si="14"/>
        <v>0</v>
      </c>
      <c r="AR92" s="3">
        <f t="shared" si="15"/>
        <v>3.2987965464952356</v>
      </c>
      <c r="AS92" s="81">
        <f t="shared" si="16"/>
        <v>1</v>
      </c>
      <c r="AT92" s="81">
        <f t="shared" si="17"/>
        <v>0</v>
      </c>
    </row>
    <row r="93" spans="1:46" x14ac:dyDescent="0.25">
      <c r="A93" t="s">
        <v>805</v>
      </c>
      <c r="B93">
        <v>2023</v>
      </c>
      <c r="C93" t="s">
        <v>680</v>
      </c>
      <c r="D93" t="s">
        <v>518</v>
      </c>
      <c r="E93" t="s">
        <v>1028</v>
      </c>
      <c r="F93">
        <v>3</v>
      </c>
      <c r="G93" t="s">
        <v>1828</v>
      </c>
      <c r="H93" s="460">
        <v>2994.2047834512814</v>
      </c>
      <c r="I93">
        <v>1200</v>
      </c>
      <c r="J93">
        <v>0</v>
      </c>
      <c r="K93" s="67">
        <v>0</v>
      </c>
      <c r="L93" s="159">
        <v>150</v>
      </c>
      <c r="M93" s="159">
        <v>14108</v>
      </c>
      <c r="N93" s="159">
        <v>1920</v>
      </c>
      <c r="O93" s="159">
        <v>506</v>
      </c>
      <c r="P93" s="159">
        <v>4138</v>
      </c>
      <c r="Q93" s="159">
        <v>1500</v>
      </c>
      <c r="R93" s="159">
        <v>2000</v>
      </c>
      <c r="S93" s="159">
        <v>16000</v>
      </c>
      <c r="T93" s="159">
        <v>98</v>
      </c>
      <c r="U93" s="159">
        <v>120</v>
      </c>
      <c r="V93" s="159">
        <v>0</v>
      </c>
      <c r="W93" s="159">
        <v>186</v>
      </c>
      <c r="X93" s="159">
        <v>0</v>
      </c>
      <c r="Y93" s="159">
        <v>0</v>
      </c>
      <c r="Z93" s="159">
        <v>0</v>
      </c>
      <c r="AA93" s="159">
        <v>0</v>
      </c>
      <c r="AB93" s="159">
        <v>0</v>
      </c>
      <c r="AC93" s="159">
        <v>0</v>
      </c>
      <c r="AD93" s="207">
        <v>40726</v>
      </c>
      <c r="AE93" s="200">
        <v>15.022902001773257</v>
      </c>
      <c r="AF93" s="200">
        <v>16.080920160015094</v>
      </c>
      <c r="AG93" s="200">
        <v>14.934999782959263</v>
      </c>
      <c r="AH93" s="200">
        <v>0</v>
      </c>
      <c r="AI93" s="200">
        <v>0</v>
      </c>
      <c r="AJ93" s="200">
        <v>0</v>
      </c>
      <c r="AL93" s="197">
        <f t="shared" si="9"/>
        <v>46686.890174755688</v>
      </c>
      <c r="AM93" s="197" t="str">
        <f t="shared" si="10"/>
        <v>Box Medium 4</v>
      </c>
      <c r="AN93" s="3">
        <f t="shared" si="11"/>
        <v>15.639033978805193</v>
      </c>
      <c r="AO93" s="3">
        <f t="shared" si="12"/>
        <v>6.0365770541212038</v>
      </c>
      <c r="AP93" s="3">
        <f t="shared" si="13"/>
        <v>0</v>
      </c>
      <c r="AQ93" s="3">
        <f t="shared" si="14"/>
        <v>0</v>
      </c>
      <c r="AR93" s="3">
        <f t="shared" si="15"/>
        <v>6.0365770541212038</v>
      </c>
      <c r="AS93" s="81">
        <f t="shared" si="16"/>
        <v>1</v>
      </c>
      <c r="AT93" s="81">
        <f t="shared" si="17"/>
        <v>0</v>
      </c>
    </row>
    <row r="94" spans="1:46" x14ac:dyDescent="0.25">
      <c r="A94" t="s">
        <v>805</v>
      </c>
      <c r="B94">
        <v>2023</v>
      </c>
      <c r="C94" t="s">
        <v>680</v>
      </c>
      <c r="D94" t="s">
        <v>518</v>
      </c>
      <c r="E94" t="s">
        <v>1028</v>
      </c>
      <c r="F94">
        <v>3</v>
      </c>
      <c r="G94" t="s">
        <v>1829</v>
      </c>
      <c r="H94" s="460">
        <v>2853.5548007072284</v>
      </c>
      <c r="I94">
        <v>1200</v>
      </c>
      <c r="J94">
        <v>0</v>
      </c>
      <c r="K94" s="67">
        <v>0</v>
      </c>
      <c r="L94" s="159">
        <v>150</v>
      </c>
      <c r="M94" s="159">
        <v>21291</v>
      </c>
      <c r="N94" s="159">
        <v>1920</v>
      </c>
      <c r="O94" s="159">
        <v>506</v>
      </c>
      <c r="P94" s="159">
        <v>3366</v>
      </c>
      <c r="Q94" s="159">
        <v>1500</v>
      </c>
      <c r="R94" s="159">
        <v>2000</v>
      </c>
      <c r="S94" s="159">
        <v>16000</v>
      </c>
      <c r="T94" s="159">
        <v>98</v>
      </c>
      <c r="U94" s="159">
        <v>120</v>
      </c>
      <c r="V94" s="159">
        <v>0</v>
      </c>
      <c r="W94" s="159">
        <v>186</v>
      </c>
      <c r="X94" s="159">
        <v>0</v>
      </c>
      <c r="Y94" s="159">
        <v>0</v>
      </c>
      <c r="Z94" s="159">
        <v>0</v>
      </c>
      <c r="AA94" s="159">
        <v>0</v>
      </c>
      <c r="AB94" s="159">
        <v>0</v>
      </c>
      <c r="AC94" s="159">
        <v>0</v>
      </c>
      <c r="AD94" s="207">
        <v>47137</v>
      </c>
      <c r="AE94" s="200">
        <v>9.1389673465248968</v>
      </c>
      <c r="AF94" s="200">
        <v>13.9739138497574</v>
      </c>
      <c r="AG94" s="200">
        <v>11.119116872445792</v>
      </c>
      <c r="AH94" s="200">
        <v>0</v>
      </c>
      <c r="AI94" s="200">
        <v>0</v>
      </c>
      <c r="AJ94" s="200">
        <v>0</v>
      </c>
      <c r="AL94" s="197">
        <f t="shared" si="9"/>
        <v>54036.240783957641</v>
      </c>
      <c r="AM94" s="197" t="str">
        <f t="shared" si="10"/>
        <v>Box Medium 4</v>
      </c>
      <c r="AN94" s="3">
        <f t="shared" si="11"/>
        <v>21.223516529898227</v>
      </c>
      <c r="AO94" s="3">
        <f t="shared" si="12"/>
        <v>8.1921551590575774</v>
      </c>
      <c r="AP94" s="3">
        <f t="shared" si="13"/>
        <v>0</v>
      </c>
      <c r="AQ94" s="3">
        <f t="shared" si="14"/>
        <v>0</v>
      </c>
      <c r="AR94" s="3">
        <f t="shared" si="15"/>
        <v>8.1921551590575774</v>
      </c>
      <c r="AS94" s="81">
        <f t="shared" si="16"/>
        <v>1</v>
      </c>
      <c r="AT94" s="81">
        <f t="shared" si="17"/>
        <v>0</v>
      </c>
    </row>
    <row r="95" spans="1:46" x14ac:dyDescent="0.25">
      <c r="A95" t="s">
        <v>807</v>
      </c>
      <c r="B95">
        <v>2023</v>
      </c>
      <c r="C95" t="s">
        <v>680</v>
      </c>
      <c r="D95" t="s">
        <v>518</v>
      </c>
      <c r="E95" t="s">
        <v>1028</v>
      </c>
      <c r="F95">
        <v>3</v>
      </c>
      <c r="G95" t="s">
        <v>1830</v>
      </c>
      <c r="H95" s="460">
        <v>2994.1285945076315</v>
      </c>
      <c r="I95">
        <v>1200</v>
      </c>
      <c r="J95">
        <v>0</v>
      </c>
      <c r="K95" s="67">
        <v>2.5185600000000004</v>
      </c>
      <c r="L95" s="159">
        <v>150</v>
      </c>
      <c r="M95" s="159">
        <v>12945</v>
      </c>
      <c r="N95" s="159">
        <v>220</v>
      </c>
      <c r="O95" s="159">
        <v>392</v>
      </c>
      <c r="P95" s="159">
        <v>3661</v>
      </c>
      <c r="Q95" s="159">
        <v>1500</v>
      </c>
      <c r="R95" s="159">
        <v>2000</v>
      </c>
      <c r="S95" s="159">
        <v>16000</v>
      </c>
      <c r="T95" s="159">
        <v>0</v>
      </c>
      <c r="U95" s="159">
        <v>1763</v>
      </c>
      <c r="V95" s="159">
        <v>4500</v>
      </c>
      <c r="W95" s="159">
        <v>186</v>
      </c>
      <c r="X95" s="159">
        <v>120</v>
      </c>
      <c r="Y95" s="159">
        <v>1500</v>
      </c>
      <c r="Z95" s="159">
        <v>2209</v>
      </c>
      <c r="AA95" s="159">
        <v>0</v>
      </c>
      <c r="AB95" s="159">
        <v>0</v>
      </c>
      <c r="AC95" s="159">
        <v>0</v>
      </c>
      <c r="AD95" s="207">
        <v>47146</v>
      </c>
      <c r="AE95" s="200">
        <v>22.768222121456855</v>
      </c>
      <c r="AF95" s="200">
        <v>19.350152575882195</v>
      </c>
      <c r="AG95" s="200">
        <v>15.358992564866828</v>
      </c>
      <c r="AH95" s="200">
        <v>0</v>
      </c>
      <c r="AI95" s="200">
        <v>0</v>
      </c>
      <c r="AJ95" s="200">
        <v>0</v>
      </c>
      <c r="AL95" s="197">
        <f t="shared" si="9"/>
        <v>54046.558075407149</v>
      </c>
      <c r="AM95" s="197" t="str">
        <f t="shared" si="10"/>
        <v>Box Medium 4</v>
      </c>
      <c r="AN95" s="3">
        <f t="shared" si="11"/>
        <v>14.531836231802167</v>
      </c>
      <c r="AO95" s="3">
        <f t="shared" si="12"/>
        <v>5.6092050998821357</v>
      </c>
      <c r="AP95" s="3">
        <f t="shared" si="13"/>
        <v>0</v>
      </c>
      <c r="AQ95" s="3">
        <f t="shared" si="14"/>
        <v>0</v>
      </c>
      <c r="AR95" s="3">
        <f t="shared" si="15"/>
        <v>5.6092050998821357</v>
      </c>
      <c r="AS95" s="81">
        <f t="shared" si="16"/>
        <v>1</v>
      </c>
      <c r="AT95" s="81">
        <f t="shared" si="17"/>
        <v>0</v>
      </c>
    </row>
    <row r="96" spans="1:46" x14ac:dyDescent="0.25">
      <c r="A96" t="s">
        <v>807</v>
      </c>
      <c r="B96">
        <v>2023</v>
      </c>
      <c r="C96" t="s">
        <v>680</v>
      </c>
      <c r="D96" t="s">
        <v>518</v>
      </c>
      <c r="E96" t="s">
        <v>1028</v>
      </c>
      <c r="F96">
        <v>3</v>
      </c>
      <c r="G96" t="s">
        <v>1831</v>
      </c>
      <c r="H96" s="460">
        <v>2831.7683364138511</v>
      </c>
      <c r="I96">
        <v>1200</v>
      </c>
      <c r="J96">
        <v>0</v>
      </c>
      <c r="K96" s="67">
        <v>2.6136000000000004</v>
      </c>
      <c r="L96" s="159">
        <v>150</v>
      </c>
      <c r="M96" s="159">
        <v>10129</v>
      </c>
      <c r="N96" s="159">
        <v>220</v>
      </c>
      <c r="O96" s="159">
        <v>392</v>
      </c>
      <c r="P96" s="159">
        <v>2315</v>
      </c>
      <c r="Q96" s="159">
        <v>1500</v>
      </c>
      <c r="R96" s="159">
        <v>2000</v>
      </c>
      <c r="S96" s="159">
        <v>16000</v>
      </c>
      <c r="T96" s="159">
        <v>0</v>
      </c>
      <c r="U96" s="159">
        <v>1830</v>
      </c>
      <c r="V96" s="159">
        <v>4500</v>
      </c>
      <c r="W96" s="159">
        <v>186</v>
      </c>
      <c r="X96" s="159">
        <v>120</v>
      </c>
      <c r="Y96" s="159">
        <v>1500</v>
      </c>
      <c r="Z96" s="159">
        <v>2209</v>
      </c>
      <c r="AA96" s="159">
        <v>0</v>
      </c>
      <c r="AB96" s="159">
        <v>0</v>
      </c>
      <c r="AC96" s="159">
        <v>0</v>
      </c>
      <c r="AD96" s="207">
        <v>43051</v>
      </c>
      <c r="AE96" s="200">
        <v>19.195828726772671</v>
      </c>
      <c r="AF96" s="200">
        <v>16.154836106642886</v>
      </c>
      <c r="AG96" s="200">
        <v>12.337319795778294</v>
      </c>
      <c r="AH96" s="200">
        <v>0</v>
      </c>
      <c r="AI96" s="200">
        <v>0</v>
      </c>
      <c r="AJ96" s="200">
        <v>0</v>
      </c>
      <c r="AL96" s="197">
        <f t="shared" si="9"/>
        <v>49352.190465879467</v>
      </c>
      <c r="AM96" s="197" t="str">
        <f t="shared" si="10"/>
        <v>Box Medium 4</v>
      </c>
      <c r="AN96" s="3">
        <f t="shared" si="11"/>
        <v>17.978669208853731</v>
      </c>
      <c r="AO96" s="3">
        <f t="shared" si="12"/>
        <v>6.9396627794841201</v>
      </c>
      <c r="AP96" s="3">
        <f t="shared" si="13"/>
        <v>0</v>
      </c>
      <c r="AQ96" s="3">
        <f t="shared" si="14"/>
        <v>0</v>
      </c>
      <c r="AR96" s="3">
        <f t="shared" si="15"/>
        <v>6.9396627794841201</v>
      </c>
      <c r="AS96" s="81">
        <f t="shared" si="16"/>
        <v>1</v>
      </c>
      <c r="AT96" s="81">
        <f t="shared" si="17"/>
        <v>0</v>
      </c>
    </row>
    <row r="97" spans="1:46" x14ac:dyDescent="0.25">
      <c r="A97" t="s">
        <v>808</v>
      </c>
      <c r="B97">
        <v>2023</v>
      </c>
      <c r="C97" t="s">
        <v>680</v>
      </c>
      <c r="D97" t="s">
        <v>518</v>
      </c>
      <c r="E97" t="s">
        <v>1028</v>
      </c>
      <c r="F97">
        <v>3</v>
      </c>
      <c r="G97" t="s">
        <v>1832</v>
      </c>
      <c r="H97" s="460">
        <v>3947.3652640248711</v>
      </c>
      <c r="I97">
        <v>1200</v>
      </c>
      <c r="J97">
        <v>119.99999997072871</v>
      </c>
      <c r="K97" s="67">
        <v>118.53937500000001</v>
      </c>
      <c r="L97" s="159">
        <v>0</v>
      </c>
      <c r="M97" s="159">
        <v>11004</v>
      </c>
      <c r="N97" s="159">
        <v>220</v>
      </c>
      <c r="O97" s="159">
        <v>0</v>
      </c>
      <c r="P97" s="159">
        <v>0</v>
      </c>
      <c r="Q97" s="159">
        <v>1500</v>
      </c>
      <c r="R97" s="159">
        <v>2000</v>
      </c>
      <c r="S97" s="159">
        <v>16000</v>
      </c>
      <c r="T97" s="159">
        <v>3682</v>
      </c>
      <c r="U97" s="159">
        <v>41489</v>
      </c>
      <c r="V97" s="159">
        <v>4500</v>
      </c>
      <c r="W97" s="159">
        <v>186</v>
      </c>
      <c r="X97" s="159">
        <v>0</v>
      </c>
      <c r="Y97" s="159">
        <v>1500</v>
      </c>
      <c r="Z97" s="159">
        <v>5713</v>
      </c>
      <c r="AA97" s="159">
        <v>0</v>
      </c>
      <c r="AB97" s="159">
        <v>0</v>
      </c>
      <c r="AC97" s="159">
        <v>0</v>
      </c>
      <c r="AD97" s="207">
        <v>87794</v>
      </c>
      <c r="AE97" s="200">
        <v>66.163606631404903</v>
      </c>
      <c r="AF97" s="200">
        <v>29.321169461308294</v>
      </c>
      <c r="AG97" s="200">
        <v>18.65594309807636</v>
      </c>
      <c r="AH97" s="200">
        <v>519</v>
      </c>
      <c r="AI97" s="200">
        <v>904</v>
      </c>
      <c r="AJ97" s="200">
        <v>1159</v>
      </c>
      <c r="AL97" s="197">
        <f t="shared" si="9"/>
        <v>100644.03172426707</v>
      </c>
      <c r="AM97" s="197" t="str">
        <f t="shared" si="10"/>
        <v>Box Medium 4</v>
      </c>
      <c r="AN97" s="3">
        <f t="shared" si="11"/>
        <v>5.6450051769031608</v>
      </c>
      <c r="AO97" s="3">
        <f t="shared" si="12"/>
        <v>2.1789394899628216</v>
      </c>
      <c r="AP97" s="3">
        <f t="shared" si="13"/>
        <v>33.307132116271262</v>
      </c>
      <c r="AQ97" s="3">
        <f t="shared" si="14"/>
        <v>1.1990567561857655</v>
      </c>
      <c r="AR97" s="3">
        <f t="shared" si="15"/>
        <v>3.3779962461485873</v>
      </c>
      <c r="AS97" s="81">
        <f t="shared" si="16"/>
        <v>0.6450390501313118</v>
      </c>
      <c r="AT97" s="81">
        <f t="shared" si="17"/>
        <v>0.35496094986868815</v>
      </c>
    </row>
    <row r="98" spans="1:46" x14ac:dyDescent="0.25">
      <c r="A98" t="s">
        <v>808</v>
      </c>
      <c r="B98">
        <v>2023</v>
      </c>
      <c r="C98" t="s">
        <v>680</v>
      </c>
      <c r="D98" t="s">
        <v>518</v>
      </c>
      <c r="E98" t="s">
        <v>1028</v>
      </c>
      <c r="F98">
        <v>3</v>
      </c>
      <c r="G98" t="s">
        <v>1833</v>
      </c>
      <c r="H98" s="460">
        <v>3754.4731180840618</v>
      </c>
      <c r="I98">
        <v>1200</v>
      </c>
      <c r="J98">
        <v>119.99999997072871</v>
      </c>
      <c r="K98" s="67">
        <v>110.47125</v>
      </c>
      <c r="L98" s="159">
        <v>0</v>
      </c>
      <c r="M98" s="159">
        <v>7433</v>
      </c>
      <c r="N98" s="159">
        <v>220</v>
      </c>
      <c r="O98" s="159">
        <v>0</v>
      </c>
      <c r="P98" s="159">
        <v>2580</v>
      </c>
      <c r="Q98" s="159">
        <v>1500</v>
      </c>
      <c r="R98" s="159">
        <v>2000</v>
      </c>
      <c r="S98" s="159">
        <v>16000</v>
      </c>
      <c r="T98" s="159">
        <v>3235</v>
      </c>
      <c r="U98" s="159">
        <v>38665</v>
      </c>
      <c r="V98" s="159">
        <v>4500</v>
      </c>
      <c r="W98" s="159">
        <v>186</v>
      </c>
      <c r="X98" s="159">
        <v>0</v>
      </c>
      <c r="Y98" s="159">
        <v>1500</v>
      </c>
      <c r="Z98" s="159">
        <v>4327</v>
      </c>
      <c r="AA98" s="159">
        <v>0</v>
      </c>
      <c r="AB98" s="159">
        <v>0</v>
      </c>
      <c r="AC98" s="159">
        <v>0</v>
      </c>
      <c r="AD98" s="207">
        <v>82146</v>
      </c>
      <c r="AE98" s="200">
        <v>19.125102171362837</v>
      </c>
      <c r="AF98" s="200">
        <v>12.841033110501654</v>
      </c>
      <c r="AG98" s="200">
        <v>9.5173360272095469</v>
      </c>
      <c r="AH98" s="200">
        <v>524</v>
      </c>
      <c r="AI98" s="200">
        <v>795</v>
      </c>
      <c r="AJ98" s="200">
        <v>1041</v>
      </c>
      <c r="AL98" s="197">
        <f t="shared" si="9"/>
        <v>94169.358156840361</v>
      </c>
      <c r="AM98" s="197" t="str">
        <f t="shared" si="10"/>
        <v>Box Medium 4</v>
      </c>
      <c r="AN98" s="3">
        <f t="shared" si="11"/>
        <v>11.448550390679603</v>
      </c>
      <c r="AO98" s="3">
        <f t="shared" si="12"/>
        <v>4.4190745211621296</v>
      </c>
      <c r="AP98" s="3">
        <f t="shared" si="13"/>
        <v>30.048342798911357</v>
      </c>
      <c r="AQ98" s="3">
        <f t="shared" si="14"/>
        <v>1.0817403407608088</v>
      </c>
      <c r="AR98" s="3">
        <f t="shared" si="15"/>
        <v>5.5008148619229384</v>
      </c>
      <c r="AS98" s="81">
        <f t="shared" si="16"/>
        <v>0.80334907319846405</v>
      </c>
      <c r="AT98" s="81">
        <f t="shared" si="17"/>
        <v>0.19665092680153595</v>
      </c>
    </row>
    <row r="99" spans="1:46" x14ac:dyDescent="0.25">
      <c r="A99" t="s">
        <v>230</v>
      </c>
      <c r="B99">
        <v>2023</v>
      </c>
      <c r="C99" t="s">
        <v>680</v>
      </c>
      <c r="D99" t="s">
        <v>518</v>
      </c>
      <c r="E99" t="s">
        <v>1028</v>
      </c>
      <c r="F99">
        <v>3</v>
      </c>
      <c r="G99" t="s">
        <v>1834</v>
      </c>
      <c r="H99" s="460">
        <v>3634.6594525004884</v>
      </c>
      <c r="I99">
        <v>1200</v>
      </c>
      <c r="J99">
        <v>150.00000001001371</v>
      </c>
      <c r="K99" s="67">
        <v>150.31537500000002</v>
      </c>
      <c r="L99" s="159">
        <v>0</v>
      </c>
      <c r="M99" s="159">
        <v>0</v>
      </c>
      <c r="N99" s="159">
        <v>0</v>
      </c>
      <c r="O99" s="159">
        <v>0</v>
      </c>
      <c r="P99" s="159">
        <v>0</v>
      </c>
      <c r="Q99" s="159">
        <v>1500</v>
      </c>
      <c r="R99" s="159">
        <v>2000</v>
      </c>
      <c r="S99" s="159">
        <v>16000</v>
      </c>
      <c r="T99" s="159">
        <v>0</v>
      </c>
      <c r="U99" s="159">
        <v>52610</v>
      </c>
      <c r="V99" s="159">
        <v>4500</v>
      </c>
      <c r="W99" s="159">
        <v>186</v>
      </c>
      <c r="X99" s="159">
        <v>0</v>
      </c>
      <c r="Y99" s="159">
        <v>1500</v>
      </c>
      <c r="Z99" s="159">
        <v>4950</v>
      </c>
      <c r="AA99" s="159">
        <v>0</v>
      </c>
      <c r="AB99" s="159">
        <v>0</v>
      </c>
      <c r="AC99" s="159">
        <v>0</v>
      </c>
      <c r="AD99" s="207">
        <v>83246</v>
      </c>
      <c r="AE99" s="200">
        <v>0</v>
      </c>
      <c r="AF99" s="200">
        <v>0</v>
      </c>
      <c r="AG99" s="200">
        <v>0</v>
      </c>
      <c r="AH99" s="200">
        <v>495</v>
      </c>
      <c r="AI99" s="200">
        <v>866</v>
      </c>
      <c r="AJ99" s="200">
        <v>1116</v>
      </c>
      <c r="AL99" s="197">
        <f t="shared" si="9"/>
        <v>95430.360445113984</v>
      </c>
      <c r="AM99" s="197" t="str">
        <f t="shared" si="10"/>
        <v>Box Medium 4</v>
      </c>
      <c r="AN99" s="3">
        <f t="shared" si="11"/>
        <v>0</v>
      </c>
      <c r="AO99" s="3">
        <f t="shared" si="12"/>
        <v>0</v>
      </c>
      <c r="AP99" s="3">
        <f t="shared" si="13"/>
        <v>64.088384058061067</v>
      </c>
      <c r="AQ99" s="3">
        <f t="shared" si="14"/>
        <v>2.3071818260901984</v>
      </c>
      <c r="AR99" s="3">
        <f t="shared" si="15"/>
        <v>2.3071818260901984</v>
      </c>
      <c r="AS99" s="81">
        <f t="shared" si="16"/>
        <v>0</v>
      </c>
      <c r="AT99" s="81">
        <f t="shared" si="17"/>
        <v>1</v>
      </c>
    </row>
    <row r="100" spans="1:46" x14ac:dyDescent="0.25">
      <c r="A100" t="s">
        <v>496</v>
      </c>
      <c r="B100">
        <v>2023</v>
      </c>
      <c r="C100" t="s">
        <v>680</v>
      </c>
      <c r="D100" t="s">
        <v>518</v>
      </c>
      <c r="E100" t="s">
        <v>1028</v>
      </c>
      <c r="F100">
        <v>3</v>
      </c>
      <c r="G100" t="s">
        <v>1835</v>
      </c>
      <c r="H100" s="460">
        <v>2966.3027405664543</v>
      </c>
      <c r="I100">
        <v>1200</v>
      </c>
      <c r="J100">
        <v>150.00000001001371</v>
      </c>
      <c r="K100" s="67">
        <v>3.1046400000000003</v>
      </c>
      <c r="L100" s="159">
        <v>0</v>
      </c>
      <c r="M100" s="159">
        <v>0</v>
      </c>
      <c r="N100" s="159">
        <v>0</v>
      </c>
      <c r="O100" s="159">
        <v>0</v>
      </c>
      <c r="P100" s="159">
        <v>0</v>
      </c>
      <c r="Q100" s="159">
        <v>1500</v>
      </c>
      <c r="R100" s="159">
        <v>2000</v>
      </c>
      <c r="S100" s="159">
        <v>16000</v>
      </c>
      <c r="T100" s="159">
        <v>0</v>
      </c>
      <c r="U100" s="159">
        <v>2173</v>
      </c>
      <c r="V100" s="159">
        <v>4500</v>
      </c>
      <c r="W100" s="159">
        <v>186</v>
      </c>
      <c r="X100" s="159">
        <v>0</v>
      </c>
      <c r="Y100" s="159">
        <v>1500</v>
      </c>
      <c r="Z100" s="159">
        <v>4953</v>
      </c>
      <c r="AA100" s="159">
        <v>23168</v>
      </c>
      <c r="AB100" s="159">
        <v>8017</v>
      </c>
      <c r="AC100" s="159">
        <v>0</v>
      </c>
      <c r="AD100" s="207">
        <v>63997</v>
      </c>
      <c r="AE100" s="200">
        <v>43.752544388641589</v>
      </c>
      <c r="AF100" s="200">
        <v>26.185828184595021</v>
      </c>
      <c r="AG100" s="200">
        <v>19.560375625659312</v>
      </c>
      <c r="AH100" s="200">
        <v>0</v>
      </c>
      <c r="AI100" s="200">
        <v>0</v>
      </c>
      <c r="AJ100" s="200">
        <v>0</v>
      </c>
      <c r="AL100" s="197">
        <f t="shared" si="9"/>
        <v>73363.966766042329</v>
      </c>
      <c r="AM100" s="197" t="str">
        <f t="shared" si="10"/>
        <v>Box Medium 4</v>
      </c>
      <c r="AN100" s="3">
        <f t="shared" si="11"/>
        <v>11.086347799717586</v>
      </c>
      <c r="AO100" s="3">
        <f t="shared" si="12"/>
        <v>4.2792664068944735</v>
      </c>
      <c r="AP100" s="3">
        <f t="shared" si="13"/>
        <v>0</v>
      </c>
      <c r="AQ100" s="3">
        <f t="shared" si="14"/>
        <v>0</v>
      </c>
      <c r="AR100" s="3">
        <f t="shared" si="15"/>
        <v>4.2792664068944735</v>
      </c>
      <c r="AS100" s="81">
        <f t="shared" si="16"/>
        <v>1</v>
      </c>
      <c r="AT100" s="81">
        <f t="shared" si="17"/>
        <v>0</v>
      </c>
    </row>
    <row r="101" spans="1:46" x14ac:dyDescent="0.25">
      <c r="A101" t="s">
        <v>828</v>
      </c>
      <c r="B101">
        <v>2023</v>
      </c>
      <c r="C101" t="s">
        <v>680</v>
      </c>
      <c r="D101" t="s">
        <v>518</v>
      </c>
      <c r="E101" t="s">
        <v>1028</v>
      </c>
      <c r="F101">
        <v>3</v>
      </c>
      <c r="G101" t="s">
        <v>1836</v>
      </c>
      <c r="H101" s="460">
        <v>3047.5529483188002</v>
      </c>
      <c r="I101">
        <v>1200</v>
      </c>
      <c r="J101">
        <v>150.00000001001371</v>
      </c>
      <c r="K101" s="67">
        <v>23.211375</v>
      </c>
      <c r="L101" s="159">
        <v>0</v>
      </c>
      <c r="M101" s="159">
        <v>0</v>
      </c>
      <c r="N101" s="159">
        <v>0</v>
      </c>
      <c r="O101" s="159">
        <v>0</v>
      </c>
      <c r="P101" s="159">
        <v>0</v>
      </c>
      <c r="Q101" s="159">
        <v>1500</v>
      </c>
      <c r="R101" s="159">
        <v>2000</v>
      </c>
      <c r="S101" s="159">
        <v>16000</v>
      </c>
      <c r="T101" s="159">
        <v>0</v>
      </c>
      <c r="U101" s="159">
        <v>8124</v>
      </c>
      <c r="V101" s="159">
        <v>4500</v>
      </c>
      <c r="W101" s="159">
        <v>186</v>
      </c>
      <c r="X101" s="159">
        <v>0</v>
      </c>
      <c r="Y101" s="159">
        <v>1500</v>
      </c>
      <c r="Z101" s="159">
        <v>6244</v>
      </c>
      <c r="AA101" s="159">
        <v>13297</v>
      </c>
      <c r="AB101" s="159">
        <v>6716</v>
      </c>
      <c r="AC101" s="159">
        <v>0</v>
      </c>
      <c r="AD101" s="207">
        <v>60067</v>
      </c>
      <c r="AE101" s="200">
        <v>43.563283987997288</v>
      </c>
      <c r="AF101" s="200">
        <v>24.054209335180641</v>
      </c>
      <c r="AG101" s="200">
        <v>18.380886909548636</v>
      </c>
      <c r="AH101" s="200">
        <v>0</v>
      </c>
      <c r="AI101" s="200">
        <v>0</v>
      </c>
      <c r="AJ101" s="200">
        <v>0</v>
      </c>
      <c r="AL101" s="197">
        <f t="shared" si="9"/>
        <v>68858.749499755679</v>
      </c>
      <c r="AM101" s="197" t="str">
        <f t="shared" si="10"/>
        <v>Box Medium 4</v>
      </c>
      <c r="AN101" s="3">
        <f t="shared" si="11"/>
        <v>11.785353445129338</v>
      </c>
      <c r="AO101" s="3">
        <f t="shared" si="12"/>
        <v>4.5490785606062936</v>
      </c>
      <c r="AP101" s="3">
        <f t="shared" si="13"/>
        <v>0</v>
      </c>
      <c r="AQ101" s="3">
        <f t="shared" si="14"/>
        <v>0</v>
      </c>
      <c r="AR101" s="3">
        <f t="shared" si="15"/>
        <v>4.5490785606062936</v>
      </c>
      <c r="AS101" s="81">
        <f t="shared" si="16"/>
        <v>1</v>
      </c>
      <c r="AT101" s="81">
        <f t="shared" si="17"/>
        <v>0</v>
      </c>
    </row>
    <row r="102" spans="1:46" x14ac:dyDescent="0.25">
      <c r="A102" t="s">
        <v>805</v>
      </c>
      <c r="B102">
        <v>2025</v>
      </c>
      <c r="C102" t="s">
        <v>680</v>
      </c>
      <c r="D102" t="s">
        <v>518</v>
      </c>
      <c r="E102" t="s">
        <v>1028</v>
      </c>
      <c r="F102">
        <v>3</v>
      </c>
      <c r="G102" t="s">
        <v>1837</v>
      </c>
      <c r="H102" s="460">
        <v>2968.0354625796681</v>
      </c>
      <c r="I102">
        <v>1200</v>
      </c>
      <c r="J102">
        <v>0</v>
      </c>
      <c r="K102" s="67">
        <v>0</v>
      </c>
      <c r="L102" s="159">
        <v>150</v>
      </c>
      <c r="M102" s="159">
        <v>14314</v>
      </c>
      <c r="N102" s="159">
        <v>1920</v>
      </c>
      <c r="O102" s="159">
        <v>506</v>
      </c>
      <c r="P102" s="159">
        <v>4086</v>
      </c>
      <c r="Q102" s="159">
        <v>1500</v>
      </c>
      <c r="R102" s="159">
        <v>2000</v>
      </c>
      <c r="S102" s="159">
        <v>16103</v>
      </c>
      <c r="T102" s="159">
        <v>92</v>
      </c>
      <c r="U102" s="159">
        <v>120</v>
      </c>
      <c r="V102" s="159">
        <v>0</v>
      </c>
      <c r="W102" s="159">
        <v>186</v>
      </c>
      <c r="X102" s="159">
        <v>0</v>
      </c>
      <c r="Y102" s="159">
        <v>0</v>
      </c>
      <c r="Z102" s="159">
        <v>0</v>
      </c>
      <c r="AA102" s="159">
        <v>0</v>
      </c>
      <c r="AB102" s="159">
        <v>0</v>
      </c>
      <c r="AC102" s="159">
        <v>0</v>
      </c>
      <c r="AD102" s="207">
        <v>40977</v>
      </c>
      <c r="AE102" s="200">
        <v>16.191678735460695</v>
      </c>
      <c r="AF102" s="200">
        <v>17.777632086463392</v>
      </c>
      <c r="AG102" s="200">
        <v>16.737775146369934</v>
      </c>
      <c r="AH102" s="200">
        <v>0</v>
      </c>
      <c r="AI102" s="200">
        <v>0</v>
      </c>
      <c r="AJ102" s="200">
        <v>0</v>
      </c>
      <c r="AL102" s="197">
        <f t="shared" si="9"/>
        <v>46974.627969625391</v>
      </c>
      <c r="AM102" s="197" t="str">
        <f t="shared" si="10"/>
        <v>Box Medium 4</v>
      </c>
      <c r="AN102" s="3">
        <f t="shared" si="11"/>
        <v>14.026367264006232</v>
      </c>
      <c r="AO102" s="3">
        <f t="shared" si="12"/>
        <v>5.4140969891955972</v>
      </c>
      <c r="AP102" s="3">
        <f t="shared" si="13"/>
        <v>0</v>
      </c>
      <c r="AQ102" s="3">
        <f t="shared" si="14"/>
        <v>0</v>
      </c>
      <c r="AR102" s="3">
        <f t="shared" si="15"/>
        <v>5.4140969891955972</v>
      </c>
      <c r="AS102" s="81">
        <f t="shared" si="16"/>
        <v>1</v>
      </c>
      <c r="AT102" s="81">
        <f t="shared" si="17"/>
        <v>0</v>
      </c>
    </row>
    <row r="103" spans="1:46" x14ac:dyDescent="0.25">
      <c r="A103" t="s">
        <v>805</v>
      </c>
      <c r="B103">
        <v>2025</v>
      </c>
      <c r="C103" t="s">
        <v>680</v>
      </c>
      <c r="D103" t="s">
        <v>518</v>
      </c>
      <c r="E103" t="s">
        <v>1028</v>
      </c>
      <c r="F103">
        <v>3</v>
      </c>
      <c r="G103" t="s">
        <v>1838</v>
      </c>
      <c r="H103" s="460">
        <v>2830.8112822536891</v>
      </c>
      <c r="I103">
        <v>1200</v>
      </c>
      <c r="J103">
        <v>0</v>
      </c>
      <c r="K103" s="67">
        <v>0</v>
      </c>
      <c r="L103" s="159">
        <v>150</v>
      </c>
      <c r="M103" s="159">
        <v>21227</v>
      </c>
      <c r="N103" s="159">
        <v>1920</v>
      </c>
      <c r="O103" s="159">
        <v>506</v>
      </c>
      <c r="P103" s="159">
        <v>3336</v>
      </c>
      <c r="Q103" s="159">
        <v>1500</v>
      </c>
      <c r="R103" s="159">
        <v>2000</v>
      </c>
      <c r="S103" s="159">
        <v>16103</v>
      </c>
      <c r="T103" s="159">
        <v>92</v>
      </c>
      <c r="U103" s="159">
        <v>120</v>
      </c>
      <c r="V103" s="159">
        <v>0</v>
      </c>
      <c r="W103" s="159">
        <v>186</v>
      </c>
      <c r="X103" s="159">
        <v>0</v>
      </c>
      <c r="Y103" s="159">
        <v>0</v>
      </c>
      <c r="Z103" s="159">
        <v>0</v>
      </c>
      <c r="AA103" s="159">
        <v>0</v>
      </c>
      <c r="AB103" s="159">
        <v>0</v>
      </c>
      <c r="AC103" s="159">
        <v>0</v>
      </c>
      <c r="AD103" s="207">
        <v>47140</v>
      </c>
      <c r="AE103" s="200">
        <v>9.9149765278820912</v>
      </c>
      <c r="AF103" s="200">
        <v>15.635655962652281</v>
      </c>
      <c r="AG103" s="200">
        <v>12.509115996952632</v>
      </c>
      <c r="AH103" s="200">
        <v>0</v>
      </c>
      <c r="AI103" s="200">
        <v>0</v>
      </c>
      <c r="AJ103" s="200">
        <v>0</v>
      </c>
      <c r="AL103" s="197">
        <f t="shared" si="9"/>
        <v>54039.679881107477</v>
      </c>
      <c r="AM103" s="197" t="str">
        <f t="shared" si="10"/>
        <v>Box Medium 4</v>
      </c>
      <c r="AN103" s="3">
        <f t="shared" si="11"/>
        <v>18.957069423902247</v>
      </c>
      <c r="AO103" s="3">
        <f t="shared" si="12"/>
        <v>7.3173196281049169</v>
      </c>
      <c r="AP103" s="3">
        <f t="shared" si="13"/>
        <v>0</v>
      </c>
      <c r="AQ103" s="3">
        <f t="shared" si="14"/>
        <v>0</v>
      </c>
      <c r="AR103" s="3">
        <f t="shared" si="15"/>
        <v>7.3173196281049169</v>
      </c>
      <c r="AS103" s="81">
        <f t="shared" si="16"/>
        <v>1</v>
      </c>
      <c r="AT103" s="81">
        <f t="shared" si="17"/>
        <v>0</v>
      </c>
    </row>
    <row r="104" spans="1:46" x14ac:dyDescent="0.25">
      <c r="A104" t="s">
        <v>807</v>
      </c>
      <c r="B104">
        <v>2025</v>
      </c>
      <c r="C104" t="s">
        <v>680</v>
      </c>
      <c r="D104" t="s">
        <v>518</v>
      </c>
      <c r="E104" t="s">
        <v>1028</v>
      </c>
      <c r="F104">
        <v>3</v>
      </c>
      <c r="G104" t="s">
        <v>1839</v>
      </c>
      <c r="H104" s="460">
        <v>2945.3552595427773</v>
      </c>
      <c r="I104">
        <v>1200</v>
      </c>
      <c r="J104">
        <v>0</v>
      </c>
      <c r="K104" s="67">
        <v>2.4710400000000003</v>
      </c>
      <c r="L104" s="159">
        <v>150</v>
      </c>
      <c r="M104" s="159">
        <v>12732</v>
      </c>
      <c r="N104" s="159">
        <v>220</v>
      </c>
      <c r="O104" s="159">
        <v>392</v>
      </c>
      <c r="P104" s="159">
        <v>3392</v>
      </c>
      <c r="Q104" s="159">
        <v>1500</v>
      </c>
      <c r="R104" s="159">
        <v>2000</v>
      </c>
      <c r="S104" s="159">
        <v>16103</v>
      </c>
      <c r="T104" s="159">
        <v>0</v>
      </c>
      <c r="U104" s="159">
        <v>1167</v>
      </c>
      <c r="V104" s="159">
        <v>4500</v>
      </c>
      <c r="W104" s="159">
        <v>186</v>
      </c>
      <c r="X104" s="159">
        <v>120</v>
      </c>
      <c r="Y104" s="159">
        <v>1500</v>
      </c>
      <c r="Z104" s="159">
        <v>1873</v>
      </c>
      <c r="AA104" s="159">
        <v>0</v>
      </c>
      <c r="AB104" s="159">
        <v>0</v>
      </c>
      <c r="AC104" s="159">
        <v>0</v>
      </c>
      <c r="AD104" s="207">
        <v>45835</v>
      </c>
      <c r="AE104" s="200">
        <v>25.557335603297386</v>
      </c>
      <c r="AF104" s="200">
        <v>19.702223468508059</v>
      </c>
      <c r="AG104" s="200">
        <v>17.245159137600638</v>
      </c>
      <c r="AH104" s="200">
        <v>0</v>
      </c>
      <c r="AI104" s="200">
        <v>0</v>
      </c>
      <c r="AJ104" s="200">
        <v>0</v>
      </c>
      <c r="AL104" s="197">
        <f t="shared" si="9"/>
        <v>52543.672620928322</v>
      </c>
      <c r="AM104" s="197" t="str">
        <f t="shared" si="10"/>
        <v>Box Medium 4</v>
      </c>
      <c r="AN104" s="3">
        <f t="shared" si="11"/>
        <v>13.042792703410557</v>
      </c>
      <c r="AO104" s="3">
        <f t="shared" si="12"/>
        <v>5.0344428729914945</v>
      </c>
      <c r="AP104" s="3">
        <f t="shared" si="13"/>
        <v>0</v>
      </c>
      <c r="AQ104" s="3">
        <f t="shared" si="14"/>
        <v>0</v>
      </c>
      <c r="AR104" s="3">
        <f t="shared" si="15"/>
        <v>5.0344428729914945</v>
      </c>
      <c r="AS104" s="81">
        <f t="shared" si="16"/>
        <v>1</v>
      </c>
      <c r="AT104" s="81">
        <f t="shared" si="17"/>
        <v>0</v>
      </c>
    </row>
    <row r="105" spans="1:46" x14ac:dyDescent="0.25">
      <c r="A105" t="s">
        <v>807</v>
      </c>
      <c r="B105">
        <v>2025</v>
      </c>
      <c r="C105" t="s">
        <v>680</v>
      </c>
      <c r="D105" t="s">
        <v>518</v>
      </c>
      <c r="E105" t="s">
        <v>1028</v>
      </c>
      <c r="F105">
        <v>3</v>
      </c>
      <c r="G105" t="s">
        <v>1840</v>
      </c>
      <c r="H105" s="460">
        <v>2811.1101165379032</v>
      </c>
      <c r="I105">
        <v>1200</v>
      </c>
      <c r="J105">
        <v>0</v>
      </c>
      <c r="K105" s="67">
        <v>2.6928000000000001</v>
      </c>
      <c r="L105" s="159">
        <v>150</v>
      </c>
      <c r="M105" s="159">
        <v>10573</v>
      </c>
      <c r="N105" s="159">
        <v>220</v>
      </c>
      <c r="O105" s="159">
        <v>392</v>
      </c>
      <c r="P105" s="159">
        <v>2315</v>
      </c>
      <c r="Q105" s="159">
        <v>1500</v>
      </c>
      <c r="R105" s="159">
        <v>2000</v>
      </c>
      <c r="S105" s="159">
        <v>16103</v>
      </c>
      <c r="T105" s="159">
        <v>0</v>
      </c>
      <c r="U105" s="159">
        <v>1272</v>
      </c>
      <c r="V105" s="159">
        <v>4500</v>
      </c>
      <c r="W105" s="159">
        <v>186</v>
      </c>
      <c r="X105" s="159">
        <v>120</v>
      </c>
      <c r="Y105" s="159">
        <v>1500</v>
      </c>
      <c r="Z105" s="159">
        <v>1901</v>
      </c>
      <c r="AA105" s="159">
        <v>0</v>
      </c>
      <c r="AB105" s="159">
        <v>0</v>
      </c>
      <c r="AC105" s="159">
        <v>0</v>
      </c>
      <c r="AD105" s="207">
        <v>42732</v>
      </c>
      <c r="AE105" s="200">
        <v>21.729421951816388</v>
      </c>
      <c r="AF105" s="200">
        <v>18.290536993198739</v>
      </c>
      <c r="AG105" s="200">
        <v>14.129682559362644</v>
      </c>
      <c r="AH105" s="200">
        <v>0</v>
      </c>
      <c r="AI105" s="200">
        <v>0</v>
      </c>
      <c r="AJ105" s="200">
        <v>0</v>
      </c>
      <c r="AL105" s="197">
        <f t="shared" si="9"/>
        <v>48986.499802280116</v>
      </c>
      <c r="AM105" s="197" t="str">
        <f t="shared" si="10"/>
        <v>Box Medium 4</v>
      </c>
      <c r="AN105" s="3">
        <f t="shared" si="11"/>
        <v>15.723839315162284</v>
      </c>
      <c r="AO105" s="3">
        <f t="shared" si="12"/>
        <v>6.0693114255800831</v>
      </c>
      <c r="AP105" s="3">
        <f t="shared" si="13"/>
        <v>0</v>
      </c>
      <c r="AQ105" s="3">
        <f t="shared" si="14"/>
        <v>0</v>
      </c>
      <c r="AR105" s="3">
        <f t="shared" si="15"/>
        <v>6.0693114255800831</v>
      </c>
      <c r="AS105" s="81">
        <f t="shared" si="16"/>
        <v>1</v>
      </c>
      <c r="AT105" s="81">
        <f t="shared" si="17"/>
        <v>0</v>
      </c>
    </row>
    <row r="106" spans="1:46" x14ac:dyDescent="0.25">
      <c r="A106" t="s">
        <v>808</v>
      </c>
      <c r="B106">
        <v>2025</v>
      </c>
      <c r="C106" t="s">
        <v>680</v>
      </c>
      <c r="D106" t="s">
        <v>518</v>
      </c>
      <c r="E106" t="s">
        <v>1028</v>
      </c>
      <c r="F106">
        <v>3</v>
      </c>
      <c r="G106" t="s">
        <v>1841</v>
      </c>
      <c r="H106" s="460">
        <v>3708.4989025165778</v>
      </c>
      <c r="I106">
        <v>1200</v>
      </c>
      <c r="J106">
        <v>119.99999997072871</v>
      </c>
      <c r="K106" s="67">
        <v>111.091875</v>
      </c>
      <c r="L106" s="159">
        <v>0</v>
      </c>
      <c r="M106" s="159">
        <v>11267</v>
      </c>
      <c r="N106" s="159">
        <v>220</v>
      </c>
      <c r="O106" s="159">
        <v>0</v>
      </c>
      <c r="P106" s="159">
        <v>0</v>
      </c>
      <c r="Q106" s="159">
        <v>1500</v>
      </c>
      <c r="R106" s="159">
        <v>2000</v>
      </c>
      <c r="S106" s="159">
        <v>16103</v>
      </c>
      <c r="T106" s="159">
        <v>3351</v>
      </c>
      <c r="U106" s="159">
        <v>31106</v>
      </c>
      <c r="V106" s="159">
        <v>4500</v>
      </c>
      <c r="W106" s="159">
        <v>186</v>
      </c>
      <c r="X106" s="159">
        <v>0</v>
      </c>
      <c r="Y106" s="159">
        <v>1500</v>
      </c>
      <c r="Z106" s="159">
        <v>4774</v>
      </c>
      <c r="AA106" s="159">
        <v>0</v>
      </c>
      <c r="AB106" s="159">
        <v>0</v>
      </c>
      <c r="AC106" s="159">
        <v>0</v>
      </c>
      <c r="AD106" s="207">
        <v>76507</v>
      </c>
      <c r="AE106" s="200">
        <v>72.168832820000389</v>
      </c>
      <c r="AF106" s="200">
        <v>32.92726629727153</v>
      </c>
      <c r="AG106" s="200">
        <v>21.091391114129902</v>
      </c>
      <c r="AH106" s="200">
        <v>476</v>
      </c>
      <c r="AI106" s="200">
        <v>831</v>
      </c>
      <c r="AJ106" s="200">
        <v>1065</v>
      </c>
      <c r="AL106" s="197">
        <f t="shared" si="9"/>
        <v>87705.001880863172</v>
      </c>
      <c r="AM106" s="197" t="str">
        <f t="shared" si="10"/>
        <v>Box Medium 4</v>
      </c>
      <c r="AN106" s="3">
        <f t="shared" si="11"/>
        <v>5.0010534789538079</v>
      </c>
      <c r="AO106" s="3">
        <f t="shared" si="12"/>
        <v>1.930377842928122</v>
      </c>
      <c r="AP106" s="3">
        <f t="shared" si="13"/>
        <v>30.603850025476287</v>
      </c>
      <c r="AQ106" s="3">
        <f t="shared" si="14"/>
        <v>1.1017386009171464</v>
      </c>
      <c r="AR106" s="3">
        <f t="shared" si="15"/>
        <v>3.0321164438452683</v>
      </c>
      <c r="AS106" s="81">
        <f t="shared" si="16"/>
        <v>0.63664370372268952</v>
      </c>
      <c r="AT106" s="81">
        <f t="shared" si="17"/>
        <v>0.36335629627731048</v>
      </c>
    </row>
    <row r="107" spans="1:46" x14ac:dyDescent="0.25">
      <c r="A107" t="s">
        <v>808</v>
      </c>
      <c r="B107">
        <v>2025</v>
      </c>
      <c r="C107" t="s">
        <v>680</v>
      </c>
      <c r="D107" t="s">
        <v>518</v>
      </c>
      <c r="E107" t="s">
        <v>1028</v>
      </c>
      <c r="F107">
        <v>3</v>
      </c>
      <c r="G107" t="s">
        <v>1842</v>
      </c>
      <c r="H107" s="460">
        <v>3531.707388605987</v>
      </c>
      <c r="I107">
        <v>1200</v>
      </c>
      <c r="J107">
        <v>119.99999997072871</v>
      </c>
      <c r="K107" s="67">
        <v>101.7825</v>
      </c>
      <c r="L107" s="159">
        <v>0</v>
      </c>
      <c r="M107" s="159">
        <v>7642</v>
      </c>
      <c r="N107" s="159">
        <v>220</v>
      </c>
      <c r="O107" s="159">
        <v>0</v>
      </c>
      <c r="P107" s="159">
        <v>2521</v>
      </c>
      <c r="Q107" s="159">
        <v>1500</v>
      </c>
      <c r="R107" s="159">
        <v>2000</v>
      </c>
      <c r="S107" s="159">
        <v>16103</v>
      </c>
      <c r="T107" s="159">
        <v>2821</v>
      </c>
      <c r="U107" s="159">
        <v>28499</v>
      </c>
      <c r="V107" s="159">
        <v>4500</v>
      </c>
      <c r="W107" s="159">
        <v>186</v>
      </c>
      <c r="X107" s="159">
        <v>0</v>
      </c>
      <c r="Y107" s="159">
        <v>1500</v>
      </c>
      <c r="Z107" s="159">
        <v>3542</v>
      </c>
      <c r="AA107" s="159">
        <v>0</v>
      </c>
      <c r="AB107" s="159">
        <v>0</v>
      </c>
      <c r="AC107" s="159">
        <v>0</v>
      </c>
      <c r="AD107" s="207">
        <v>71034</v>
      </c>
      <c r="AE107" s="200">
        <v>22.157648100164813</v>
      </c>
      <c r="AF107" s="200">
        <v>14.958172832595402</v>
      </c>
      <c r="AG107" s="200">
        <v>11.111682152837377</v>
      </c>
      <c r="AH107" s="200">
        <v>481</v>
      </c>
      <c r="AI107" s="200">
        <v>727</v>
      </c>
      <c r="AJ107" s="200">
        <v>951</v>
      </c>
      <c r="AL107" s="197">
        <f t="shared" si="9"/>
        <v>81430.942313843625</v>
      </c>
      <c r="AM107" s="197" t="str">
        <f t="shared" si="10"/>
        <v>Box Medium 4</v>
      </c>
      <c r="AN107" s="3">
        <f t="shared" si="11"/>
        <v>9.8115453933732084</v>
      </c>
      <c r="AO107" s="3">
        <f t="shared" si="12"/>
        <v>3.7872000193473765</v>
      </c>
      <c r="AP107" s="3">
        <f t="shared" si="13"/>
        <v>27.459703978028259</v>
      </c>
      <c r="AQ107" s="3">
        <f t="shared" si="14"/>
        <v>0.98854934320901733</v>
      </c>
      <c r="AR107" s="3">
        <f t="shared" si="15"/>
        <v>4.775749362556394</v>
      </c>
      <c r="AS107" s="81">
        <f t="shared" si="16"/>
        <v>0.7930064439814194</v>
      </c>
      <c r="AT107" s="81">
        <f t="shared" si="17"/>
        <v>0.20699355601858055</v>
      </c>
    </row>
    <row r="108" spans="1:46" x14ac:dyDescent="0.25">
      <c r="A108" t="s">
        <v>230</v>
      </c>
      <c r="B108">
        <v>2025</v>
      </c>
      <c r="C108" t="s">
        <v>680</v>
      </c>
      <c r="D108" t="s">
        <v>518</v>
      </c>
      <c r="E108" t="s">
        <v>1028</v>
      </c>
      <c r="F108">
        <v>3</v>
      </c>
      <c r="G108" t="s">
        <v>1843</v>
      </c>
      <c r="H108" s="460">
        <v>3391.4249669783467</v>
      </c>
      <c r="I108">
        <v>1200</v>
      </c>
      <c r="J108">
        <v>150.00000001001371</v>
      </c>
      <c r="K108" s="67">
        <v>141.5025</v>
      </c>
      <c r="L108" s="159">
        <v>0</v>
      </c>
      <c r="M108" s="159">
        <v>0</v>
      </c>
      <c r="N108" s="159">
        <v>0</v>
      </c>
      <c r="O108" s="159">
        <v>0</v>
      </c>
      <c r="P108" s="159">
        <v>0</v>
      </c>
      <c r="Q108" s="159">
        <v>1500</v>
      </c>
      <c r="R108" s="159">
        <v>2000</v>
      </c>
      <c r="S108" s="159">
        <v>16103</v>
      </c>
      <c r="T108" s="159">
        <v>0</v>
      </c>
      <c r="U108" s="159">
        <v>39621</v>
      </c>
      <c r="V108" s="159">
        <v>4500</v>
      </c>
      <c r="W108" s="159">
        <v>186</v>
      </c>
      <c r="X108" s="159">
        <v>0</v>
      </c>
      <c r="Y108" s="159">
        <v>1500</v>
      </c>
      <c r="Z108" s="159">
        <v>4133</v>
      </c>
      <c r="AA108" s="159">
        <v>0</v>
      </c>
      <c r="AB108" s="159">
        <v>0</v>
      </c>
      <c r="AC108" s="159">
        <v>0</v>
      </c>
      <c r="AD108" s="207">
        <v>69543</v>
      </c>
      <c r="AE108" s="200">
        <v>0</v>
      </c>
      <c r="AF108" s="200">
        <v>0</v>
      </c>
      <c r="AG108" s="200">
        <v>0</v>
      </c>
      <c r="AH108" s="200">
        <v>452</v>
      </c>
      <c r="AI108" s="200">
        <v>794</v>
      </c>
      <c r="AJ108" s="200">
        <v>1021</v>
      </c>
      <c r="AL108" s="197">
        <f t="shared" si="9"/>
        <v>79721.711030374572</v>
      </c>
      <c r="AM108" s="197" t="str">
        <f t="shared" si="10"/>
        <v>Box Medium 4</v>
      </c>
      <c r="AN108" s="3">
        <f t="shared" si="11"/>
        <v>0</v>
      </c>
      <c r="AO108" s="3">
        <f t="shared" si="12"/>
        <v>0</v>
      </c>
      <c r="AP108" s="3">
        <f t="shared" si="13"/>
        <v>58.637081039432317</v>
      </c>
      <c r="AQ108" s="3">
        <f t="shared" si="14"/>
        <v>2.1109349174195633</v>
      </c>
      <c r="AR108" s="3">
        <f t="shared" si="15"/>
        <v>2.1109349174195633</v>
      </c>
      <c r="AS108" s="81">
        <f t="shared" si="16"/>
        <v>0</v>
      </c>
      <c r="AT108" s="81">
        <f t="shared" si="17"/>
        <v>1</v>
      </c>
    </row>
    <row r="109" spans="1:46" x14ac:dyDescent="0.25">
      <c r="A109" t="s">
        <v>496</v>
      </c>
      <c r="B109">
        <v>2025</v>
      </c>
      <c r="C109" t="s">
        <v>680</v>
      </c>
      <c r="D109" t="s">
        <v>518</v>
      </c>
      <c r="E109" t="s">
        <v>1028</v>
      </c>
      <c r="F109">
        <v>3</v>
      </c>
      <c r="G109" t="s">
        <v>1844</v>
      </c>
      <c r="H109" s="460">
        <v>2813.1757096957722</v>
      </c>
      <c r="I109">
        <v>1200</v>
      </c>
      <c r="J109">
        <v>150.00000001001371</v>
      </c>
      <c r="K109" s="67">
        <v>3.0888000000000004</v>
      </c>
      <c r="L109" s="159">
        <v>0</v>
      </c>
      <c r="M109" s="159">
        <v>0</v>
      </c>
      <c r="N109" s="159">
        <v>0</v>
      </c>
      <c r="O109" s="159">
        <v>0</v>
      </c>
      <c r="P109" s="159">
        <v>0</v>
      </c>
      <c r="Q109" s="159">
        <v>1500</v>
      </c>
      <c r="R109" s="159">
        <v>2000</v>
      </c>
      <c r="S109" s="159">
        <v>16103</v>
      </c>
      <c r="T109" s="159">
        <v>0</v>
      </c>
      <c r="U109" s="159">
        <v>1459</v>
      </c>
      <c r="V109" s="159">
        <v>4500</v>
      </c>
      <c r="W109" s="159">
        <v>186</v>
      </c>
      <c r="X109" s="159">
        <v>0</v>
      </c>
      <c r="Y109" s="159">
        <v>1500</v>
      </c>
      <c r="Z109" s="159">
        <v>4137</v>
      </c>
      <c r="AA109" s="159">
        <v>16901</v>
      </c>
      <c r="AB109" s="159">
        <v>6011</v>
      </c>
      <c r="AC109" s="159">
        <v>0</v>
      </c>
      <c r="AD109" s="207">
        <v>54297</v>
      </c>
      <c r="AE109" s="200">
        <v>46.947796574211971</v>
      </c>
      <c r="AF109" s="200">
        <v>28.601658873417712</v>
      </c>
      <c r="AG109" s="200">
        <v>21.461814019724489</v>
      </c>
      <c r="AH109" s="200">
        <v>0</v>
      </c>
      <c r="AI109" s="200">
        <v>0</v>
      </c>
      <c r="AJ109" s="200">
        <v>0</v>
      </c>
      <c r="AL109" s="197">
        <f t="shared" si="9"/>
        <v>62244.219314902264</v>
      </c>
      <c r="AM109" s="197" t="str">
        <f t="shared" si="10"/>
        <v>Box Medium 4</v>
      </c>
      <c r="AN109" s="3">
        <f t="shared" si="11"/>
        <v>10.118518563698011</v>
      </c>
      <c r="AO109" s="3">
        <f t="shared" si="12"/>
        <v>3.9056898953029444</v>
      </c>
      <c r="AP109" s="3">
        <f t="shared" si="13"/>
        <v>0</v>
      </c>
      <c r="AQ109" s="3">
        <f t="shared" si="14"/>
        <v>0</v>
      </c>
      <c r="AR109" s="3">
        <f t="shared" si="15"/>
        <v>3.9056898953029444</v>
      </c>
      <c r="AS109" s="81">
        <f t="shared" si="16"/>
        <v>1</v>
      </c>
      <c r="AT109" s="81">
        <f t="shared" si="17"/>
        <v>0</v>
      </c>
    </row>
    <row r="110" spans="1:46" x14ac:dyDescent="0.25">
      <c r="A110" t="s">
        <v>828</v>
      </c>
      <c r="B110">
        <v>2025</v>
      </c>
      <c r="C110" t="s">
        <v>680</v>
      </c>
      <c r="D110" t="s">
        <v>518</v>
      </c>
      <c r="E110" t="s">
        <v>1028</v>
      </c>
      <c r="F110">
        <v>3</v>
      </c>
      <c r="G110" t="s">
        <v>1845</v>
      </c>
      <c r="H110" s="460">
        <v>2870.6586009866387</v>
      </c>
      <c r="I110">
        <v>1200</v>
      </c>
      <c r="J110">
        <v>150.00000001001371</v>
      </c>
      <c r="K110" s="67">
        <v>24.080249999999999</v>
      </c>
      <c r="L110" s="159">
        <v>0</v>
      </c>
      <c r="M110" s="159">
        <v>0</v>
      </c>
      <c r="N110" s="159">
        <v>0</v>
      </c>
      <c r="O110" s="159">
        <v>0</v>
      </c>
      <c r="P110" s="159">
        <v>0</v>
      </c>
      <c r="Q110" s="159">
        <v>1500</v>
      </c>
      <c r="R110" s="159">
        <v>2000</v>
      </c>
      <c r="S110" s="159">
        <v>16103</v>
      </c>
      <c r="T110" s="159">
        <v>0</v>
      </c>
      <c r="U110" s="159">
        <v>6742</v>
      </c>
      <c r="V110" s="159">
        <v>4500</v>
      </c>
      <c r="W110" s="159">
        <v>186</v>
      </c>
      <c r="X110" s="159">
        <v>0</v>
      </c>
      <c r="Y110" s="159">
        <v>1500</v>
      </c>
      <c r="Z110" s="159">
        <v>5286</v>
      </c>
      <c r="AA110" s="159">
        <v>9234</v>
      </c>
      <c r="AB110" s="159">
        <v>4898</v>
      </c>
      <c r="AC110" s="159">
        <v>0</v>
      </c>
      <c r="AD110" s="207">
        <v>51949</v>
      </c>
      <c r="AE110" s="200">
        <v>47.022055997703596</v>
      </c>
      <c r="AF110" s="200">
        <v>26.107855671140452</v>
      </c>
      <c r="AG110" s="200">
        <v>19.895564674681349</v>
      </c>
      <c r="AH110" s="200">
        <v>0</v>
      </c>
      <c r="AI110" s="200">
        <v>0</v>
      </c>
      <c r="AJ110" s="200">
        <v>0</v>
      </c>
      <c r="AL110" s="197">
        <f t="shared" si="9"/>
        <v>59552.5526122964</v>
      </c>
      <c r="AM110" s="197" t="str">
        <f t="shared" si="10"/>
        <v>Box Medium 4</v>
      </c>
      <c r="AN110" s="3">
        <f t="shared" si="11"/>
        <v>10.887282622064193</v>
      </c>
      <c r="AO110" s="3">
        <f t="shared" si="12"/>
        <v>4.2024283946920828</v>
      </c>
      <c r="AP110" s="3">
        <f t="shared" si="13"/>
        <v>0</v>
      </c>
      <c r="AQ110" s="3">
        <f t="shared" si="14"/>
        <v>0</v>
      </c>
      <c r="AR110" s="3">
        <f t="shared" si="15"/>
        <v>4.2024283946920828</v>
      </c>
      <c r="AS110" s="81">
        <f t="shared" si="16"/>
        <v>1</v>
      </c>
      <c r="AT110" s="81">
        <f t="shared" si="17"/>
        <v>0</v>
      </c>
    </row>
    <row r="111" spans="1:46" x14ac:dyDescent="0.25">
      <c r="A111" t="s">
        <v>805</v>
      </c>
      <c r="B111">
        <v>2030</v>
      </c>
      <c r="C111" t="s">
        <v>680</v>
      </c>
      <c r="D111" t="s">
        <v>518</v>
      </c>
      <c r="E111" t="s">
        <v>1028</v>
      </c>
      <c r="F111">
        <v>3</v>
      </c>
      <c r="G111" t="s">
        <v>1846</v>
      </c>
      <c r="H111" s="460">
        <v>2939.4961092035919</v>
      </c>
      <c r="I111">
        <v>1200</v>
      </c>
      <c r="J111">
        <v>0</v>
      </c>
      <c r="K111" s="67">
        <v>0</v>
      </c>
      <c r="L111" s="159">
        <v>150</v>
      </c>
      <c r="M111" s="159">
        <v>14412</v>
      </c>
      <c r="N111" s="159">
        <v>1920</v>
      </c>
      <c r="O111" s="159">
        <v>506</v>
      </c>
      <c r="P111" s="159">
        <v>4037</v>
      </c>
      <c r="Q111" s="159">
        <v>1500</v>
      </c>
      <c r="R111" s="159">
        <v>2000</v>
      </c>
      <c r="S111" s="159">
        <v>16219</v>
      </c>
      <c r="T111" s="159">
        <v>73</v>
      </c>
      <c r="U111" s="159">
        <v>120</v>
      </c>
      <c r="V111" s="159">
        <v>0</v>
      </c>
      <c r="W111" s="159">
        <v>186</v>
      </c>
      <c r="X111" s="159">
        <v>0</v>
      </c>
      <c r="Y111" s="159">
        <v>0</v>
      </c>
      <c r="Z111" s="159">
        <v>0</v>
      </c>
      <c r="AA111" s="159">
        <v>0</v>
      </c>
      <c r="AB111" s="159">
        <v>0</v>
      </c>
      <c r="AC111" s="159">
        <v>0</v>
      </c>
      <c r="AD111" s="207">
        <v>41123</v>
      </c>
      <c r="AE111" s="200">
        <v>17.331910301359159</v>
      </c>
      <c r="AF111" s="200">
        <v>19.573948804706109</v>
      </c>
      <c r="AG111" s="200">
        <v>18.698215803713868</v>
      </c>
      <c r="AH111" s="200">
        <v>0</v>
      </c>
      <c r="AI111" s="200">
        <v>0</v>
      </c>
      <c r="AJ111" s="200">
        <v>0</v>
      </c>
      <c r="AL111" s="197">
        <f t="shared" si="9"/>
        <v>47141.997364250798</v>
      </c>
      <c r="AM111" s="197" t="str">
        <f t="shared" si="10"/>
        <v>Box Medium 4</v>
      </c>
      <c r="AN111" s="3">
        <f t="shared" si="11"/>
        <v>12.628063196459966</v>
      </c>
      <c r="AO111" s="3">
        <f t="shared" si="12"/>
        <v>4.8743596716430053</v>
      </c>
      <c r="AP111" s="3">
        <f t="shared" si="13"/>
        <v>0</v>
      </c>
      <c r="AQ111" s="3">
        <f t="shared" si="14"/>
        <v>0</v>
      </c>
      <c r="AR111" s="3">
        <f t="shared" si="15"/>
        <v>4.8743596716430053</v>
      </c>
      <c r="AS111" s="81">
        <f t="shared" si="16"/>
        <v>1</v>
      </c>
      <c r="AT111" s="81">
        <f t="shared" si="17"/>
        <v>0</v>
      </c>
    </row>
    <row r="112" spans="1:46" x14ac:dyDescent="0.25">
      <c r="A112" t="s">
        <v>805</v>
      </c>
      <c r="B112">
        <v>2030</v>
      </c>
      <c r="C112" t="s">
        <v>680</v>
      </c>
      <c r="D112" t="s">
        <v>518</v>
      </c>
      <c r="E112" t="s">
        <v>1028</v>
      </c>
      <c r="F112">
        <v>3</v>
      </c>
      <c r="G112" t="s">
        <v>1847</v>
      </c>
      <c r="H112" s="460">
        <v>2807.487725820688</v>
      </c>
      <c r="I112">
        <v>1200</v>
      </c>
      <c r="J112">
        <v>0</v>
      </c>
      <c r="K112" s="67">
        <v>0</v>
      </c>
      <c r="L112" s="159">
        <v>150</v>
      </c>
      <c r="M112" s="159">
        <v>21565</v>
      </c>
      <c r="N112" s="159">
        <v>1920</v>
      </c>
      <c r="O112" s="159">
        <v>506</v>
      </c>
      <c r="P112" s="159">
        <v>3333</v>
      </c>
      <c r="Q112" s="159">
        <v>1500</v>
      </c>
      <c r="R112" s="159">
        <v>2000</v>
      </c>
      <c r="S112" s="159">
        <v>16219</v>
      </c>
      <c r="T112" s="159">
        <v>73</v>
      </c>
      <c r="U112" s="159">
        <v>120</v>
      </c>
      <c r="V112" s="159">
        <v>0</v>
      </c>
      <c r="W112" s="159">
        <v>186</v>
      </c>
      <c r="X112" s="159">
        <v>0</v>
      </c>
      <c r="Y112" s="159">
        <v>0</v>
      </c>
      <c r="Z112" s="159">
        <v>0</v>
      </c>
      <c r="AA112" s="159">
        <v>0</v>
      </c>
      <c r="AB112" s="159">
        <v>0</v>
      </c>
      <c r="AC112" s="159">
        <v>0</v>
      </c>
      <c r="AD112" s="207">
        <v>47572</v>
      </c>
      <c r="AE112" s="200">
        <v>10.583960134938932</v>
      </c>
      <c r="AF112" s="200">
        <v>17.265411924615798</v>
      </c>
      <c r="AG112" s="200">
        <v>13.905152498298239</v>
      </c>
      <c r="AH112" s="200">
        <v>0</v>
      </c>
      <c r="AI112" s="200">
        <v>0</v>
      </c>
      <c r="AJ112" s="200">
        <v>0</v>
      </c>
      <c r="AL112" s="197">
        <f t="shared" si="9"/>
        <v>54534.909870684023</v>
      </c>
      <c r="AM112" s="197" t="str">
        <f t="shared" si="10"/>
        <v>Box Medium 4</v>
      </c>
      <c r="AN112" s="3">
        <f t="shared" si="11"/>
        <v>17.150188633069835</v>
      </c>
      <c r="AO112" s="3">
        <f t="shared" si="12"/>
        <v>6.6198740482658085</v>
      </c>
      <c r="AP112" s="3">
        <f t="shared" si="13"/>
        <v>0</v>
      </c>
      <c r="AQ112" s="3">
        <f t="shared" si="14"/>
        <v>0</v>
      </c>
      <c r="AR112" s="3">
        <f t="shared" si="15"/>
        <v>6.6198740482658085</v>
      </c>
      <c r="AS112" s="81">
        <f t="shared" si="16"/>
        <v>1</v>
      </c>
      <c r="AT112" s="81">
        <f t="shared" si="17"/>
        <v>0</v>
      </c>
    </row>
    <row r="113" spans="1:46" x14ac:dyDescent="0.25">
      <c r="A113" t="s">
        <v>807</v>
      </c>
      <c r="B113">
        <v>2030</v>
      </c>
      <c r="C113" t="s">
        <v>680</v>
      </c>
      <c r="D113" t="s">
        <v>518</v>
      </c>
      <c r="E113" t="s">
        <v>1028</v>
      </c>
      <c r="F113">
        <v>3</v>
      </c>
      <c r="G113" t="s">
        <v>1848</v>
      </c>
      <c r="H113" s="460">
        <v>2919.3419098293625</v>
      </c>
      <c r="I113">
        <v>1200</v>
      </c>
      <c r="J113">
        <v>0</v>
      </c>
      <c r="K113" s="67">
        <v>2.4710400000000003</v>
      </c>
      <c r="L113" s="159">
        <v>150</v>
      </c>
      <c r="M113" s="159">
        <v>12981</v>
      </c>
      <c r="N113" s="159">
        <v>220</v>
      </c>
      <c r="O113" s="159">
        <v>392</v>
      </c>
      <c r="P113" s="159">
        <v>3392</v>
      </c>
      <c r="Q113" s="159">
        <v>1500</v>
      </c>
      <c r="R113" s="159">
        <v>2000</v>
      </c>
      <c r="S113" s="159">
        <v>16219</v>
      </c>
      <c r="T113" s="159">
        <v>0</v>
      </c>
      <c r="U113" s="159">
        <v>887</v>
      </c>
      <c r="V113" s="159">
        <v>4500</v>
      </c>
      <c r="W113" s="159">
        <v>186</v>
      </c>
      <c r="X113" s="159">
        <v>120</v>
      </c>
      <c r="Y113" s="159">
        <v>1500</v>
      </c>
      <c r="Z113" s="159">
        <v>1519</v>
      </c>
      <c r="AA113" s="159">
        <v>0</v>
      </c>
      <c r="AB113" s="159">
        <v>0</v>
      </c>
      <c r="AC113" s="159">
        <v>0</v>
      </c>
      <c r="AD113" s="207">
        <v>45566</v>
      </c>
      <c r="AE113" s="200">
        <v>27.727455542754367</v>
      </c>
      <c r="AF113" s="200">
        <v>21.804513179616059</v>
      </c>
      <c r="AG113" s="200">
        <v>19.388582266808637</v>
      </c>
      <c r="AH113" s="200">
        <v>0</v>
      </c>
      <c r="AI113" s="200">
        <v>0</v>
      </c>
      <c r="AJ113" s="200">
        <v>0</v>
      </c>
      <c r="AL113" s="197">
        <f t="shared" si="9"/>
        <v>52235.300243159596</v>
      </c>
      <c r="AM113" s="197" t="str">
        <f t="shared" si="10"/>
        <v>Box Medium 4</v>
      </c>
      <c r="AN113" s="3">
        <f t="shared" si="11"/>
        <v>11.645802668719034</v>
      </c>
      <c r="AO113" s="3">
        <f t="shared" si="12"/>
        <v>4.4952127645536137</v>
      </c>
      <c r="AP113" s="3">
        <f t="shared" si="13"/>
        <v>0</v>
      </c>
      <c r="AQ113" s="3">
        <f t="shared" si="14"/>
        <v>0</v>
      </c>
      <c r="AR113" s="3">
        <f t="shared" si="15"/>
        <v>4.4952127645536137</v>
      </c>
      <c r="AS113" s="81">
        <f t="shared" si="16"/>
        <v>1</v>
      </c>
      <c r="AT113" s="81">
        <f t="shared" si="17"/>
        <v>0</v>
      </c>
    </row>
    <row r="114" spans="1:46" x14ac:dyDescent="0.25">
      <c r="A114" t="s">
        <v>807</v>
      </c>
      <c r="B114">
        <v>2030</v>
      </c>
      <c r="C114" t="s">
        <v>680</v>
      </c>
      <c r="D114" t="s">
        <v>518</v>
      </c>
      <c r="E114" t="s">
        <v>1028</v>
      </c>
      <c r="F114">
        <v>3</v>
      </c>
      <c r="G114" t="s">
        <v>1849</v>
      </c>
      <c r="H114" s="460">
        <v>2784.5834952061787</v>
      </c>
      <c r="I114">
        <v>1200</v>
      </c>
      <c r="J114">
        <v>0</v>
      </c>
      <c r="K114" s="67">
        <v>2.6611200000000004</v>
      </c>
      <c r="L114" s="159">
        <v>150</v>
      </c>
      <c r="M114" s="159">
        <v>10955</v>
      </c>
      <c r="N114" s="159">
        <v>220</v>
      </c>
      <c r="O114" s="159">
        <v>392</v>
      </c>
      <c r="P114" s="159">
        <v>2315</v>
      </c>
      <c r="Q114" s="159">
        <v>1500</v>
      </c>
      <c r="R114" s="159">
        <v>2000</v>
      </c>
      <c r="S114" s="159">
        <v>16219</v>
      </c>
      <c r="T114" s="159">
        <v>0</v>
      </c>
      <c r="U114" s="159">
        <v>956</v>
      </c>
      <c r="V114" s="159">
        <v>4500</v>
      </c>
      <c r="W114" s="159">
        <v>186</v>
      </c>
      <c r="X114" s="159">
        <v>120</v>
      </c>
      <c r="Y114" s="159">
        <v>1500</v>
      </c>
      <c r="Z114" s="159">
        <v>1541</v>
      </c>
      <c r="AA114" s="159">
        <v>0</v>
      </c>
      <c r="AB114" s="159">
        <v>0</v>
      </c>
      <c r="AC114" s="159">
        <v>0</v>
      </c>
      <c r="AD114" s="207">
        <v>42554</v>
      </c>
      <c r="AE114" s="200">
        <v>23.851475601187445</v>
      </c>
      <c r="AF114" s="200">
        <v>20.516139345686916</v>
      </c>
      <c r="AG114" s="200">
        <v>15.8334611672385</v>
      </c>
      <c r="AH114" s="200">
        <v>0</v>
      </c>
      <c r="AI114" s="200">
        <v>0</v>
      </c>
      <c r="AJ114" s="200">
        <v>0</v>
      </c>
      <c r="AL114" s="197">
        <f t="shared" si="9"/>
        <v>48782.446704723116</v>
      </c>
      <c r="AM114" s="197" t="str">
        <f t="shared" si="10"/>
        <v>Box Medium 4</v>
      </c>
      <c r="AN114" s="3">
        <f t="shared" si="11"/>
        <v>14.051018451563806</v>
      </c>
      <c r="AO114" s="3">
        <f t="shared" si="12"/>
        <v>5.4236122056321463</v>
      </c>
      <c r="AP114" s="3">
        <f t="shared" si="13"/>
        <v>0</v>
      </c>
      <c r="AQ114" s="3">
        <f t="shared" si="14"/>
        <v>0</v>
      </c>
      <c r="AR114" s="3">
        <f t="shared" si="15"/>
        <v>5.4236122056321463</v>
      </c>
      <c r="AS114" s="81">
        <f t="shared" si="16"/>
        <v>1</v>
      </c>
      <c r="AT114" s="81">
        <f t="shared" si="17"/>
        <v>0</v>
      </c>
    </row>
    <row r="115" spans="1:46" x14ac:dyDescent="0.25">
      <c r="A115" t="s">
        <v>808</v>
      </c>
      <c r="B115">
        <v>2030</v>
      </c>
      <c r="C115" t="s">
        <v>680</v>
      </c>
      <c r="D115" t="s">
        <v>518</v>
      </c>
      <c r="E115" t="s">
        <v>1028</v>
      </c>
      <c r="F115">
        <v>3</v>
      </c>
      <c r="G115" t="s">
        <v>1850</v>
      </c>
      <c r="H115" s="460">
        <v>3483.9284269629934</v>
      </c>
      <c r="I115">
        <v>1200</v>
      </c>
      <c r="J115">
        <v>119.99999997072871</v>
      </c>
      <c r="K115" s="67">
        <v>103.02375000000001</v>
      </c>
      <c r="L115" s="159">
        <v>0</v>
      </c>
      <c r="M115" s="159">
        <v>11415</v>
      </c>
      <c r="N115" s="159">
        <v>220</v>
      </c>
      <c r="O115" s="159">
        <v>0</v>
      </c>
      <c r="P115" s="159">
        <v>0</v>
      </c>
      <c r="Q115" s="159">
        <v>1500</v>
      </c>
      <c r="R115" s="159">
        <v>2000</v>
      </c>
      <c r="S115" s="159">
        <v>16219</v>
      </c>
      <c r="T115" s="159">
        <v>2605</v>
      </c>
      <c r="U115" s="159">
        <v>20605</v>
      </c>
      <c r="V115" s="159">
        <v>4500</v>
      </c>
      <c r="W115" s="159">
        <v>186</v>
      </c>
      <c r="X115" s="159">
        <v>0</v>
      </c>
      <c r="Y115" s="159">
        <v>1500</v>
      </c>
      <c r="Z115" s="159">
        <v>3738</v>
      </c>
      <c r="AA115" s="159">
        <v>0</v>
      </c>
      <c r="AB115" s="159">
        <v>0</v>
      </c>
      <c r="AC115" s="159">
        <v>0</v>
      </c>
      <c r="AD115" s="207">
        <v>64488</v>
      </c>
      <c r="AE115" s="200">
        <v>77.551809262139699</v>
      </c>
      <c r="AF115" s="200">
        <v>36.308396843293572</v>
      </c>
      <c r="AG115" s="200">
        <v>23.336001530609092</v>
      </c>
      <c r="AH115" s="200">
        <v>443</v>
      </c>
      <c r="AI115" s="200">
        <v>769</v>
      </c>
      <c r="AJ115" s="200">
        <v>985</v>
      </c>
      <c r="AL115" s="197">
        <f t="shared" si="9"/>
        <v>73926.832332899008</v>
      </c>
      <c r="AM115" s="197" t="str">
        <f t="shared" si="10"/>
        <v>Box Medium 4</v>
      </c>
      <c r="AN115" s="3">
        <f t="shared" si="11"/>
        <v>4.5253674896198204</v>
      </c>
      <c r="AO115" s="3">
        <f t="shared" si="12"/>
        <v>1.7467657904143852</v>
      </c>
      <c r="AP115" s="3">
        <f t="shared" si="13"/>
        <v>28.3147128636584</v>
      </c>
      <c r="AQ115" s="3">
        <f t="shared" si="14"/>
        <v>1.0193296630917024</v>
      </c>
      <c r="AR115" s="3">
        <f t="shared" si="15"/>
        <v>2.7660954535060878</v>
      </c>
      <c r="AS115" s="81">
        <f t="shared" si="16"/>
        <v>0.63149150843667401</v>
      </c>
      <c r="AT115" s="81">
        <f t="shared" si="17"/>
        <v>0.36850849156332594</v>
      </c>
    </row>
    <row r="116" spans="1:46" x14ac:dyDescent="0.25">
      <c r="A116" t="s">
        <v>808</v>
      </c>
      <c r="B116">
        <v>2030</v>
      </c>
      <c r="C116" t="s">
        <v>680</v>
      </c>
      <c r="D116" t="s">
        <v>518</v>
      </c>
      <c r="E116" t="s">
        <v>1028</v>
      </c>
      <c r="F116">
        <v>3</v>
      </c>
      <c r="G116" t="s">
        <v>1851</v>
      </c>
      <c r="H116" s="460">
        <v>3330.728535238426</v>
      </c>
      <c r="I116">
        <v>1200</v>
      </c>
      <c r="J116">
        <v>119.99999997072871</v>
      </c>
      <c r="K116" s="67">
        <v>94.335000000000008</v>
      </c>
      <c r="L116" s="159">
        <v>0</v>
      </c>
      <c r="M116" s="159">
        <v>7775</v>
      </c>
      <c r="N116" s="159">
        <v>220</v>
      </c>
      <c r="O116" s="159">
        <v>0</v>
      </c>
      <c r="P116" s="159">
        <v>2499</v>
      </c>
      <c r="Q116" s="159">
        <v>1500</v>
      </c>
      <c r="R116" s="159">
        <v>2000</v>
      </c>
      <c r="S116" s="159">
        <v>16219</v>
      </c>
      <c r="T116" s="159">
        <v>2072</v>
      </c>
      <c r="U116" s="159">
        <v>18867</v>
      </c>
      <c r="V116" s="159">
        <v>4500</v>
      </c>
      <c r="W116" s="159">
        <v>186</v>
      </c>
      <c r="X116" s="159">
        <v>0</v>
      </c>
      <c r="Y116" s="159">
        <v>1500</v>
      </c>
      <c r="Z116" s="159">
        <v>2776</v>
      </c>
      <c r="AA116" s="159">
        <v>0</v>
      </c>
      <c r="AB116" s="159">
        <v>0</v>
      </c>
      <c r="AC116" s="159">
        <v>0</v>
      </c>
      <c r="AD116" s="207">
        <v>60114</v>
      </c>
      <c r="AE116" s="200">
        <v>24.9037685929936</v>
      </c>
      <c r="AF116" s="200">
        <v>17.076724679885174</v>
      </c>
      <c r="AG116" s="200">
        <v>12.739668922699416</v>
      </c>
      <c r="AH116" s="200">
        <v>452</v>
      </c>
      <c r="AI116" s="200">
        <v>669</v>
      </c>
      <c r="AJ116" s="200">
        <v>873</v>
      </c>
      <c r="AL116" s="197">
        <f t="shared" si="9"/>
        <v>68912.628688436467</v>
      </c>
      <c r="AM116" s="197" t="str">
        <f t="shared" si="10"/>
        <v>Box Medium 4</v>
      </c>
      <c r="AN116" s="3">
        <f t="shared" si="11"/>
        <v>8.5696769025548409</v>
      </c>
      <c r="AO116" s="3">
        <f t="shared" si="12"/>
        <v>3.3078459335342689</v>
      </c>
      <c r="AP116" s="3">
        <f t="shared" si="13"/>
        <v>25.244510171871699</v>
      </c>
      <c r="AQ116" s="3">
        <f t="shared" si="14"/>
        <v>0.90880236618738119</v>
      </c>
      <c r="AR116" s="3">
        <f t="shared" si="15"/>
        <v>4.2166482997216503</v>
      </c>
      <c r="AS116" s="81">
        <f t="shared" si="16"/>
        <v>0.78447280835649169</v>
      </c>
      <c r="AT116" s="81">
        <f t="shared" si="17"/>
        <v>0.21552719164350823</v>
      </c>
    </row>
    <row r="117" spans="1:46" x14ac:dyDescent="0.25">
      <c r="A117" t="s">
        <v>230</v>
      </c>
      <c r="B117">
        <v>2030</v>
      </c>
      <c r="C117" t="s">
        <v>680</v>
      </c>
      <c r="D117" t="s">
        <v>518</v>
      </c>
      <c r="E117" t="s">
        <v>1028</v>
      </c>
      <c r="F117">
        <v>3</v>
      </c>
      <c r="G117" t="s">
        <v>1852</v>
      </c>
      <c r="H117" s="460">
        <v>3151.1159015822595</v>
      </c>
      <c r="I117">
        <v>1200</v>
      </c>
      <c r="J117">
        <v>150.00000001001371</v>
      </c>
      <c r="K117" s="67">
        <v>132.56550000000001</v>
      </c>
      <c r="L117" s="159">
        <v>0</v>
      </c>
      <c r="M117" s="159">
        <v>0</v>
      </c>
      <c r="N117" s="159">
        <v>0</v>
      </c>
      <c r="O117" s="159">
        <v>0</v>
      </c>
      <c r="P117" s="159">
        <v>0</v>
      </c>
      <c r="Q117" s="159">
        <v>1500</v>
      </c>
      <c r="R117" s="159">
        <v>2000</v>
      </c>
      <c r="S117" s="159">
        <v>16219</v>
      </c>
      <c r="T117" s="159">
        <v>0</v>
      </c>
      <c r="U117" s="159">
        <v>26513</v>
      </c>
      <c r="V117" s="159">
        <v>4500</v>
      </c>
      <c r="W117" s="159">
        <v>186</v>
      </c>
      <c r="X117" s="159">
        <v>0</v>
      </c>
      <c r="Y117" s="159">
        <v>1500</v>
      </c>
      <c r="Z117" s="159">
        <v>3235</v>
      </c>
      <c r="AA117" s="159">
        <v>0</v>
      </c>
      <c r="AB117" s="159">
        <v>0</v>
      </c>
      <c r="AC117" s="159">
        <v>0</v>
      </c>
      <c r="AD117" s="207">
        <v>55653</v>
      </c>
      <c r="AE117" s="200">
        <v>0</v>
      </c>
      <c r="AF117" s="200">
        <v>0</v>
      </c>
      <c r="AG117" s="200">
        <v>0</v>
      </c>
      <c r="AH117" s="200">
        <v>419</v>
      </c>
      <c r="AI117" s="200">
        <v>732</v>
      </c>
      <c r="AJ117" s="200">
        <v>940</v>
      </c>
      <c r="AL117" s="197">
        <f t="shared" si="9"/>
        <v>63798.691226628645</v>
      </c>
      <c r="AM117" s="197" t="str">
        <f t="shared" si="10"/>
        <v>Box Medium 4</v>
      </c>
      <c r="AN117" s="3">
        <f t="shared" si="11"/>
        <v>0</v>
      </c>
      <c r="AO117" s="3">
        <f t="shared" si="12"/>
        <v>0</v>
      </c>
      <c r="AP117" s="3">
        <f t="shared" si="13"/>
        <v>54.008475524127903</v>
      </c>
      <c r="AQ117" s="3">
        <f t="shared" si="14"/>
        <v>1.9443051188686045</v>
      </c>
      <c r="AR117" s="3">
        <f t="shared" si="15"/>
        <v>1.9443051188686045</v>
      </c>
      <c r="AS117" s="81">
        <f t="shared" si="16"/>
        <v>0</v>
      </c>
      <c r="AT117" s="81">
        <f t="shared" si="17"/>
        <v>1</v>
      </c>
    </row>
    <row r="118" spans="1:46" x14ac:dyDescent="0.25">
      <c r="A118" t="s">
        <v>496</v>
      </c>
      <c r="B118">
        <v>2030</v>
      </c>
      <c r="C118" t="s">
        <v>680</v>
      </c>
      <c r="D118" t="s">
        <v>518</v>
      </c>
      <c r="E118" t="s">
        <v>1028</v>
      </c>
      <c r="F118">
        <v>3</v>
      </c>
      <c r="G118" t="s">
        <v>1853</v>
      </c>
      <c r="H118" s="460">
        <v>2695.9428599882581</v>
      </c>
      <c r="I118">
        <v>1200</v>
      </c>
      <c r="J118">
        <v>150.00000001001371</v>
      </c>
      <c r="K118" s="67">
        <v>3.1046400000000003</v>
      </c>
      <c r="L118" s="159">
        <v>0</v>
      </c>
      <c r="M118" s="159">
        <v>0</v>
      </c>
      <c r="N118" s="159">
        <v>0</v>
      </c>
      <c r="O118" s="159">
        <v>0</v>
      </c>
      <c r="P118" s="159">
        <v>0</v>
      </c>
      <c r="Q118" s="159">
        <v>1500</v>
      </c>
      <c r="R118" s="159">
        <v>2000</v>
      </c>
      <c r="S118" s="159">
        <v>16219</v>
      </c>
      <c r="T118" s="159">
        <v>0</v>
      </c>
      <c r="U118" s="159">
        <v>1115</v>
      </c>
      <c r="V118" s="159">
        <v>4500</v>
      </c>
      <c r="W118" s="159">
        <v>186</v>
      </c>
      <c r="X118" s="159">
        <v>0</v>
      </c>
      <c r="Y118" s="159">
        <v>1500</v>
      </c>
      <c r="Z118" s="159">
        <v>3239</v>
      </c>
      <c r="AA118" s="159">
        <v>14486</v>
      </c>
      <c r="AB118" s="159">
        <v>4831</v>
      </c>
      <c r="AC118" s="159">
        <v>0</v>
      </c>
      <c r="AD118" s="207">
        <v>49576</v>
      </c>
      <c r="AE118" s="200">
        <v>50.436814350627522</v>
      </c>
      <c r="AF118" s="200">
        <v>31.47125009994928</v>
      </c>
      <c r="AG118" s="200">
        <v>23.735732417081962</v>
      </c>
      <c r="AH118" s="200">
        <v>0</v>
      </c>
      <c r="AI118" s="200">
        <v>0</v>
      </c>
      <c r="AJ118" s="200">
        <v>0</v>
      </c>
      <c r="AL118" s="197">
        <f t="shared" si="9"/>
        <v>56832.226766775231</v>
      </c>
      <c r="AM118" s="197" t="str">
        <f t="shared" si="10"/>
        <v>Box Medium 4</v>
      </c>
      <c r="AN118" s="3">
        <f t="shared" si="11"/>
        <v>9.1659087676432414</v>
      </c>
      <c r="AO118" s="3">
        <f t="shared" si="12"/>
        <v>3.5379879998924819</v>
      </c>
      <c r="AP118" s="3">
        <f t="shared" si="13"/>
        <v>0</v>
      </c>
      <c r="AQ118" s="3">
        <f t="shared" si="14"/>
        <v>0</v>
      </c>
      <c r="AR118" s="3">
        <f t="shared" si="15"/>
        <v>3.5379879998924819</v>
      </c>
      <c r="AS118" s="81">
        <f t="shared" si="16"/>
        <v>1</v>
      </c>
      <c r="AT118" s="81">
        <f t="shared" si="17"/>
        <v>0</v>
      </c>
    </row>
    <row r="119" spans="1:46" x14ac:dyDescent="0.25">
      <c r="A119" t="s">
        <v>828</v>
      </c>
      <c r="B119">
        <v>2030</v>
      </c>
      <c r="C119" t="s">
        <v>680</v>
      </c>
      <c r="D119" t="s">
        <v>518</v>
      </c>
      <c r="E119" t="s">
        <v>1028</v>
      </c>
      <c r="F119">
        <v>3</v>
      </c>
      <c r="G119" t="s">
        <v>1854</v>
      </c>
      <c r="H119" s="460">
        <v>2728.4697933334028</v>
      </c>
      <c r="I119">
        <v>1200</v>
      </c>
      <c r="J119">
        <v>150.00000001001371</v>
      </c>
      <c r="K119" s="67">
        <v>24.452625000000001</v>
      </c>
      <c r="L119" s="159">
        <v>0</v>
      </c>
      <c r="M119" s="159">
        <v>0</v>
      </c>
      <c r="N119" s="159">
        <v>0</v>
      </c>
      <c r="O119" s="159">
        <v>0</v>
      </c>
      <c r="P119" s="159">
        <v>0</v>
      </c>
      <c r="Q119" s="159">
        <v>1500</v>
      </c>
      <c r="R119" s="159">
        <v>2000</v>
      </c>
      <c r="S119" s="159">
        <v>16219</v>
      </c>
      <c r="T119" s="159">
        <v>0</v>
      </c>
      <c r="U119" s="159">
        <v>4891</v>
      </c>
      <c r="V119" s="159">
        <v>4500</v>
      </c>
      <c r="W119" s="159">
        <v>186</v>
      </c>
      <c r="X119" s="159">
        <v>0</v>
      </c>
      <c r="Y119" s="159">
        <v>1500</v>
      </c>
      <c r="Z119" s="159">
        <v>4117</v>
      </c>
      <c r="AA119" s="159">
        <v>7417</v>
      </c>
      <c r="AB119" s="159">
        <v>3882</v>
      </c>
      <c r="AC119" s="159">
        <v>0</v>
      </c>
      <c r="AD119" s="207">
        <v>46212</v>
      </c>
      <c r="AE119" s="200">
        <v>50.867599003269227</v>
      </c>
      <c r="AF119" s="200">
        <v>28.598393437567545</v>
      </c>
      <c r="AG119" s="200">
        <v>21.847161838159533</v>
      </c>
      <c r="AH119" s="200">
        <v>0</v>
      </c>
      <c r="AI119" s="200">
        <v>0</v>
      </c>
      <c r="AJ119" s="200">
        <v>0</v>
      </c>
      <c r="AL119" s="197">
        <f t="shared" si="9"/>
        <v>52975.852496091189</v>
      </c>
      <c r="AM119" s="197" t="str">
        <f t="shared" si="10"/>
        <v>Box Medium 4</v>
      </c>
      <c r="AN119" s="3">
        <f t="shared" si="11"/>
        <v>9.9234135089325317</v>
      </c>
      <c r="AO119" s="3">
        <f t="shared" si="12"/>
        <v>3.8303804677298277</v>
      </c>
      <c r="AP119" s="3">
        <f t="shared" si="13"/>
        <v>0</v>
      </c>
      <c r="AQ119" s="3">
        <f t="shared" si="14"/>
        <v>0</v>
      </c>
      <c r="AR119" s="3">
        <f t="shared" si="15"/>
        <v>3.8303804677298277</v>
      </c>
      <c r="AS119" s="81">
        <f t="shared" si="16"/>
        <v>1</v>
      </c>
      <c r="AT119" s="81">
        <f t="shared" si="17"/>
        <v>0</v>
      </c>
    </row>
    <row r="120" spans="1:46" x14ac:dyDescent="0.25">
      <c r="A120" t="s">
        <v>805</v>
      </c>
      <c r="B120">
        <v>2035</v>
      </c>
      <c r="C120" t="s">
        <v>680</v>
      </c>
      <c r="D120" t="s">
        <v>518</v>
      </c>
      <c r="E120" t="s">
        <v>1028</v>
      </c>
      <c r="F120">
        <v>3</v>
      </c>
      <c r="G120" t="s">
        <v>1855</v>
      </c>
      <c r="H120" s="460">
        <v>2935.1508602567628</v>
      </c>
      <c r="I120">
        <v>1200</v>
      </c>
      <c r="J120">
        <v>0</v>
      </c>
      <c r="K120" s="67">
        <v>0</v>
      </c>
      <c r="L120" s="159">
        <v>150</v>
      </c>
      <c r="M120" s="159">
        <v>14251</v>
      </c>
      <c r="N120" s="159">
        <v>1920</v>
      </c>
      <c r="O120" s="159">
        <v>506</v>
      </c>
      <c r="P120" s="159">
        <v>3990</v>
      </c>
      <c r="Q120" s="159">
        <v>1500</v>
      </c>
      <c r="R120" s="159">
        <v>2000</v>
      </c>
      <c r="S120" s="159">
        <v>16219</v>
      </c>
      <c r="T120" s="159">
        <v>63</v>
      </c>
      <c r="U120" s="159">
        <v>120</v>
      </c>
      <c r="V120" s="159">
        <v>0</v>
      </c>
      <c r="W120" s="159">
        <v>186</v>
      </c>
      <c r="X120" s="159">
        <v>0</v>
      </c>
      <c r="Y120" s="159">
        <v>0</v>
      </c>
      <c r="Z120" s="159">
        <v>0</v>
      </c>
      <c r="AA120" s="159">
        <v>0</v>
      </c>
      <c r="AB120" s="159">
        <v>0</v>
      </c>
      <c r="AC120" s="159">
        <v>0</v>
      </c>
      <c r="AD120" s="207">
        <v>40905</v>
      </c>
      <c r="AE120" s="200">
        <v>18.250011361048944</v>
      </c>
      <c r="AF120" s="200">
        <v>21.274403052889198</v>
      </c>
      <c r="AG120" s="200">
        <v>20.640908770399353</v>
      </c>
      <c r="AH120" s="200">
        <v>0</v>
      </c>
      <c r="AI120" s="200">
        <v>0</v>
      </c>
      <c r="AJ120" s="200">
        <v>0</v>
      </c>
      <c r="AL120" s="197">
        <f t="shared" si="9"/>
        <v>46892.089638029305</v>
      </c>
      <c r="AM120" s="197" t="str">
        <f t="shared" si="10"/>
        <v>Box Medium 4</v>
      </c>
      <c r="AN120" s="3">
        <f t="shared" si="11"/>
        <v>11.51433115720042</v>
      </c>
      <c r="AO120" s="3">
        <f t="shared" si="12"/>
        <v>4.4444655182224482</v>
      </c>
      <c r="AP120" s="3">
        <f t="shared" si="13"/>
        <v>0</v>
      </c>
      <c r="AQ120" s="3">
        <f t="shared" si="14"/>
        <v>0</v>
      </c>
      <c r="AR120" s="3">
        <f t="shared" si="15"/>
        <v>4.4444655182224482</v>
      </c>
      <c r="AS120" s="81">
        <f t="shared" si="16"/>
        <v>1</v>
      </c>
      <c r="AT120" s="81">
        <f t="shared" si="17"/>
        <v>0</v>
      </c>
    </row>
    <row r="121" spans="1:46" x14ac:dyDescent="0.25">
      <c r="A121" t="s">
        <v>805</v>
      </c>
      <c r="B121">
        <v>2035</v>
      </c>
      <c r="C121" t="s">
        <v>680</v>
      </c>
      <c r="D121" t="s">
        <v>518</v>
      </c>
      <c r="E121" t="s">
        <v>1028</v>
      </c>
      <c r="F121">
        <v>3</v>
      </c>
      <c r="G121" t="s">
        <v>1856</v>
      </c>
      <c r="H121" s="460">
        <v>2807.4804416207362</v>
      </c>
      <c r="I121">
        <v>1200</v>
      </c>
      <c r="J121">
        <v>0</v>
      </c>
      <c r="K121" s="67">
        <v>0</v>
      </c>
      <c r="L121" s="159">
        <v>150</v>
      </c>
      <c r="M121" s="159">
        <v>21946</v>
      </c>
      <c r="N121" s="159">
        <v>1920</v>
      </c>
      <c r="O121" s="159">
        <v>506</v>
      </c>
      <c r="P121" s="159">
        <v>3333</v>
      </c>
      <c r="Q121" s="159">
        <v>1500</v>
      </c>
      <c r="R121" s="159">
        <v>2000</v>
      </c>
      <c r="S121" s="159">
        <v>16219</v>
      </c>
      <c r="T121" s="159">
        <v>63</v>
      </c>
      <c r="U121" s="159">
        <v>120</v>
      </c>
      <c r="V121" s="159">
        <v>0</v>
      </c>
      <c r="W121" s="159">
        <v>186</v>
      </c>
      <c r="X121" s="159">
        <v>0</v>
      </c>
      <c r="Y121" s="159">
        <v>0</v>
      </c>
      <c r="Z121" s="159">
        <v>0</v>
      </c>
      <c r="AA121" s="159">
        <v>0</v>
      </c>
      <c r="AB121" s="159">
        <v>0</v>
      </c>
      <c r="AC121" s="159">
        <v>0</v>
      </c>
      <c r="AD121" s="207">
        <v>47943</v>
      </c>
      <c r="AE121" s="200">
        <v>11.252704639799637</v>
      </c>
      <c r="AF121" s="200">
        <v>19.023882125672195</v>
      </c>
      <c r="AG121" s="200">
        <v>15.436476737777678</v>
      </c>
      <c r="AH121" s="200">
        <v>0</v>
      </c>
      <c r="AI121" s="200">
        <v>0</v>
      </c>
      <c r="AJ121" s="200">
        <v>0</v>
      </c>
      <c r="AL121" s="197">
        <f t="shared" si="9"/>
        <v>54960.211551547218</v>
      </c>
      <c r="AM121" s="197" t="str">
        <f t="shared" si="10"/>
        <v>Box Medium 4</v>
      </c>
      <c r="AN121" s="3">
        <f t="shared" si="11"/>
        <v>15.545546407170347</v>
      </c>
      <c r="AO121" s="3">
        <f t="shared" si="12"/>
        <v>6.0004913898441616</v>
      </c>
      <c r="AP121" s="3">
        <f t="shared" si="13"/>
        <v>0</v>
      </c>
      <c r="AQ121" s="3">
        <f t="shared" si="14"/>
        <v>0</v>
      </c>
      <c r="AR121" s="3">
        <f t="shared" si="15"/>
        <v>6.0004913898441616</v>
      </c>
      <c r="AS121" s="81">
        <f t="shared" si="16"/>
        <v>1</v>
      </c>
      <c r="AT121" s="81">
        <f t="shared" si="17"/>
        <v>0</v>
      </c>
    </row>
    <row r="122" spans="1:46" x14ac:dyDescent="0.25">
      <c r="A122" t="s">
        <v>807</v>
      </c>
      <c r="B122">
        <v>2035</v>
      </c>
      <c r="C122" t="s">
        <v>680</v>
      </c>
      <c r="D122" t="s">
        <v>518</v>
      </c>
      <c r="E122" t="s">
        <v>1028</v>
      </c>
      <c r="F122">
        <v>3</v>
      </c>
      <c r="G122" t="s">
        <v>1857</v>
      </c>
      <c r="H122" s="460">
        <v>2919.4503704669642</v>
      </c>
      <c r="I122">
        <v>1200</v>
      </c>
      <c r="J122">
        <v>0</v>
      </c>
      <c r="K122" s="67">
        <v>2.5502400000000005</v>
      </c>
      <c r="L122" s="159">
        <v>150</v>
      </c>
      <c r="M122" s="159">
        <v>12924</v>
      </c>
      <c r="N122" s="159">
        <v>220</v>
      </c>
      <c r="O122" s="159">
        <v>392</v>
      </c>
      <c r="P122" s="159">
        <v>3392</v>
      </c>
      <c r="Q122" s="159">
        <v>1500</v>
      </c>
      <c r="R122" s="159">
        <v>2000</v>
      </c>
      <c r="S122" s="159">
        <v>16219</v>
      </c>
      <c r="T122" s="159">
        <v>0</v>
      </c>
      <c r="U122" s="159">
        <v>868</v>
      </c>
      <c r="V122" s="159">
        <v>4500</v>
      </c>
      <c r="W122" s="159">
        <v>186</v>
      </c>
      <c r="X122" s="159">
        <v>120</v>
      </c>
      <c r="Y122" s="159">
        <v>1500</v>
      </c>
      <c r="Z122" s="159">
        <v>1278</v>
      </c>
      <c r="AA122" s="159">
        <v>0</v>
      </c>
      <c r="AB122" s="159">
        <v>0</v>
      </c>
      <c r="AC122" s="159">
        <v>0</v>
      </c>
      <c r="AD122" s="207">
        <v>45249</v>
      </c>
      <c r="AE122" s="200">
        <v>29.969551489760267</v>
      </c>
      <c r="AF122" s="200">
        <v>26.665501317866205</v>
      </c>
      <c r="AG122" s="200">
        <v>21.415024772322464</v>
      </c>
      <c r="AH122" s="200">
        <v>0</v>
      </c>
      <c r="AI122" s="200">
        <v>0</v>
      </c>
      <c r="AJ122" s="200">
        <v>0</v>
      </c>
      <c r="AL122" s="197">
        <f t="shared" si="9"/>
        <v>51871.902310993471</v>
      </c>
      <c r="AM122" s="197" t="str">
        <f t="shared" si="10"/>
        <v>Box Medium 4</v>
      </c>
      <c r="AN122" s="3">
        <f t="shared" si="11"/>
        <v>10.475488533219625</v>
      </c>
      <c r="AO122" s="3">
        <f t="shared" si="12"/>
        <v>4.0434782478281015</v>
      </c>
      <c r="AP122" s="3">
        <f t="shared" si="13"/>
        <v>0</v>
      </c>
      <c r="AQ122" s="3">
        <f t="shared" si="14"/>
        <v>0</v>
      </c>
      <c r="AR122" s="3">
        <f t="shared" si="15"/>
        <v>4.0434782478281015</v>
      </c>
      <c r="AS122" s="81">
        <f t="shared" si="16"/>
        <v>1</v>
      </c>
      <c r="AT122" s="81">
        <f t="shared" si="17"/>
        <v>0</v>
      </c>
    </row>
    <row r="123" spans="1:46" x14ac:dyDescent="0.25">
      <c r="A123" t="s">
        <v>807</v>
      </c>
      <c r="B123">
        <v>2035</v>
      </c>
      <c r="C123" t="s">
        <v>680</v>
      </c>
      <c r="D123" t="s">
        <v>518</v>
      </c>
      <c r="E123" t="s">
        <v>1028</v>
      </c>
      <c r="F123">
        <v>3</v>
      </c>
      <c r="G123" t="s">
        <v>1858</v>
      </c>
      <c r="H123" s="460">
        <v>2786.3159953678073</v>
      </c>
      <c r="I123">
        <v>1200</v>
      </c>
      <c r="J123">
        <v>0</v>
      </c>
      <c r="K123" s="67">
        <v>3.1680000000000006</v>
      </c>
      <c r="L123" s="159">
        <v>150</v>
      </c>
      <c r="M123" s="159">
        <v>11337</v>
      </c>
      <c r="N123" s="159">
        <v>220</v>
      </c>
      <c r="O123" s="159">
        <v>392</v>
      </c>
      <c r="P123" s="159">
        <v>2315</v>
      </c>
      <c r="Q123" s="159">
        <v>1500</v>
      </c>
      <c r="R123" s="159">
        <v>2000</v>
      </c>
      <c r="S123" s="159">
        <v>16219</v>
      </c>
      <c r="T123" s="159">
        <v>0</v>
      </c>
      <c r="U123" s="159">
        <v>1078</v>
      </c>
      <c r="V123" s="159">
        <v>4500</v>
      </c>
      <c r="W123" s="159">
        <v>186</v>
      </c>
      <c r="X123" s="159">
        <v>120</v>
      </c>
      <c r="Y123" s="159">
        <v>1500</v>
      </c>
      <c r="Z123" s="159">
        <v>1294</v>
      </c>
      <c r="AA123" s="159">
        <v>0</v>
      </c>
      <c r="AB123" s="159">
        <v>0</v>
      </c>
      <c r="AC123" s="159">
        <v>0</v>
      </c>
      <c r="AD123" s="207">
        <v>42811</v>
      </c>
      <c r="AE123" s="200">
        <v>26.325831729709616</v>
      </c>
      <c r="AF123" s="200">
        <v>23.02684410756742</v>
      </c>
      <c r="AG123" s="200">
        <v>18.233336191371556</v>
      </c>
      <c r="AH123" s="200">
        <v>0</v>
      </c>
      <c r="AI123" s="200">
        <v>0</v>
      </c>
      <c r="AJ123" s="200">
        <v>0</v>
      </c>
      <c r="AL123" s="197">
        <f t="shared" si="9"/>
        <v>49077.062693892491</v>
      </c>
      <c r="AM123" s="197" t="str">
        <f t="shared" si="10"/>
        <v>Box Medium 4</v>
      </c>
      <c r="AN123" s="3">
        <f t="shared" si="11"/>
        <v>12.262036278671049</v>
      </c>
      <c r="AO123" s="3">
        <f t="shared" si="12"/>
        <v>4.7330753892436084</v>
      </c>
      <c r="AP123" s="3">
        <f t="shared" si="13"/>
        <v>0</v>
      </c>
      <c r="AQ123" s="3">
        <f t="shared" si="14"/>
        <v>0</v>
      </c>
      <c r="AR123" s="3">
        <f t="shared" si="15"/>
        <v>4.7330753892436084</v>
      </c>
      <c r="AS123" s="81">
        <f t="shared" si="16"/>
        <v>1</v>
      </c>
      <c r="AT123" s="81">
        <f t="shared" si="17"/>
        <v>0</v>
      </c>
    </row>
    <row r="124" spans="1:46" x14ac:dyDescent="0.25">
      <c r="A124" t="s">
        <v>808</v>
      </c>
      <c r="B124">
        <v>2035</v>
      </c>
      <c r="C124" t="s">
        <v>680</v>
      </c>
      <c r="D124" t="s">
        <v>518</v>
      </c>
      <c r="E124" t="s">
        <v>1028</v>
      </c>
      <c r="F124">
        <v>3</v>
      </c>
      <c r="G124" t="s">
        <v>1859</v>
      </c>
      <c r="H124" s="460">
        <v>3313.5424222313231</v>
      </c>
      <c r="I124">
        <v>1200</v>
      </c>
      <c r="J124">
        <v>119.99999997072871</v>
      </c>
      <c r="K124" s="67">
        <v>92.845500000000001</v>
      </c>
      <c r="L124" s="159">
        <v>0</v>
      </c>
      <c r="M124" s="159">
        <v>11010</v>
      </c>
      <c r="N124" s="159">
        <v>220</v>
      </c>
      <c r="O124" s="159">
        <v>0</v>
      </c>
      <c r="P124" s="159">
        <v>0</v>
      </c>
      <c r="Q124" s="159">
        <v>1500</v>
      </c>
      <c r="R124" s="159">
        <v>2000</v>
      </c>
      <c r="S124" s="159">
        <v>16219</v>
      </c>
      <c r="T124" s="159">
        <v>2046</v>
      </c>
      <c r="U124" s="159">
        <v>14855</v>
      </c>
      <c r="V124" s="159">
        <v>4500</v>
      </c>
      <c r="W124" s="159">
        <v>186</v>
      </c>
      <c r="X124" s="159">
        <v>0</v>
      </c>
      <c r="Y124" s="159">
        <v>1500</v>
      </c>
      <c r="Z124" s="159">
        <v>3022</v>
      </c>
      <c r="AA124" s="159">
        <v>0</v>
      </c>
      <c r="AB124" s="159">
        <v>0</v>
      </c>
      <c r="AC124" s="159">
        <v>0</v>
      </c>
      <c r="AD124" s="207">
        <v>57058</v>
      </c>
      <c r="AE124" s="200">
        <v>83.666394551700975</v>
      </c>
      <c r="AF124" s="200">
        <v>40.240859514466266</v>
      </c>
      <c r="AG124" s="200">
        <v>25.958695125442521</v>
      </c>
      <c r="AH124" s="200">
        <v>412</v>
      </c>
      <c r="AI124" s="200">
        <v>705</v>
      </c>
      <c r="AJ124" s="200">
        <v>903</v>
      </c>
      <c r="AL124" s="197">
        <f t="shared" si="9"/>
        <v>65409.335058469034</v>
      </c>
      <c r="AM124" s="197" t="str">
        <f t="shared" si="10"/>
        <v>Box Medium 4</v>
      </c>
      <c r="AN124" s="3">
        <f t="shared" si="11"/>
        <v>4.0733581957346034</v>
      </c>
      <c r="AO124" s="3">
        <f t="shared" si="12"/>
        <v>1.5722928059950823</v>
      </c>
      <c r="AP124" s="3">
        <f t="shared" si="13"/>
        <v>25.975865882908526</v>
      </c>
      <c r="AQ124" s="3">
        <f t="shared" si="14"/>
        <v>0.93513117178470695</v>
      </c>
      <c r="AR124" s="3">
        <f t="shared" si="15"/>
        <v>2.5074239777797893</v>
      </c>
      <c r="AS124" s="81">
        <f t="shared" si="16"/>
        <v>0.62705502536801794</v>
      </c>
      <c r="AT124" s="81">
        <f t="shared" si="17"/>
        <v>0.37294497463198201</v>
      </c>
    </row>
    <row r="125" spans="1:46" x14ac:dyDescent="0.25">
      <c r="A125" t="s">
        <v>808</v>
      </c>
      <c r="B125">
        <v>2035</v>
      </c>
      <c r="C125" t="s">
        <v>680</v>
      </c>
      <c r="D125" t="s">
        <v>518</v>
      </c>
      <c r="E125" t="s">
        <v>1028</v>
      </c>
      <c r="F125">
        <v>3</v>
      </c>
      <c r="G125" t="s">
        <v>1860</v>
      </c>
      <c r="H125" s="460">
        <v>3185.4820201483517</v>
      </c>
      <c r="I125">
        <v>1200</v>
      </c>
      <c r="J125">
        <v>119.99999997072871</v>
      </c>
      <c r="K125" s="67">
        <v>84.901499999999999</v>
      </c>
      <c r="L125" s="159">
        <v>0</v>
      </c>
      <c r="M125" s="159">
        <v>7896</v>
      </c>
      <c r="N125" s="159">
        <v>220</v>
      </c>
      <c r="O125" s="159">
        <v>0</v>
      </c>
      <c r="P125" s="159">
        <v>2475</v>
      </c>
      <c r="Q125" s="159">
        <v>1500</v>
      </c>
      <c r="R125" s="159">
        <v>2000</v>
      </c>
      <c r="S125" s="159">
        <v>16219</v>
      </c>
      <c r="T125" s="159">
        <v>1618</v>
      </c>
      <c r="U125" s="159">
        <v>13584</v>
      </c>
      <c r="V125" s="159">
        <v>4500</v>
      </c>
      <c r="W125" s="159">
        <v>186</v>
      </c>
      <c r="X125" s="159">
        <v>0</v>
      </c>
      <c r="Y125" s="159">
        <v>1500</v>
      </c>
      <c r="Z125" s="159">
        <v>2248</v>
      </c>
      <c r="AA125" s="159">
        <v>0</v>
      </c>
      <c r="AB125" s="159">
        <v>0</v>
      </c>
      <c r="AC125" s="159">
        <v>0</v>
      </c>
      <c r="AD125" s="207">
        <v>53946</v>
      </c>
      <c r="AE125" s="200">
        <v>28.23830485017832</v>
      </c>
      <c r="AF125" s="200">
        <v>19.470973887357427</v>
      </c>
      <c r="AG125" s="200">
        <v>14.704436600201388</v>
      </c>
      <c r="AH125" s="200">
        <v>419</v>
      </c>
      <c r="AI125" s="200">
        <v>611</v>
      </c>
      <c r="AJ125" s="200">
        <v>795</v>
      </c>
      <c r="AL125" s="197">
        <f t="shared" si="9"/>
        <v>61841.844948371319</v>
      </c>
      <c r="AM125" s="197" t="str">
        <f t="shared" si="10"/>
        <v>Box Medium 4</v>
      </c>
      <c r="AN125" s="3">
        <f t="shared" si="11"/>
        <v>7.4385569530526778</v>
      </c>
      <c r="AO125" s="3">
        <f t="shared" si="12"/>
        <v>2.8712401468931463</v>
      </c>
      <c r="AP125" s="3">
        <f t="shared" si="13"/>
        <v>23.016888910982139</v>
      </c>
      <c r="AQ125" s="3">
        <f t="shared" si="14"/>
        <v>0.82860800079535712</v>
      </c>
      <c r="AR125" s="3">
        <f t="shared" si="15"/>
        <v>3.6998481476885035</v>
      </c>
      <c r="AS125" s="81">
        <f t="shared" si="16"/>
        <v>0.77604270020837651</v>
      </c>
      <c r="AT125" s="81">
        <f t="shared" si="17"/>
        <v>0.22395729979162352</v>
      </c>
    </row>
    <row r="126" spans="1:46" x14ac:dyDescent="0.25">
      <c r="A126" t="s">
        <v>230</v>
      </c>
      <c r="B126">
        <v>2035</v>
      </c>
      <c r="C126" t="s">
        <v>680</v>
      </c>
      <c r="D126" t="s">
        <v>518</v>
      </c>
      <c r="E126" t="s">
        <v>1028</v>
      </c>
      <c r="F126">
        <v>3</v>
      </c>
      <c r="G126" t="s">
        <v>1861</v>
      </c>
      <c r="H126" s="460">
        <v>2967.6123536484338</v>
      </c>
      <c r="I126">
        <v>1200</v>
      </c>
      <c r="J126">
        <v>150.00000001001371</v>
      </c>
      <c r="K126" s="67">
        <v>120.40125</v>
      </c>
      <c r="L126" s="159">
        <v>0</v>
      </c>
      <c r="M126" s="159">
        <v>0</v>
      </c>
      <c r="N126" s="159">
        <v>0</v>
      </c>
      <c r="O126" s="159">
        <v>0</v>
      </c>
      <c r="P126" s="159">
        <v>0</v>
      </c>
      <c r="Q126" s="159">
        <v>1500</v>
      </c>
      <c r="R126" s="159">
        <v>2000</v>
      </c>
      <c r="S126" s="159">
        <v>16219</v>
      </c>
      <c r="T126" s="159">
        <v>0</v>
      </c>
      <c r="U126" s="159">
        <v>19264</v>
      </c>
      <c r="V126" s="159">
        <v>4500</v>
      </c>
      <c r="W126" s="159">
        <v>186</v>
      </c>
      <c r="X126" s="159">
        <v>0</v>
      </c>
      <c r="Y126" s="159">
        <v>1500</v>
      </c>
      <c r="Z126" s="159">
        <v>2562</v>
      </c>
      <c r="AA126" s="159">
        <v>0</v>
      </c>
      <c r="AB126" s="159">
        <v>0</v>
      </c>
      <c r="AC126" s="159">
        <v>0</v>
      </c>
      <c r="AD126" s="207">
        <v>47731</v>
      </c>
      <c r="AE126" s="200">
        <v>0</v>
      </c>
      <c r="AF126" s="200">
        <v>0</v>
      </c>
      <c r="AG126" s="200">
        <v>0</v>
      </c>
      <c r="AH126" s="200">
        <v>386</v>
      </c>
      <c r="AI126" s="200">
        <v>668</v>
      </c>
      <c r="AJ126" s="200">
        <v>855</v>
      </c>
      <c r="AL126" s="197">
        <f t="shared" si="9"/>
        <v>54717.18201962539</v>
      </c>
      <c r="AM126" s="197" t="str">
        <f t="shared" si="10"/>
        <v>Box Medium 4</v>
      </c>
      <c r="AN126" s="3">
        <f t="shared" si="11"/>
        <v>0</v>
      </c>
      <c r="AO126" s="3">
        <f t="shared" si="12"/>
        <v>0</v>
      </c>
      <c r="AP126" s="3">
        <f t="shared" si="13"/>
        <v>49.167360532889269</v>
      </c>
      <c r="AQ126" s="3">
        <f t="shared" si="14"/>
        <v>1.7700249791840137</v>
      </c>
      <c r="AR126" s="3">
        <f t="shared" si="15"/>
        <v>1.7700249791840137</v>
      </c>
      <c r="AS126" s="81">
        <f t="shared" si="16"/>
        <v>0</v>
      </c>
      <c r="AT126" s="81">
        <f t="shared" si="17"/>
        <v>1</v>
      </c>
    </row>
    <row r="127" spans="1:46" x14ac:dyDescent="0.25">
      <c r="A127" t="s">
        <v>496</v>
      </c>
      <c r="B127">
        <v>2035</v>
      </c>
      <c r="C127" t="s">
        <v>680</v>
      </c>
      <c r="D127" t="s">
        <v>518</v>
      </c>
      <c r="E127" t="s">
        <v>1028</v>
      </c>
      <c r="F127">
        <v>3</v>
      </c>
      <c r="G127" t="s">
        <v>1862</v>
      </c>
      <c r="H127" s="460">
        <v>2651.2629193177918</v>
      </c>
      <c r="I127">
        <v>1200</v>
      </c>
      <c r="J127">
        <v>150.00000001001371</v>
      </c>
      <c r="K127" s="67">
        <v>3.1680000000000006</v>
      </c>
      <c r="L127" s="159">
        <v>0</v>
      </c>
      <c r="M127" s="159">
        <v>0</v>
      </c>
      <c r="N127" s="159">
        <v>0</v>
      </c>
      <c r="O127" s="159">
        <v>0</v>
      </c>
      <c r="P127" s="159">
        <v>0</v>
      </c>
      <c r="Q127" s="159">
        <v>1500</v>
      </c>
      <c r="R127" s="159">
        <v>2000</v>
      </c>
      <c r="S127" s="159">
        <v>16219</v>
      </c>
      <c r="T127" s="159">
        <v>0</v>
      </c>
      <c r="U127" s="159">
        <v>1078</v>
      </c>
      <c r="V127" s="159">
        <v>4500</v>
      </c>
      <c r="W127" s="159">
        <v>186</v>
      </c>
      <c r="X127" s="159">
        <v>0</v>
      </c>
      <c r="Y127" s="159">
        <v>1500</v>
      </c>
      <c r="Z127" s="159">
        <v>2621</v>
      </c>
      <c r="AA127" s="159">
        <v>12323</v>
      </c>
      <c r="AB127" s="159">
        <v>3856</v>
      </c>
      <c r="AC127" s="159">
        <v>0</v>
      </c>
      <c r="AD127" s="207">
        <v>45783</v>
      </c>
      <c r="AE127" s="200">
        <v>53.465721570556966</v>
      </c>
      <c r="AF127" s="200">
        <v>34.331053100311806</v>
      </c>
      <c r="AG127" s="200">
        <v>26.052898157503247</v>
      </c>
      <c r="AH127" s="200">
        <v>0</v>
      </c>
      <c r="AI127" s="200">
        <v>0</v>
      </c>
      <c r="AJ127" s="200">
        <v>0</v>
      </c>
      <c r="AL127" s="197">
        <f t="shared" si="9"/>
        <v>52484.061603664479</v>
      </c>
      <c r="AM127" s="197" t="str">
        <f t="shared" si="10"/>
        <v>Box Medium 4</v>
      </c>
      <c r="AN127" s="3">
        <f t="shared" si="11"/>
        <v>8.3695376393495096</v>
      </c>
      <c r="AO127" s="3">
        <f t="shared" si="12"/>
        <v>3.2305933304942491</v>
      </c>
      <c r="AP127" s="3">
        <f t="shared" si="13"/>
        <v>0</v>
      </c>
      <c r="AQ127" s="3">
        <f t="shared" si="14"/>
        <v>0</v>
      </c>
      <c r="AR127" s="3">
        <f t="shared" si="15"/>
        <v>3.2305933304942491</v>
      </c>
      <c r="AS127" s="81">
        <f t="shared" si="16"/>
        <v>1</v>
      </c>
      <c r="AT127" s="81">
        <f t="shared" si="17"/>
        <v>0</v>
      </c>
    </row>
    <row r="128" spans="1:46" x14ac:dyDescent="0.25">
      <c r="A128" t="s">
        <v>828</v>
      </c>
      <c r="B128">
        <v>2035</v>
      </c>
      <c r="C128" t="s">
        <v>680</v>
      </c>
      <c r="D128" t="s">
        <v>518</v>
      </c>
      <c r="E128" t="s">
        <v>1028</v>
      </c>
      <c r="F128">
        <v>3</v>
      </c>
      <c r="G128" t="s">
        <v>1863</v>
      </c>
      <c r="H128" s="460">
        <v>2657.3912970539864</v>
      </c>
      <c r="I128">
        <v>1200</v>
      </c>
      <c r="J128">
        <v>150.00000001001371</v>
      </c>
      <c r="K128" s="67">
        <v>24.204374999999999</v>
      </c>
      <c r="L128" s="159">
        <v>0</v>
      </c>
      <c r="M128" s="159">
        <v>0</v>
      </c>
      <c r="N128" s="159">
        <v>0</v>
      </c>
      <c r="O128" s="159">
        <v>0</v>
      </c>
      <c r="P128" s="159">
        <v>0</v>
      </c>
      <c r="Q128" s="159">
        <v>1500</v>
      </c>
      <c r="R128" s="159">
        <v>2000</v>
      </c>
      <c r="S128" s="159">
        <v>16219</v>
      </c>
      <c r="T128" s="159">
        <v>0</v>
      </c>
      <c r="U128" s="159">
        <v>3873</v>
      </c>
      <c r="V128" s="159">
        <v>4500</v>
      </c>
      <c r="W128" s="159">
        <v>186</v>
      </c>
      <c r="X128" s="159">
        <v>0</v>
      </c>
      <c r="Y128" s="159">
        <v>1500</v>
      </c>
      <c r="Z128" s="159">
        <v>3296</v>
      </c>
      <c r="AA128" s="159">
        <v>5798</v>
      </c>
      <c r="AB128" s="159">
        <v>3001</v>
      </c>
      <c r="AC128" s="159">
        <v>0</v>
      </c>
      <c r="AD128" s="207">
        <v>41873</v>
      </c>
      <c r="AE128" s="200">
        <v>54.362458440829897</v>
      </c>
      <c r="AF128" s="200">
        <v>31.080928965364855</v>
      </c>
      <c r="AG128" s="200">
        <v>23.922454302246692</v>
      </c>
      <c r="AH128" s="200">
        <v>0</v>
      </c>
      <c r="AI128" s="200">
        <v>0</v>
      </c>
      <c r="AJ128" s="200">
        <v>0</v>
      </c>
      <c r="AL128" s="197">
        <f t="shared" si="9"/>
        <v>48001.771651710085</v>
      </c>
      <c r="AM128" s="197" t="str">
        <f t="shared" si="10"/>
        <v>Box Medium 4</v>
      </c>
      <c r="AN128" s="3">
        <f t="shared" si="11"/>
        <v>9.0780271395670056</v>
      </c>
      <c r="AO128" s="3">
        <f t="shared" si="12"/>
        <v>3.5040661975456882</v>
      </c>
      <c r="AP128" s="3">
        <f t="shared" si="13"/>
        <v>0</v>
      </c>
      <c r="AQ128" s="3">
        <f t="shared" si="14"/>
        <v>0</v>
      </c>
      <c r="AR128" s="3">
        <f t="shared" si="15"/>
        <v>3.5040661975456882</v>
      </c>
      <c r="AS128" s="81">
        <f t="shared" si="16"/>
        <v>1</v>
      </c>
      <c r="AT128" s="81">
        <f t="shared" si="17"/>
        <v>0</v>
      </c>
    </row>
    <row r="129" spans="1:46" x14ac:dyDescent="0.25">
      <c r="A129" t="s">
        <v>805</v>
      </c>
      <c r="B129">
        <v>2050</v>
      </c>
      <c r="C129" t="s">
        <v>680</v>
      </c>
      <c r="D129" t="s">
        <v>518</v>
      </c>
      <c r="E129" t="s">
        <v>1028</v>
      </c>
      <c r="F129">
        <v>3</v>
      </c>
      <c r="G129" t="s">
        <v>1864</v>
      </c>
      <c r="H129" s="460">
        <v>2916.8781986790073</v>
      </c>
      <c r="I129">
        <v>1200</v>
      </c>
      <c r="J129">
        <v>0</v>
      </c>
      <c r="K129" s="67">
        <v>0</v>
      </c>
      <c r="L129" s="159">
        <v>150</v>
      </c>
      <c r="M129" s="159">
        <v>14308</v>
      </c>
      <c r="N129" s="159">
        <v>1920</v>
      </c>
      <c r="O129" s="159">
        <v>506</v>
      </c>
      <c r="P129" s="159">
        <v>3943</v>
      </c>
      <c r="Q129" s="159">
        <v>1500</v>
      </c>
      <c r="R129" s="159">
        <v>2000</v>
      </c>
      <c r="S129" s="159">
        <v>16284</v>
      </c>
      <c r="T129" s="159">
        <v>44</v>
      </c>
      <c r="U129" s="159">
        <v>120</v>
      </c>
      <c r="V129" s="159">
        <v>0</v>
      </c>
      <c r="W129" s="159">
        <v>186</v>
      </c>
      <c r="X129" s="159">
        <v>0</v>
      </c>
      <c r="Y129" s="159">
        <v>0</v>
      </c>
      <c r="Z129" s="159">
        <v>0</v>
      </c>
      <c r="AA129" s="159">
        <v>0</v>
      </c>
      <c r="AB129" s="159">
        <v>0</v>
      </c>
      <c r="AC129" s="159">
        <v>0</v>
      </c>
      <c r="AD129" s="207">
        <v>40961</v>
      </c>
      <c r="AE129" s="200">
        <v>19.686808500486677</v>
      </c>
      <c r="AF129" s="200">
        <v>23.483760888808675</v>
      </c>
      <c r="AG129" s="200">
        <v>23.052749090024026</v>
      </c>
      <c r="AH129" s="200">
        <v>0</v>
      </c>
      <c r="AI129" s="200">
        <v>0</v>
      </c>
      <c r="AJ129" s="200">
        <v>0</v>
      </c>
      <c r="AL129" s="197">
        <f t="shared" si="9"/>
        <v>46956.286118159594</v>
      </c>
      <c r="AM129" s="197" t="str">
        <f t="shared" si="10"/>
        <v>Box Medium 4</v>
      </c>
      <c r="AN129" s="3">
        <f t="shared" si="11"/>
        <v>10.36094050550491</v>
      </c>
      <c r="AO129" s="3">
        <f t="shared" si="12"/>
        <v>3.9992633687866848</v>
      </c>
      <c r="AP129" s="3">
        <f t="shared" si="13"/>
        <v>0</v>
      </c>
      <c r="AQ129" s="3">
        <f t="shared" si="14"/>
        <v>0</v>
      </c>
      <c r="AR129" s="3">
        <f t="shared" si="15"/>
        <v>3.9992633687866848</v>
      </c>
      <c r="AS129" s="81">
        <f t="shared" si="16"/>
        <v>1</v>
      </c>
      <c r="AT129" s="81">
        <f t="shared" si="17"/>
        <v>0</v>
      </c>
    </row>
    <row r="130" spans="1:46" x14ac:dyDescent="0.25">
      <c r="A130" t="s">
        <v>805</v>
      </c>
      <c r="B130">
        <v>2050</v>
      </c>
      <c r="C130" t="s">
        <v>680</v>
      </c>
      <c r="D130" t="s">
        <v>518</v>
      </c>
      <c r="E130" t="s">
        <v>1028</v>
      </c>
      <c r="F130">
        <v>3</v>
      </c>
      <c r="G130" t="s">
        <v>1865</v>
      </c>
      <c r="H130" s="460">
        <v>2794.3346226792478</v>
      </c>
      <c r="I130">
        <v>1200</v>
      </c>
      <c r="J130">
        <v>0</v>
      </c>
      <c r="K130" s="67">
        <v>0</v>
      </c>
      <c r="L130" s="159">
        <v>150</v>
      </c>
      <c r="M130" s="159">
        <v>22269</v>
      </c>
      <c r="N130" s="159">
        <v>1920</v>
      </c>
      <c r="O130" s="159">
        <v>506</v>
      </c>
      <c r="P130" s="159">
        <v>3330</v>
      </c>
      <c r="Q130" s="159">
        <v>1500</v>
      </c>
      <c r="R130" s="159">
        <v>2000</v>
      </c>
      <c r="S130" s="159">
        <v>16284</v>
      </c>
      <c r="T130" s="159">
        <v>44</v>
      </c>
      <c r="U130" s="159">
        <v>120</v>
      </c>
      <c r="V130" s="159">
        <v>0</v>
      </c>
      <c r="W130" s="159">
        <v>186</v>
      </c>
      <c r="X130" s="159">
        <v>0</v>
      </c>
      <c r="Y130" s="159">
        <v>0</v>
      </c>
      <c r="Z130" s="159">
        <v>0</v>
      </c>
      <c r="AA130" s="159">
        <v>0</v>
      </c>
      <c r="AB130" s="159">
        <v>0</v>
      </c>
      <c r="AC130" s="159">
        <v>0</v>
      </c>
      <c r="AD130" s="207">
        <v>48309</v>
      </c>
      <c r="AE130" s="200">
        <v>12.003676372751602</v>
      </c>
      <c r="AF130" s="200">
        <v>20.856028865243374</v>
      </c>
      <c r="AG130" s="200">
        <v>17.009051932378817</v>
      </c>
      <c r="AH130" s="200">
        <v>0</v>
      </c>
      <c r="AI130" s="200">
        <v>0</v>
      </c>
      <c r="AJ130" s="200">
        <v>0</v>
      </c>
      <c r="AL130" s="197">
        <f t="shared" si="9"/>
        <v>55379.781403827343</v>
      </c>
      <c r="AM130" s="197" t="str">
        <f t="shared" si="10"/>
        <v>Box Medium 4</v>
      </c>
      <c r="AN130" s="3">
        <f t="shared" si="11"/>
        <v>14.175893508778195</v>
      </c>
      <c r="AO130" s="3">
        <f t="shared" si="12"/>
        <v>5.4718132585893855</v>
      </c>
      <c r="AP130" s="3">
        <f t="shared" si="13"/>
        <v>0</v>
      </c>
      <c r="AQ130" s="3">
        <f t="shared" si="14"/>
        <v>0</v>
      </c>
      <c r="AR130" s="3">
        <f t="shared" si="15"/>
        <v>5.4718132585893855</v>
      </c>
      <c r="AS130" s="81">
        <f t="shared" si="16"/>
        <v>1</v>
      </c>
      <c r="AT130" s="81">
        <f t="shared" si="17"/>
        <v>0</v>
      </c>
    </row>
    <row r="131" spans="1:46" x14ac:dyDescent="0.25">
      <c r="A131" t="s">
        <v>807</v>
      </c>
      <c r="B131">
        <v>2050</v>
      </c>
      <c r="C131" t="s">
        <v>680</v>
      </c>
      <c r="D131" t="s">
        <v>518</v>
      </c>
      <c r="E131" t="s">
        <v>1028</v>
      </c>
      <c r="F131">
        <v>3</v>
      </c>
      <c r="G131" t="s">
        <v>1866</v>
      </c>
      <c r="H131" s="460">
        <v>2906.6018809385832</v>
      </c>
      <c r="I131">
        <v>1200</v>
      </c>
      <c r="J131">
        <v>0</v>
      </c>
      <c r="K131" s="67">
        <v>2.5660800000000004</v>
      </c>
      <c r="L131" s="159">
        <v>150</v>
      </c>
      <c r="M131" s="159">
        <v>13087</v>
      </c>
      <c r="N131" s="159">
        <v>220</v>
      </c>
      <c r="O131" s="159">
        <v>392</v>
      </c>
      <c r="P131" s="159">
        <v>3392</v>
      </c>
      <c r="Q131" s="159">
        <v>1500</v>
      </c>
      <c r="R131" s="159">
        <v>2000</v>
      </c>
      <c r="S131" s="159">
        <v>16284</v>
      </c>
      <c r="T131" s="159">
        <v>0</v>
      </c>
      <c r="U131" s="159">
        <v>824</v>
      </c>
      <c r="V131" s="159">
        <v>4500</v>
      </c>
      <c r="W131" s="159">
        <v>186</v>
      </c>
      <c r="X131" s="159">
        <v>120</v>
      </c>
      <c r="Y131" s="159">
        <v>1500</v>
      </c>
      <c r="Z131" s="159">
        <v>959</v>
      </c>
      <c r="AA131" s="159">
        <v>0</v>
      </c>
      <c r="AB131" s="159">
        <v>0</v>
      </c>
      <c r="AC131" s="159">
        <v>0</v>
      </c>
      <c r="AD131" s="207">
        <v>45114</v>
      </c>
      <c r="AE131" s="200">
        <v>34.271664080000455</v>
      </c>
      <c r="AF131" s="200">
        <v>26.71912623716414</v>
      </c>
      <c r="AG131" s="200">
        <v>23.867692637582348</v>
      </c>
      <c r="AH131" s="200">
        <v>0</v>
      </c>
      <c r="AI131" s="200">
        <v>0</v>
      </c>
      <c r="AJ131" s="200">
        <v>0</v>
      </c>
      <c r="AL131" s="197">
        <f t="shared" ref="AL131:AL194" si="18">AD131*USD2023_to_CAD2020</f>
        <v>51717.1429392508</v>
      </c>
      <c r="AM131" s="197" t="str">
        <f t="shared" ref="AM131:AM194" si="19">IF(AND(F131&lt;5, D131="School"), $BF$2, IF(F131&lt;5, $BA$2,
IF(AND(F131&lt;=7, D131="School"), $BE$2, IF(F131&lt;7, $AZ$2,
IF(AND(F131&lt;8, E131="DayCab"), $BC$2, IF(F131&lt;8, $AZ$2,
IF(VLOOKUP(D131, $BH$3:$BI$10, 2, FALSE)="Longhaul", $AY$2,
IF(VLOOKUP(D131, $BH$3:$BI$10, 2, FALSE)="Drayage", $BB$2,
IF(VLOOKUP(D131, $BH$3:$BI$10, 2, FALSE)="Regional", $BC$2,
IF(VLOOKUP(D131, $BH$3:$BI$10, 2, FALSE)="Transit", $BE$2,
IF(VLOOKUP(D131, $BH$3:$BI$10, 2, FALSE)="Vocational", $BD$2, NA())))))))))))</f>
        <v>Box Medium 4</v>
      </c>
      <c r="AN131" s="3">
        <f t="shared" ref="AN131:AN194" si="20">(IFERROR(L_100km_to_mpg/AE131 * HLOOKUP($AM131, $AY$2:$BF$6, 2, FALSE) +
L_100km_to_mpg/AF131 * HLOOKUP($AM131, $AY$2:$BF$6, 3, FALSE) +
L_100km_to_mpg/AG131 * HLOOKUP($AM131, $AY$2:$BF$6, 4, FALSE), 0)) *
IF(ISERROR(SEARCH("PHEV",$A131)), 1, 1-HLOOKUP($AM131, $AY$2:$BF$6, 5, FALSE))</f>
        <v>9.4611340998096392</v>
      </c>
      <c r="AO131" s="3">
        <f t="shared" ref="AO131:AO194" si="21">AN131*DSL_PJ_ML*10</f>
        <v>3.6519432779720775</v>
      </c>
      <c r="AP131" s="3">
        <f t="shared" ref="AP131:AP194" si="22">(AH131/km_mile/10 * HLOOKUP($AM131, $AY$2:$BF$6, 2, FALSE) +
AI131/km_mile/10 * HLOOKUP($AM131, $AY$2:$BF$6, 3, FALSE) +
AJ131/km_mile/10 * HLOOKUP($AM131, $AY$2:$BF$6, 4, FALSE)) *
IF(ISERROR(SEARCH("PHEV",$A131)), 1, HLOOKUP($AM131, $AY$2:$BF$6, 5, FALSE))</f>
        <v>0</v>
      </c>
      <c r="AQ131" s="3">
        <f t="shared" si="14"/>
        <v>0</v>
      </c>
      <c r="AR131" s="3">
        <f t="shared" si="15"/>
        <v>3.6519432779720775</v>
      </c>
      <c r="AS131" s="81">
        <f t="shared" si="16"/>
        <v>1</v>
      </c>
      <c r="AT131" s="81">
        <f t="shared" si="17"/>
        <v>0</v>
      </c>
    </row>
    <row r="132" spans="1:46" x14ac:dyDescent="0.25">
      <c r="A132" t="s">
        <v>807</v>
      </c>
      <c r="B132">
        <v>2050</v>
      </c>
      <c r="C132" t="s">
        <v>680</v>
      </c>
      <c r="D132" t="s">
        <v>518</v>
      </c>
      <c r="E132" t="s">
        <v>1028</v>
      </c>
      <c r="F132">
        <v>3</v>
      </c>
      <c r="G132" t="s">
        <v>1867</v>
      </c>
      <c r="H132" s="460">
        <v>2772.9310351458289</v>
      </c>
      <c r="I132">
        <v>1200</v>
      </c>
      <c r="J132">
        <v>0</v>
      </c>
      <c r="K132" s="67">
        <v>3.1363200000000004</v>
      </c>
      <c r="L132" s="159">
        <v>150</v>
      </c>
      <c r="M132" s="159">
        <v>11720</v>
      </c>
      <c r="N132" s="159">
        <v>220</v>
      </c>
      <c r="O132" s="159">
        <v>392</v>
      </c>
      <c r="P132" s="159">
        <v>2315</v>
      </c>
      <c r="Q132" s="159">
        <v>1500</v>
      </c>
      <c r="R132" s="159">
        <v>2000</v>
      </c>
      <c r="S132" s="159">
        <v>16284</v>
      </c>
      <c r="T132" s="159">
        <v>0</v>
      </c>
      <c r="U132" s="159">
        <v>1008</v>
      </c>
      <c r="V132" s="159">
        <v>4500</v>
      </c>
      <c r="W132" s="159">
        <v>186</v>
      </c>
      <c r="X132" s="159">
        <v>120</v>
      </c>
      <c r="Y132" s="159">
        <v>1500</v>
      </c>
      <c r="Z132" s="159">
        <v>969</v>
      </c>
      <c r="AA132" s="159">
        <v>0</v>
      </c>
      <c r="AB132" s="159">
        <v>0</v>
      </c>
      <c r="AC132" s="159">
        <v>0</v>
      </c>
      <c r="AD132" s="207">
        <v>42864</v>
      </c>
      <c r="AE132" s="200">
        <v>29.037781043295716</v>
      </c>
      <c r="AF132" s="200">
        <v>25.889584870647681</v>
      </c>
      <c r="AG132" s="200">
        <v>20.677553488045092</v>
      </c>
      <c r="AH132" s="200">
        <v>0</v>
      </c>
      <c r="AI132" s="200">
        <v>0</v>
      </c>
      <c r="AJ132" s="200">
        <v>0</v>
      </c>
      <c r="AL132" s="197">
        <f t="shared" si="18"/>
        <v>49137.820076872951</v>
      </c>
      <c r="AM132" s="197" t="str">
        <f t="shared" si="19"/>
        <v>Box Medium 4</v>
      </c>
      <c r="AN132" s="3">
        <f t="shared" si="20"/>
        <v>10.841771319430421</v>
      </c>
      <c r="AO132" s="3">
        <f t="shared" si="21"/>
        <v>4.1848612939648557</v>
      </c>
      <c r="AP132" s="3">
        <f t="shared" si="22"/>
        <v>0</v>
      </c>
      <c r="AQ132" s="3">
        <f t="shared" ref="AQ132:AQ195" si="23">AP132*3.6/100</f>
        <v>0</v>
      </c>
      <c r="AR132" s="3">
        <f t="shared" ref="AR132:AR195" si="24">AO132+AQ132</f>
        <v>4.1848612939648557</v>
      </c>
      <c r="AS132" s="81">
        <f t="shared" ref="AS132:AS195" si="25">AO132/AR132</f>
        <v>1</v>
      </c>
      <c r="AT132" s="81">
        <f t="shared" ref="AT132:AT195" si="26">AQ132/AR132</f>
        <v>0</v>
      </c>
    </row>
    <row r="133" spans="1:46" x14ac:dyDescent="0.25">
      <c r="A133" t="s">
        <v>808</v>
      </c>
      <c r="B133">
        <v>2050</v>
      </c>
      <c r="C133" t="s">
        <v>680</v>
      </c>
      <c r="D133" t="s">
        <v>518</v>
      </c>
      <c r="E133" t="s">
        <v>1028</v>
      </c>
      <c r="F133">
        <v>3</v>
      </c>
      <c r="G133" t="s">
        <v>1868</v>
      </c>
      <c r="H133" s="460">
        <v>3075.8127717043162</v>
      </c>
      <c r="I133">
        <v>1200</v>
      </c>
      <c r="J133">
        <v>119.99999997072871</v>
      </c>
      <c r="K133" s="67">
        <v>82.418999999999997</v>
      </c>
      <c r="L133" s="159">
        <v>0</v>
      </c>
      <c r="M133" s="159">
        <v>10857</v>
      </c>
      <c r="N133" s="159">
        <v>220</v>
      </c>
      <c r="O133" s="159">
        <v>0</v>
      </c>
      <c r="P133" s="159">
        <v>0</v>
      </c>
      <c r="Q133" s="159">
        <v>1500</v>
      </c>
      <c r="R133" s="159">
        <v>2000</v>
      </c>
      <c r="S133" s="159">
        <v>16284</v>
      </c>
      <c r="T133" s="159">
        <v>1323</v>
      </c>
      <c r="U133" s="159">
        <v>7418</v>
      </c>
      <c r="V133" s="159">
        <v>4500</v>
      </c>
      <c r="W133" s="159">
        <v>186</v>
      </c>
      <c r="X133" s="159">
        <v>0</v>
      </c>
      <c r="Y133" s="159">
        <v>1500</v>
      </c>
      <c r="Z133" s="159">
        <v>2182</v>
      </c>
      <c r="AA133" s="159">
        <v>0</v>
      </c>
      <c r="AB133" s="159">
        <v>0</v>
      </c>
      <c r="AC133" s="159">
        <v>0</v>
      </c>
      <c r="AD133" s="207">
        <v>47970</v>
      </c>
      <c r="AE133" s="200">
        <v>94.804801595316988</v>
      </c>
      <c r="AF133" s="200">
        <v>45.295213315524165</v>
      </c>
      <c r="AG133" s="200">
        <v>29.231559040064141</v>
      </c>
      <c r="AH133" s="200">
        <v>364</v>
      </c>
      <c r="AI133" s="200">
        <v>638</v>
      </c>
      <c r="AJ133" s="200">
        <v>820</v>
      </c>
      <c r="AL133" s="197">
        <f t="shared" si="18"/>
        <v>54991.163425895749</v>
      </c>
      <c r="AM133" s="197" t="str">
        <f t="shared" si="19"/>
        <v>Box Medium 4</v>
      </c>
      <c r="AN133" s="3">
        <f t="shared" si="20"/>
        <v>3.6166137410901489</v>
      </c>
      <c r="AO133" s="3">
        <f t="shared" si="21"/>
        <v>1.3959920767914449</v>
      </c>
      <c r="AP133" s="3">
        <f t="shared" si="22"/>
        <v>23.550648091764327</v>
      </c>
      <c r="AQ133" s="3">
        <f t="shared" si="23"/>
        <v>0.84782333130351573</v>
      </c>
      <c r="AR133" s="3">
        <f t="shared" si="24"/>
        <v>2.2438154080949606</v>
      </c>
      <c r="AS133" s="81">
        <f t="shared" si="25"/>
        <v>0.6221510342406763</v>
      </c>
      <c r="AT133" s="81">
        <f t="shared" si="26"/>
        <v>0.3778489657593237</v>
      </c>
    </row>
    <row r="134" spans="1:46" x14ac:dyDescent="0.25">
      <c r="A134" t="s">
        <v>808</v>
      </c>
      <c r="B134">
        <v>2050</v>
      </c>
      <c r="C134" t="s">
        <v>680</v>
      </c>
      <c r="D134" t="s">
        <v>518</v>
      </c>
      <c r="E134" t="s">
        <v>1028</v>
      </c>
      <c r="F134">
        <v>3</v>
      </c>
      <c r="G134" t="s">
        <v>1869</v>
      </c>
      <c r="H134" s="460">
        <v>2982.5652295522368</v>
      </c>
      <c r="I134">
        <v>1200</v>
      </c>
      <c r="J134">
        <v>119.99999997072871</v>
      </c>
      <c r="K134" s="67">
        <v>75.468000000000004</v>
      </c>
      <c r="L134" s="159">
        <v>0</v>
      </c>
      <c r="M134" s="159">
        <v>8082</v>
      </c>
      <c r="N134" s="159">
        <v>220</v>
      </c>
      <c r="O134" s="159">
        <v>0</v>
      </c>
      <c r="P134" s="159">
        <v>2450</v>
      </c>
      <c r="Q134" s="159">
        <v>1500</v>
      </c>
      <c r="R134" s="159">
        <v>2000</v>
      </c>
      <c r="S134" s="159">
        <v>16284</v>
      </c>
      <c r="T134" s="159">
        <v>1055</v>
      </c>
      <c r="U134" s="159">
        <v>6792</v>
      </c>
      <c r="V134" s="159">
        <v>4500</v>
      </c>
      <c r="W134" s="159">
        <v>186</v>
      </c>
      <c r="X134" s="159">
        <v>0</v>
      </c>
      <c r="Y134" s="159">
        <v>1500</v>
      </c>
      <c r="Z134" s="159">
        <v>1624</v>
      </c>
      <c r="AA134" s="159">
        <v>0</v>
      </c>
      <c r="AB134" s="159">
        <v>0</v>
      </c>
      <c r="AC134" s="159">
        <v>0</v>
      </c>
      <c r="AD134" s="207">
        <v>46193</v>
      </c>
      <c r="AE134" s="200">
        <v>33.287198378745614</v>
      </c>
      <c r="AF134" s="200">
        <v>22.669192787529873</v>
      </c>
      <c r="AG134" s="200">
        <v>17.121757371534169</v>
      </c>
      <c r="AH134" s="200">
        <v>373</v>
      </c>
      <c r="AI134" s="200">
        <v>550</v>
      </c>
      <c r="AJ134" s="200">
        <v>717</v>
      </c>
      <c r="AL134" s="197">
        <f t="shared" si="18"/>
        <v>52954.071547475556</v>
      </c>
      <c r="AM134" s="197" t="str">
        <f t="shared" si="19"/>
        <v>Box Medium 4</v>
      </c>
      <c r="AN134" s="3">
        <f t="shared" si="20"/>
        <v>6.3840360703161387</v>
      </c>
      <c r="AO134" s="3">
        <f t="shared" si="21"/>
        <v>2.464201158906667</v>
      </c>
      <c r="AP134" s="3">
        <f t="shared" si="22"/>
        <v>20.740489890265575</v>
      </c>
      <c r="AQ134" s="3">
        <f t="shared" si="23"/>
        <v>0.7466576360495607</v>
      </c>
      <c r="AR134" s="3">
        <f t="shared" si="24"/>
        <v>3.2108587949562279</v>
      </c>
      <c r="AS134" s="81">
        <f t="shared" si="25"/>
        <v>0.76745858857996285</v>
      </c>
      <c r="AT134" s="81">
        <f t="shared" si="26"/>
        <v>0.23254141142003709</v>
      </c>
    </row>
    <row r="135" spans="1:46" x14ac:dyDescent="0.25">
      <c r="A135" t="s">
        <v>230</v>
      </c>
      <c r="B135">
        <v>2050</v>
      </c>
      <c r="C135" t="s">
        <v>680</v>
      </c>
      <c r="D135" t="s">
        <v>518</v>
      </c>
      <c r="E135" t="s">
        <v>1028</v>
      </c>
      <c r="F135">
        <v>3</v>
      </c>
      <c r="G135" t="s">
        <v>1870</v>
      </c>
      <c r="H135" s="460">
        <v>2714.73212689621</v>
      </c>
      <c r="I135">
        <v>1200</v>
      </c>
      <c r="J135">
        <v>150.00000001001371</v>
      </c>
      <c r="K135" s="67">
        <v>109.85062500000001</v>
      </c>
      <c r="L135" s="159">
        <v>0</v>
      </c>
      <c r="M135" s="159">
        <v>0</v>
      </c>
      <c r="N135" s="159">
        <v>0</v>
      </c>
      <c r="O135" s="159">
        <v>0</v>
      </c>
      <c r="P135" s="159">
        <v>0</v>
      </c>
      <c r="Q135" s="159">
        <v>1500</v>
      </c>
      <c r="R135" s="159">
        <v>2000</v>
      </c>
      <c r="S135" s="159">
        <v>16284</v>
      </c>
      <c r="T135" s="159">
        <v>0</v>
      </c>
      <c r="U135" s="159">
        <v>9887</v>
      </c>
      <c r="V135" s="159">
        <v>4500</v>
      </c>
      <c r="W135" s="159">
        <v>186</v>
      </c>
      <c r="X135" s="159">
        <v>0</v>
      </c>
      <c r="Y135" s="159">
        <v>1500</v>
      </c>
      <c r="Z135" s="159">
        <v>1848</v>
      </c>
      <c r="AA135" s="159">
        <v>0</v>
      </c>
      <c r="AB135" s="159">
        <v>0</v>
      </c>
      <c r="AC135" s="159">
        <v>0</v>
      </c>
      <c r="AD135" s="207">
        <v>37705</v>
      </c>
      <c r="AE135" s="200">
        <v>0</v>
      </c>
      <c r="AF135" s="200">
        <v>0</v>
      </c>
      <c r="AG135" s="200">
        <v>0</v>
      </c>
      <c r="AH135" s="200">
        <v>339</v>
      </c>
      <c r="AI135" s="200">
        <v>603</v>
      </c>
      <c r="AJ135" s="200">
        <v>774</v>
      </c>
      <c r="AL135" s="197">
        <f t="shared" si="18"/>
        <v>43223.719344869693</v>
      </c>
      <c r="AM135" s="197" t="str">
        <f t="shared" si="19"/>
        <v>Box Medium 4</v>
      </c>
      <c r="AN135" s="3">
        <f t="shared" si="20"/>
        <v>0</v>
      </c>
      <c r="AO135" s="3">
        <f t="shared" si="21"/>
        <v>0</v>
      </c>
      <c r="AP135" s="3">
        <f t="shared" si="22"/>
        <v>44.434985770564332</v>
      </c>
      <c r="AQ135" s="3">
        <f t="shared" si="23"/>
        <v>1.5996594877403161</v>
      </c>
      <c r="AR135" s="3">
        <f t="shared" si="24"/>
        <v>1.5996594877403161</v>
      </c>
      <c r="AS135" s="81">
        <f t="shared" si="25"/>
        <v>0</v>
      </c>
      <c r="AT135" s="81">
        <f t="shared" si="26"/>
        <v>1</v>
      </c>
    </row>
    <row r="136" spans="1:46" x14ac:dyDescent="0.25">
      <c r="A136" t="s">
        <v>496</v>
      </c>
      <c r="B136">
        <v>2050</v>
      </c>
      <c r="C136" t="s">
        <v>680</v>
      </c>
      <c r="D136" t="s">
        <v>518</v>
      </c>
      <c r="E136" t="s">
        <v>1028</v>
      </c>
      <c r="F136">
        <v>3</v>
      </c>
      <c r="G136" t="s">
        <v>1871</v>
      </c>
      <c r="H136" s="460">
        <v>2555.2651924153447</v>
      </c>
      <c r="I136">
        <v>1200</v>
      </c>
      <c r="J136">
        <v>150.00000001001371</v>
      </c>
      <c r="K136" s="67">
        <v>3.1363200000000004</v>
      </c>
      <c r="L136" s="159">
        <v>0</v>
      </c>
      <c r="M136" s="159">
        <v>0</v>
      </c>
      <c r="N136" s="159">
        <v>0</v>
      </c>
      <c r="O136" s="159">
        <v>0</v>
      </c>
      <c r="P136" s="159">
        <v>0</v>
      </c>
      <c r="Q136" s="159">
        <v>1500</v>
      </c>
      <c r="R136" s="159">
        <v>2000</v>
      </c>
      <c r="S136" s="159">
        <v>16284</v>
      </c>
      <c r="T136" s="159">
        <v>0</v>
      </c>
      <c r="U136" s="159">
        <v>1008</v>
      </c>
      <c r="V136" s="159">
        <v>4500</v>
      </c>
      <c r="W136" s="159">
        <v>186</v>
      </c>
      <c r="X136" s="159">
        <v>0</v>
      </c>
      <c r="Y136" s="159">
        <v>1500</v>
      </c>
      <c r="Z136" s="159">
        <v>1893</v>
      </c>
      <c r="AA136" s="159">
        <v>10215</v>
      </c>
      <c r="AB136" s="159">
        <v>2349</v>
      </c>
      <c r="AC136" s="159">
        <v>0</v>
      </c>
      <c r="AD136" s="207">
        <v>41435</v>
      </c>
      <c r="AE136" s="200">
        <v>59.440626708483663</v>
      </c>
      <c r="AF136" s="200">
        <v>38.470637204407645</v>
      </c>
      <c r="AG136" s="200">
        <v>29.216211068655547</v>
      </c>
      <c r="AH136" s="200">
        <v>0</v>
      </c>
      <c r="AI136" s="200">
        <v>0</v>
      </c>
      <c r="AJ136" s="200">
        <v>0</v>
      </c>
      <c r="AL136" s="197">
        <f t="shared" si="18"/>
        <v>47499.66346783386</v>
      </c>
      <c r="AM136" s="197" t="str">
        <f t="shared" si="19"/>
        <v>Box Medium 4</v>
      </c>
      <c r="AN136" s="3">
        <f t="shared" si="20"/>
        <v>7.4671701791675504</v>
      </c>
      <c r="AO136" s="3">
        <f t="shared" si="21"/>
        <v>2.8822846873963197</v>
      </c>
      <c r="AP136" s="3">
        <f t="shared" si="22"/>
        <v>0</v>
      </c>
      <c r="AQ136" s="3">
        <f t="shared" si="23"/>
        <v>0</v>
      </c>
      <c r="AR136" s="3">
        <f t="shared" si="24"/>
        <v>2.8822846873963197</v>
      </c>
      <c r="AS136" s="81">
        <f t="shared" si="25"/>
        <v>1</v>
      </c>
      <c r="AT136" s="81">
        <f t="shared" si="26"/>
        <v>0</v>
      </c>
    </row>
    <row r="137" spans="1:46" x14ac:dyDescent="0.25">
      <c r="A137" t="s">
        <v>828</v>
      </c>
      <c r="B137">
        <v>2050</v>
      </c>
      <c r="C137" t="s">
        <v>680</v>
      </c>
      <c r="D137" t="s">
        <v>518</v>
      </c>
      <c r="E137" t="s">
        <v>1028</v>
      </c>
      <c r="F137">
        <v>3</v>
      </c>
      <c r="G137" t="s">
        <v>1872</v>
      </c>
      <c r="H137" s="460">
        <v>2530.711080675314</v>
      </c>
      <c r="I137">
        <v>1200</v>
      </c>
      <c r="J137">
        <v>150.00000001001371</v>
      </c>
      <c r="K137" s="67">
        <v>23.3355</v>
      </c>
      <c r="L137" s="159">
        <v>0</v>
      </c>
      <c r="M137" s="159">
        <v>0</v>
      </c>
      <c r="N137" s="159">
        <v>0</v>
      </c>
      <c r="O137" s="159">
        <v>0</v>
      </c>
      <c r="P137" s="159">
        <v>0</v>
      </c>
      <c r="Q137" s="159">
        <v>1500</v>
      </c>
      <c r="R137" s="159">
        <v>2000</v>
      </c>
      <c r="S137" s="159">
        <v>16284</v>
      </c>
      <c r="T137" s="159">
        <v>0</v>
      </c>
      <c r="U137" s="159">
        <v>2100</v>
      </c>
      <c r="V137" s="159">
        <v>4500</v>
      </c>
      <c r="W137" s="159">
        <v>186</v>
      </c>
      <c r="X137" s="159">
        <v>0</v>
      </c>
      <c r="Y137" s="159">
        <v>1500</v>
      </c>
      <c r="Z137" s="159">
        <v>2373</v>
      </c>
      <c r="AA137" s="159">
        <v>4775</v>
      </c>
      <c r="AB137" s="159">
        <v>1751</v>
      </c>
      <c r="AC137" s="159">
        <v>0</v>
      </c>
      <c r="AD137" s="207">
        <v>36969</v>
      </c>
      <c r="AE137" s="200">
        <v>61.069015357988604</v>
      </c>
      <c r="AF137" s="200">
        <v>34.947604966291323</v>
      </c>
      <c r="AG137" s="200">
        <v>26.465226369426855</v>
      </c>
      <c r="AH137" s="200">
        <v>0</v>
      </c>
      <c r="AI137" s="200">
        <v>0</v>
      </c>
      <c r="AJ137" s="200">
        <v>0</v>
      </c>
      <c r="AL137" s="197">
        <f t="shared" si="18"/>
        <v>42379.994177442983</v>
      </c>
      <c r="AM137" s="197" t="str">
        <f t="shared" si="19"/>
        <v>Box Medium 4</v>
      </c>
      <c r="AN137" s="3">
        <f t="shared" si="20"/>
        <v>8.1899493451666885</v>
      </c>
      <c r="AO137" s="3">
        <f t="shared" si="21"/>
        <v>3.1612732831484851</v>
      </c>
      <c r="AP137" s="3">
        <f t="shared" si="22"/>
        <v>0</v>
      </c>
      <c r="AQ137" s="3">
        <f t="shared" si="23"/>
        <v>0</v>
      </c>
      <c r="AR137" s="3">
        <f t="shared" si="24"/>
        <v>3.1612732831484851</v>
      </c>
      <c r="AS137" s="81">
        <f t="shared" si="25"/>
        <v>1</v>
      </c>
      <c r="AT137" s="81">
        <f t="shared" si="26"/>
        <v>0</v>
      </c>
    </row>
    <row r="138" spans="1:46" x14ac:dyDescent="0.25">
      <c r="A138" t="s">
        <v>805</v>
      </c>
      <c r="B138">
        <v>2023</v>
      </c>
      <c r="C138" t="s">
        <v>680</v>
      </c>
      <c r="D138" t="s">
        <v>809</v>
      </c>
      <c r="E138" t="s">
        <v>1028</v>
      </c>
      <c r="F138">
        <v>3</v>
      </c>
      <c r="G138" t="s">
        <v>1873</v>
      </c>
      <c r="H138" s="460">
        <v>3058.3650819901627</v>
      </c>
      <c r="I138">
        <v>720</v>
      </c>
      <c r="J138">
        <v>0</v>
      </c>
      <c r="K138" s="67">
        <v>0</v>
      </c>
      <c r="L138" s="159">
        <v>150</v>
      </c>
      <c r="M138" s="159">
        <v>16166</v>
      </c>
      <c r="N138" s="159">
        <v>1920</v>
      </c>
      <c r="O138" s="159">
        <v>506</v>
      </c>
      <c r="P138" s="159">
        <v>4738</v>
      </c>
      <c r="Q138" s="159">
        <v>1500</v>
      </c>
      <c r="R138" s="159">
        <v>2000</v>
      </c>
      <c r="S138" s="159">
        <v>16000</v>
      </c>
      <c r="T138" s="159">
        <v>98</v>
      </c>
      <c r="U138" s="159">
        <v>120</v>
      </c>
      <c r="V138" s="159">
        <v>0</v>
      </c>
      <c r="W138" s="159">
        <v>186</v>
      </c>
      <c r="X138" s="159">
        <v>0</v>
      </c>
      <c r="Y138" s="159">
        <v>0</v>
      </c>
      <c r="Z138" s="159">
        <v>0</v>
      </c>
      <c r="AA138" s="159">
        <v>0</v>
      </c>
      <c r="AB138" s="159">
        <v>0</v>
      </c>
      <c r="AC138" s="159">
        <v>0</v>
      </c>
      <c r="AD138" s="207">
        <v>43384</v>
      </c>
      <c r="AE138" s="200">
        <v>13.443126945868517</v>
      </c>
      <c r="AF138" s="200">
        <v>17.890684901426578</v>
      </c>
      <c r="AG138" s="200">
        <v>15.640464029365297</v>
      </c>
      <c r="AH138" s="200">
        <v>0</v>
      </c>
      <c r="AI138" s="200">
        <v>0</v>
      </c>
      <c r="AJ138" s="200">
        <v>0</v>
      </c>
      <c r="AL138" s="197">
        <f t="shared" si="18"/>
        <v>49733.930249511388</v>
      </c>
      <c r="AM138" s="197" t="str">
        <f t="shared" si="19"/>
        <v>School Medium 3</v>
      </c>
      <c r="AN138" s="3">
        <f t="shared" si="20"/>
        <v>17.497054084854636</v>
      </c>
      <c r="AO138" s="3">
        <f t="shared" si="21"/>
        <v>6.7537621151342115</v>
      </c>
      <c r="AP138" s="3">
        <f t="shared" si="22"/>
        <v>0</v>
      </c>
      <c r="AQ138" s="3">
        <f t="shared" si="23"/>
        <v>0</v>
      </c>
      <c r="AR138" s="3">
        <f t="shared" si="24"/>
        <v>6.7537621151342115</v>
      </c>
      <c r="AS138" s="81">
        <f t="shared" si="25"/>
        <v>1</v>
      </c>
      <c r="AT138" s="81">
        <f t="shared" si="26"/>
        <v>0</v>
      </c>
    </row>
    <row r="139" spans="1:46" x14ac:dyDescent="0.25">
      <c r="A139" t="s">
        <v>805</v>
      </c>
      <c r="B139">
        <v>2023</v>
      </c>
      <c r="C139" t="s">
        <v>680</v>
      </c>
      <c r="D139" t="s">
        <v>809</v>
      </c>
      <c r="E139" t="s">
        <v>1028</v>
      </c>
      <c r="F139">
        <v>3</v>
      </c>
      <c r="G139" t="s">
        <v>1874</v>
      </c>
      <c r="H139" s="460">
        <v>2851.584720085998</v>
      </c>
      <c r="I139">
        <v>720</v>
      </c>
      <c r="J139">
        <v>0</v>
      </c>
      <c r="K139" s="67">
        <v>0</v>
      </c>
      <c r="L139" s="159">
        <v>150</v>
      </c>
      <c r="M139" s="159">
        <v>20803</v>
      </c>
      <c r="N139" s="159">
        <v>1920</v>
      </c>
      <c r="O139" s="159">
        <v>506</v>
      </c>
      <c r="P139" s="159">
        <v>3337</v>
      </c>
      <c r="Q139" s="159">
        <v>1500</v>
      </c>
      <c r="R139" s="159">
        <v>2000</v>
      </c>
      <c r="S139" s="159">
        <v>16000</v>
      </c>
      <c r="T139" s="159">
        <v>98</v>
      </c>
      <c r="U139" s="159">
        <v>120</v>
      </c>
      <c r="V139" s="159">
        <v>0</v>
      </c>
      <c r="W139" s="159">
        <v>186</v>
      </c>
      <c r="X139" s="159">
        <v>0</v>
      </c>
      <c r="Y139" s="159">
        <v>0</v>
      </c>
      <c r="Z139" s="159">
        <v>0</v>
      </c>
      <c r="AA139" s="159">
        <v>0</v>
      </c>
      <c r="AB139" s="159">
        <v>0</v>
      </c>
      <c r="AC139" s="159">
        <v>0</v>
      </c>
      <c r="AD139" s="207">
        <v>46620</v>
      </c>
      <c r="AE139" s="200">
        <v>9.296635675461987</v>
      </c>
      <c r="AF139" s="200">
        <v>13.185955553262824</v>
      </c>
      <c r="AG139" s="200">
        <v>12.791928571571866</v>
      </c>
      <c r="AH139" s="200">
        <v>0</v>
      </c>
      <c r="AI139" s="200">
        <v>0</v>
      </c>
      <c r="AJ139" s="200">
        <v>0</v>
      </c>
      <c r="AL139" s="197">
        <f t="shared" si="18"/>
        <v>53443.56970846904</v>
      </c>
      <c r="AM139" s="197" t="str">
        <f t="shared" si="19"/>
        <v>School Medium 3</v>
      </c>
      <c r="AN139" s="3">
        <f t="shared" si="20"/>
        <v>25.301101113628331</v>
      </c>
      <c r="AO139" s="3">
        <f t="shared" si="21"/>
        <v>9.7660793264800994</v>
      </c>
      <c r="AP139" s="3">
        <f t="shared" si="22"/>
        <v>0</v>
      </c>
      <c r="AQ139" s="3">
        <f t="shared" si="23"/>
        <v>0</v>
      </c>
      <c r="AR139" s="3">
        <f t="shared" si="24"/>
        <v>9.7660793264800994</v>
      </c>
      <c r="AS139" s="81">
        <f t="shared" si="25"/>
        <v>1</v>
      </c>
      <c r="AT139" s="81">
        <f t="shared" si="26"/>
        <v>0</v>
      </c>
    </row>
    <row r="140" spans="1:46" x14ac:dyDescent="0.25">
      <c r="A140" t="s">
        <v>807</v>
      </c>
      <c r="B140">
        <v>2023</v>
      </c>
      <c r="C140" t="s">
        <v>680</v>
      </c>
      <c r="D140" t="s">
        <v>809</v>
      </c>
      <c r="E140" t="s">
        <v>1028</v>
      </c>
      <c r="F140">
        <v>3</v>
      </c>
      <c r="G140" t="s">
        <v>1875</v>
      </c>
      <c r="H140" s="460">
        <v>2961.0606157295642</v>
      </c>
      <c r="I140">
        <v>720</v>
      </c>
      <c r="J140">
        <v>0</v>
      </c>
      <c r="K140" s="67">
        <v>1.6473600000000002</v>
      </c>
      <c r="L140" s="159">
        <v>150</v>
      </c>
      <c r="M140" s="159">
        <v>12349</v>
      </c>
      <c r="N140" s="159">
        <v>220</v>
      </c>
      <c r="O140" s="159">
        <v>392</v>
      </c>
      <c r="P140" s="159">
        <v>3392</v>
      </c>
      <c r="Q140" s="159">
        <v>1500</v>
      </c>
      <c r="R140" s="159">
        <v>2000</v>
      </c>
      <c r="S140" s="159">
        <v>16000</v>
      </c>
      <c r="T140" s="159">
        <v>0</v>
      </c>
      <c r="U140" s="159">
        <v>1153</v>
      </c>
      <c r="V140" s="159">
        <v>4500</v>
      </c>
      <c r="W140" s="159">
        <v>186</v>
      </c>
      <c r="X140" s="159">
        <v>120</v>
      </c>
      <c r="Y140" s="159">
        <v>1500</v>
      </c>
      <c r="Z140" s="159">
        <v>2370</v>
      </c>
      <c r="AA140" s="159">
        <v>0</v>
      </c>
      <c r="AB140" s="159">
        <v>0</v>
      </c>
      <c r="AC140" s="159">
        <v>0</v>
      </c>
      <c r="AD140" s="207">
        <v>45832</v>
      </c>
      <c r="AE140" s="200">
        <v>20.721917082650773</v>
      </c>
      <c r="AF140" s="200">
        <v>19.657755450343526</v>
      </c>
      <c r="AG140" s="200">
        <v>16.252096349415012</v>
      </c>
      <c r="AH140" s="200">
        <v>0</v>
      </c>
      <c r="AI140" s="200">
        <v>0</v>
      </c>
      <c r="AJ140" s="200">
        <v>0</v>
      </c>
      <c r="AL140" s="197">
        <f t="shared" si="18"/>
        <v>52540.233523778486</v>
      </c>
      <c r="AM140" s="197" t="str">
        <f t="shared" si="19"/>
        <v>School Medium 3</v>
      </c>
      <c r="AN140" s="3">
        <f t="shared" si="20"/>
        <v>11.351030809710156</v>
      </c>
      <c r="AO140" s="3">
        <f t="shared" si="21"/>
        <v>4.3814325245013706</v>
      </c>
      <c r="AP140" s="3">
        <f t="shared" si="22"/>
        <v>0</v>
      </c>
      <c r="AQ140" s="3">
        <f t="shared" si="23"/>
        <v>0</v>
      </c>
      <c r="AR140" s="3">
        <f t="shared" si="24"/>
        <v>4.3814325245013706</v>
      </c>
      <c r="AS140" s="81">
        <f t="shared" si="25"/>
        <v>1</v>
      </c>
      <c r="AT140" s="81">
        <f t="shared" si="26"/>
        <v>0</v>
      </c>
    </row>
    <row r="141" spans="1:46" x14ac:dyDescent="0.25">
      <c r="A141" t="s">
        <v>807</v>
      </c>
      <c r="B141">
        <v>2023</v>
      </c>
      <c r="C141" t="s">
        <v>680</v>
      </c>
      <c r="D141" t="s">
        <v>809</v>
      </c>
      <c r="E141" t="s">
        <v>1028</v>
      </c>
      <c r="F141">
        <v>3</v>
      </c>
      <c r="G141" t="s">
        <v>1876</v>
      </c>
      <c r="H141" s="460">
        <v>2834.3244593841264</v>
      </c>
      <c r="I141">
        <v>720</v>
      </c>
      <c r="J141">
        <v>0</v>
      </c>
      <c r="K141" s="67">
        <v>2.7244800000000007</v>
      </c>
      <c r="L141" s="159">
        <v>150</v>
      </c>
      <c r="M141" s="159">
        <v>10129</v>
      </c>
      <c r="N141" s="159">
        <v>220</v>
      </c>
      <c r="O141" s="159">
        <v>392</v>
      </c>
      <c r="P141" s="159">
        <v>2315</v>
      </c>
      <c r="Q141" s="159">
        <v>1500</v>
      </c>
      <c r="R141" s="159">
        <v>2000</v>
      </c>
      <c r="S141" s="159">
        <v>16000</v>
      </c>
      <c r="T141" s="159">
        <v>0</v>
      </c>
      <c r="U141" s="159">
        <v>1907</v>
      </c>
      <c r="V141" s="159">
        <v>4500</v>
      </c>
      <c r="W141" s="159">
        <v>186</v>
      </c>
      <c r="X141" s="159">
        <v>120</v>
      </c>
      <c r="Y141" s="159">
        <v>1500</v>
      </c>
      <c r="Z141" s="159">
        <v>2476</v>
      </c>
      <c r="AA141" s="159">
        <v>0</v>
      </c>
      <c r="AB141" s="159">
        <v>0</v>
      </c>
      <c r="AC141" s="159">
        <v>0</v>
      </c>
      <c r="AD141" s="207">
        <v>43395</v>
      </c>
      <c r="AE141" s="200">
        <v>17.364527428588492</v>
      </c>
      <c r="AF141" s="200">
        <v>15.705509000803799</v>
      </c>
      <c r="AG141" s="200">
        <v>13.349125557292401</v>
      </c>
      <c r="AH141" s="200">
        <v>0</v>
      </c>
      <c r="AI141" s="200">
        <v>0</v>
      </c>
      <c r="AJ141" s="200">
        <v>0</v>
      </c>
      <c r="AL141" s="197">
        <f t="shared" si="18"/>
        <v>49746.540272394122</v>
      </c>
      <c r="AM141" s="197" t="str">
        <f t="shared" si="19"/>
        <v>School Medium 3</v>
      </c>
      <c r="AN141" s="3">
        <f t="shared" si="20"/>
        <v>13.545725342008231</v>
      </c>
      <c r="AO141" s="3">
        <f t="shared" si="21"/>
        <v>5.228571975213657</v>
      </c>
      <c r="AP141" s="3">
        <f t="shared" si="22"/>
        <v>0</v>
      </c>
      <c r="AQ141" s="3">
        <f t="shared" si="23"/>
        <v>0</v>
      </c>
      <c r="AR141" s="3">
        <f t="shared" si="24"/>
        <v>5.228571975213657</v>
      </c>
      <c r="AS141" s="81">
        <f t="shared" si="25"/>
        <v>1</v>
      </c>
      <c r="AT141" s="81">
        <f t="shared" si="26"/>
        <v>0</v>
      </c>
    </row>
    <row r="142" spans="1:46" x14ac:dyDescent="0.25">
      <c r="A142" t="s">
        <v>808</v>
      </c>
      <c r="B142">
        <v>2023</v>
      </c>
      <c r="C142" t="s">
        <v>680</v>
      </c>
      <c r="D142" t="s">
        <v>809</v>
      </c>
      <c r="E142" t="s">
        <v>1028</v>
      </c>
      <c r="F142">
        <v>3</v>
      </c>
      <c r="G142" t="s">
        <v>1877</v>
      </c>
      <c r="H142" s="460">
        <v>3857.3052981323926</v>
      </c>
      <c r="I142">
        <v>720</v>
      </c>
      <c r="J142">
        <v>119.99999997072871</v>
      </c>
      <c r="K142" s="67">
        <v>117.298125</v>
      </c>
      <c r="L142" s="159">
        <v>0</v>
      </c>
      <c r="M142" s="159">
        <v>9438</v>
      </c>
      <c r="N142" s="159">
        <v>220</v>
      </c>
      <c r="O142" s="159">
        <v>0</v>
      </c>
      <c r="P142" s="159">
        <v>0</v>
      </c>
      <c r="Q142" s="159">
        <v>1500</v>
      </c>
      <c r="R142" s="159">
        <v>2000</v>
      </c>
      <c r="S142" s="159">
        <v>16000</v>
      </c>
      <c r="T142" s="159">
        <v>2401</v>
      </c>
      <c r="U142" s="159">
        <v>41054</v>
      </c>
      <c r="V142" s="159">
        <v>4500</v>
      </c>
      <c r="W142" s="159">
        <v>186</v>
      </c>
      <c r="X142" s="159">
        <v>0</v>
      </c>
      <c r="Y142" s="159">
        <v>1500</v>
      </c>
      <c r="Z142" s="159">
        <v>5828</v>
      </c>
      <c r="AA142" s="159">
        <v>0</v>
      </c>
      <c r="AB142" s="159">
        <v>0</v>
      </c>
      <c r="AC142" s="159">
        <v>0</v>
      </c>
      <c r="AD142" s="207">
        <v>84627</v>
      </c>
      <c r="AE142" s="200">
        <v>59.774603523575934</v>
      </c>
      <c r="AF142" s="200">
        <v>31.890662154387957</v>
      </c>
      <c r="AG142" s="200">
        <v>21.89102269366159</v>
      </c>
      <c r="AH142" s="200">
        <v>572</v>
      </c>
      <c r="AI142" s="200">
        <v>866</v>
      </c>
      <c r="AJ142" s="200">
        <v>1099</v>
      </c>
      <c r="AL142" s="197">
        <f t="shared" si="18"/>
        <v>97013.491499755677</v>
      </c>
      <c r="AM142" s="197" t="str">
        <f t="shared" si="19"/>
        <v>School Medium 3</v>
      </c>
      <c r="AN142" s="3">
        <f t="shared" si="20"/>
        <v>1.967517184356196</v>
      </c>
      <c r="AO142" s="3">
        <f t="shared" si="21"/>
        <v>0.75945030267023994</v>
      </c>
      <c r="AP142" s="3">
        <f t="shared" si="22"/>
        <v>17.771260268184474</v>
      </c>
      <c r="AQ142" s="3">
        <f t="shared" si="23"/>
        <v>0.63976536965464104</v>
      </c>
      <c r="AR142" s="3">
        <f t="shared" si="24"/>
        <v>1.399215672324881</v>
      </c>
      <c r="AS142" s="81">
        <f t="shared" si="25"/>
        <v>0.54276857934872014</v>
      </c>
      <c r="AT142" s="81">
        <f t="shared" si="26"/>
        <v>0.45723142065127986</v>
      </c>
    </row>
    <row r="143" spans="1:46" x14ac:dyDescent="0.25">
      <c r="A143" t="s">
        <v>808</v>
      </c>
      <c r="B143">
        <v>2023</v>
      </c>
      <c r="C143" t="s">
        <v>680</v>
      </c>
      <c r="D143" t="s">
        <v>809</v>
      </c>
      <c r="E143" t="s">
        <v>1028</v>
      </c>
      <c r="F143">
        <v>3</v>
      </c>
      <c r="G143" t="s">
        <v>1878</v>
      </c>
      <c r="H143" s="460">
        <v>3690.5592189868094</v>
      </c>
      <c r="I143">
        <v>720</v>
      </c>
      <c r="J143">
        <v>119.99999997072871</v>
      </c>
      <c r="K143" s="67">
        <v>108.609375</v>
      </c>
      <c r="L143" s="159">
        <v>0</v>
      </c>
      <c r="M143" s="159">
        <v>5830</v>
      </c>
      <c r="N143" s="159">
        <v>220</v>
      </c>
      <c r="O143" s="159">
        <v>0</v>
      </c>
      <c r="P143" s="159">
        <v>2597</v>
      </c>
      <c r="Q143" s="159">
        <v>1500</v>
      </c>
      <c r="R143" s="159">
        <v>2000</v>
      </c>
      <c r="S143" s="159">
        <v>16000</v>
      </c>
      <c r="T143" s="159">
        <v>1746</v>
      </c>
      <c r="U143" s="159">
        <v>38013</v>
      </c>
      <c r="V143" s="159">
        <v>4500</v>
      </c>
      <c r="W143" s="159">
        <v>186</v>
      </c>
      <c r="X143" s="159">
        <v>0</v>
      </c>
      <c r="Y143" s="159">
        <v>1500</v>
      </c>
      <c r="Z143" s="159">
        <v>4548</v>
      </c>
      <c r="AA143" s="159">
        <v>0</v>
      </c>
      <c r="AB143" s="159">
        <v>0</v>
      </c>
      <c r="AC143" s="159">
        <v>0</v>
      </c>
      <c r="AD143" s="207">
        <v>78640</v>
      </c>
      <c r="AE143" s="200">
        <v>17.294764503614502</v>
      </c>
      <c r="AF143" s="200">
        <v>13.499840267468146</v>
      </c>
      <c r="AG143" s="200">
        <v>13.505884932751917</v>
      </c>
      <c r="AH143" s="200">
        <v>582</v>
      </c>
      <c r="AI143" s="200">
        <v>762</v>
      </c>
      <c r="AJ143" s="200">
        <v>985</v>
      </c>
      <c r="AL143" s="197">
        <f t="shared" si="18"/>
        <v>90150.199954397365</v>
      </c>
      <c r="AM143" s="197" t="str">
        <f t="shared" si="19"/>
        <v>School Medium 3</v>
      </c>
      <c r="AN143" s="3">
        <f t="shared" si="20"/>
        <v>6.8001827718518397</v>
      </c>
      <c r="AO143" s="3">
        <f t="shared" si="21"/>
        <v>2.6248313892037025</v>
      </c>
      <c r="AP143" s="3">
        <f t="shared" si="22"/>
        <v>18.081946636509379</v>
      </c>
      <c r="AQ143" s="3">
        <f t="shared" si="23"/>
        <v>0.65095007891433765</v>
      </c>
      <c r="AR143" s="3">
        <f t="shared" si="24"/>
        <v>3.2757814681180402</v>
      </c>
      <c r="AS143" s="81">
        <f t="shared" si="25"/>
        <v>0.8012840339779097</v>
      </c>
      <c r="AT143" s="81">
        <f t="shared" si="26"/>
        <v>0.19871596602209032</v>
      </c>
    </row>
    <row r="144" spans="1:46" x14ac:dyDescent="0.25">
      <c r="A144" t="s">
        <v>230</v>
      </c>
      <c r="B144">
        <v>2023</v>
      </c>
      <c r="C144" t="s">
        <v>680</v>
      </c>
      <c r="D144" t="s">
        <v>809</v>
      </c>
      <c r="E144" t="s">
        <v>1028</v>
      </c>
      <c r="F144">
        <v>3</v>
      </c>
      <c r="G144" t="s">
        <v>1879</v>
      </c>
      <c r="H144" s="460">
        <v>3640.0991196185005</v>
      </c>
      <c r="I144">
        <v>720</v>
      </c>
      <c r="J144">
        <v>150.00000001001371</v>
      </c>
      <c r="K144" s="67">
        <v>148.20525000000001</v>
      </c>
      <c r="L144" s="159">
        <v>0</v>
      </c>
      <c r="M144" s="159">
        <v>0</v>
      </c>
      <c r="N144" s="159">
        <v>0</v>
      </c>
      <c r="O144" s="159">
        <v>0</v>
      </c>
      <c r="P144" s="159">
        <v>0</v>
      </c>
      <c r="Q144" s="159">
        <v>1500</v>
      </c>
      <c r="R144" s="159">
        <v>2000</v>
      </c>
      <c r="S144" s="159">
        <v>16000</v>
      </c>
      <c r="T144" s="159">
        <v>0</v>
      </c>
      <c r="U144" s="159">
        <v>51872</v>
      </c>
      <c r="V144" s="159">
        <v>4500</v>
      </c>
      <c r="W144" s="159">
        <v>186</v>
      </c>
      <c r="X144" s="159">
        <v>0</v>
      </c>
      <c r="Y144" s="159">
        <v>1500</v>
      </c>
      <c r="Z144" s="159">
        <v>5528</v>
      </c>
      <c r="AA144" s="159">
        <v>0</v>
      </c>
      <c r="AB144" s="159">
        <v>0</v>
      </c>
      <c r="AC144" s="159">
        <v>0</v>
      </c>
      <c r="AD144" s="207">
        <v>83086</v>
      </c>
      <c r="AE144" s="200">
        <v>0</v>
      </c>
      <c r="AF144" s="200">
        <v>0</v>
      </c>
      <c r="AG144" s="200">
        <v>0</v>
      </c>
      <c r="AH144" s="200">
        <v>557</v>
      </c>
      <c r="AI144" s="200">
        <v>840</v>
      </c>
      <c r="AJ144" s="200">
        <v>1066</v>
      </c>
      <c r="AL144" s="197">
        <f t="shared" si="18"/>
        <v>95246.941930456</v>
      </c>
      <c r="AM144" s="197" t="str">
        <f t="shared" si="19"/>
        <v>School Medium 3</v>
      </c>
      <c r="AN144" s="3">
        <f t="shared" si="20"/>
        <v>0</v>
      </c>
      <c r="AO144" s="3">
        <f t="shared" si="21"/>
        <v>0</v>
      </c>
      <c r="AP144" s="3">
        <f t="shared" si="22"/>
        <v>34.610461431394235</v>
      </c>
      <c r="AQ144" s="3">
        <f t="shared" si="23"/>
        <v>1.2459766115301925</v>
      </c>
      <c r="AR144" s="3">
        <f t="shared" si="24"/>
        <v>1.2459766115301925</v>
      </c>
      <c r="AS144" s="81">
        <f t="shared" si="25"/>
        <v>0</v>
      </c>
      <c r="AT144" s="81">
        <f t="shared" si="26"/>
        <v>1</v>
      </c>
    </row>
    <row r="145" spans="1:46" x14ac:dyDescent="0.25">
      <c r="A145" t="s">
        <v>496</v>
      </c>
      <c r="B145">
        <v>2023</v>
      </c>
      <c r="C145" t="s">
        <v>680</v>
      </c>
      <c r="D145" t="s">
        <v>809</v>
      </c>
      <c r="E145" t="s">
        <v>1028</v>
      </c>
      <c r="F145">
        <v>3</v>
      </c>
      <c r="G145" t="s">
        <v>1880</v>
      </c>
      <c r="H145" s="460">
        <v>2989.0610252814718</v>
      </c>
      <c r="I145">
        <v>720</v>
      </c>
      <c r="J145">
        <v>150.00000001001371</v>
      </c>
      <c r="K145" s="67">
        <v>3.1046400000000003</v>
      </c>
      <c r="L145" s="159">
        <v>0</v>
      </c>
      <c r="M145" s="159">
        <v>0</v>
      </c>
      <c r="N145" s="159">
        <v>0</v>
      </c>
      <c r="O145" s="159">
        <v>0</v>
      </c>
      <c r="P145" s="159">
        <v>0</v>
      </c>
      <c r="Q145" s="159">
        <v>1500</v>
      </c>
      <c r="R145" s="159">
        <v>2000</v>
      </c>
      <c r="S145" s="159">
        <v>16000</v>
      </c>
      <c r="T145" s="159">
        <v>0</v>
      </c>
      <c r="U145" s="159">
        <v>2173</v>
      </c>
      <c r="V145" s="159">
        <v>4500</v>
      </c>
      <c r="W145" s="159">
        <v>186</v>
      </c>
      <c r="X145" s="159">
        <v>0</v>
      </c>
      <c r="Y145" s="159">
        <v>1500</v>
      </c>
      <c r="Z145" s="159">
        <v>5395</v>
      </c>
      <c r="AA145" s="159">
        <v>24448</v>
      </c>
      <c r="AB145" s="159">
        <v>7873</v>
      </c>
      <c r="AC145" s="159">
        <v>0</v>
      </c>
      <c r="AD145" s="207">
        <v>65575</v>
      </c>
      <c r="AE145" s="200">
        <v>40.21746979623191</v>
      </c>
      <c r="AF145" s="200">
        <v>27.254665498595696</v>
      </c>
      <c r="AG145" s="200">
        <v>20.74420588229464</v>
      </c>
      <c r="AH145" s="200">
        <v>0</v>
      </c>
      <c r="AI145" s="200">
        <v>0</v>
      </c>
      <c r="AJ145" s="200">
        <v>0</v>
      </c>
      <c r="AL145" s="197">
        <f t="shared" si="18"/>
        <v>75172.931866856656</v>
      </c>
      <c r="AM145" s="197" t="str">
        <f t="shared" si="19"/>
        <v>School Medium 3</v>
      </c>
      <c r="AN145" s="3">
        <f t="shared" si="20"/>
        <v>5.8485807394941123</v>
      </c>
      <c r="AO145" s="3">
        <f t="shared" si="21"/>
        <v>2.2575184847768122</v>
      </c>
      <c r="AP145" s="3">
        <f t="shared" si="22"/>
        <v>0</v>
      </c>
      <c r="AQ145" s="3">
        <f t="shared" si="23"/>
        <v>0</v>
      </c>
      <c r="AR145" s="3">
        <f t="shared" si="24"/>
        <v>2.2575184847768122</v>
      </c>
      <c r="AS145" s="81">
        <f t="shared" si="25"/>
        <v>1</v>
      </c>
      <c r="AT145" s="81">
        <f t="shared" si="26"/>
        <v>0</v>
      </c>
    </row>
    <row r="146" spans="1:46" x14ac:dyDescent="0.25">
      <c r="A146" t="s">
        <v>828</v>
      </c>
      <c r="B146">
        <v>2023</v>
      </c>
      <c r="C146" t="s">
        <v>680</v>
      </c>
      <c r="D146" t="s">
        <v>809</v>
      </c>
      <c r="E146" t="s">
        <v>1028</v>
      </c>
      <c r="F146">
        <v>3</v>
      </c>
      <c r="G146" t="s">
        <v>1881</v>
      </c>
      <c r="H146" s="460">
        <v>3033.5648892017198</v>
      </c>
      <c r="I146">
        <v>720</v>
      </c>
      <c r="J146">
        <v>150.00000001001371</v>
      </c>
      <c r="K146" s="67">
        <v>28.052250000000001</v>
      </c>
      <c r="L146" s="159">
        <v>0</v>
      </c>
      <c r="M146" s="159">
        <v>0</v>
      </c>
      <c r="N146" s="159">
        <v>0</v>
      </c>
      <c r="O146" s="159">
        <v>0</v>
      </c>
      <c r="P146" s="159">
        <v>0</v>
      </c>
      <c r="Q146" s="159">
        <v>1500</v>
      </c>
      <c r="R146" s="159">
        <v>2000</v>
      </c>
      <c r="S146" s="159">
        <v>16000</v>
      </c>
      <c r="T146" s="159">
        <v>0</v>
      </c>
      <c r="U146" s="159">
        <v>9818</v>
      </c>
      <c r="V146" s="159">
        <v>4500</v>
      </c>
      <c r="W146" s="159">
        <v>186</v>
      </c>
      <c r="X146" s="159">
        <v>0</v>
      </c>
      <c r="Y146" s="159">
        <v>1500</v>
      </c>
      <c r="Z146" s="159">
        <v>6426</v>
      </c>
      <c r="AA146" s="159">
        <v>9191</v>
      </c>
      <c r="AB146" s="159">
        <v>6351</v>
      </c>
      <c r="AC146" s="159">
        <v>0</v>
      </c>
      <c r="AD146" s="207">
        <v>57472</v>
      </c>
      <c r="AE146" s="200">
        <v>40.057897432085298</v>
      </c>
      <c r="AF146" s="200">
        <v>24.420967700581173</v>
      </c>
      <c r="AG146" s="200">
        <v>20.915669354658409</v>
      </c>
      <c r="AH146" s="200">
        <v>0</v>
      </c>
      <c r="AI146" s="200">
        <v>0</v>
      </c>
      <c r="AJ146" s="200">
        <v>286.68401779258653</v>
      </c>
      <c r="AL146" s="197">
        <f t="shared" si="18"/>
        <v>65883.930465146565</v>
      </c>
      <c r="AM146" s="197" t="str">
        <f t="shared" si="19"/>
        <v>School Medium 3</v>
      </c>
      <c r="AN146" s="3">
        <f t="shared" si="20"/>
        <v>5.8718788134153828</v>
      </c>
      <c r="AO146" s="3">
        <f t="shared" si="21"/>
        <v>2.2665114071420276</v>
      </c>
      <c r="AP146" s="3">
        <f t="shared" si="22"/>
        <v>0</v>
      </c>
      <c r="AQ146" s="3">
        <f t="shared" si="23"/>
        <v>0</v>
      </c>
      <c r="AR146" s="3">
        <f t="shared" si="24"/>
        <v>2.2665114071420276</v>
      </c>
      <c r="AS146" s="81">
        <f t="shared" si="25"/>
        <v>1</v>
      </c>
      <c r="AT146" s="81">
        <f t="shared" si="26"/>
        <v>0</v>
      </c>
    </row>
    <row r="147" spans="1:46" x14ac:dyDescent="0.25">
      <c r="A147" t="s">
        <v>805</v>
      </c>
      <c r="B147">
        <v>2025</v>
      </c>
      <c r="C147" t="s">
        <v>680</v>
      </c>
      <c r="D147" t="s">
        <v>809</v>
      </c>
      <c r="E147" t="s">
        <v>1028</v>
      </c>
      <c r="F147">
        <v>3</v>
      </c>
      <c r="G147" t="s">
        <v>1882</v>
      </c>
      <c r="H147" s="460">
        <v>3033.514852433073</v>
      </c>
      <c r="I147">
        <v>720</v>
      </c>
      <c r="J147">
        <v>0</v>
      </c>
      <c r="K147" s="67">
        <v>0</v>
      </c>
      <c r="L147" s="159">
        <v>150</v>
      </c>
      <c r="M147" s="159">
        <v>16410</v>
      </c>
      <c r="N147" s="159">
        <v>1920</v>
      </c>
      <c r="O147" s="159">
        <v>506</v>
      </c>
      <c r="P147" s="159">
        <v>4698</v>
      </c>
      <c r="Q147" s="159">
        <v>1500</v>
      </c>
      <c r="R147" s="159">
        <v>2000</v>
      </c>
      <c r="S147" s="159">
        <v>16103</v>
      </c>
      <c r="T147" s="159">
        <v>92</v>
      </c>
      <c r="U147" s="159">
        <v>120</v>
      </c>
      <c r="V147" s="159">
        <v>0</v>
      </c>
      <c r="W147" s="159">
        <v>186</v>
      </c>
      <c r="X147" s="159">
        <v>0</v>
      </c>
      <c r="Y147" s="159">
        <v>0</v>
      </c>
      <c r="Z147" s="159">
        <v>0</v>
      </c>
      <c r="AA147" s="159">
        <v>0</v>
      </c>
      <c r="AB147" s="159">
        <v>0</v>
      </c>
      <c r="AC147" s="159">
        <v>0</v>
      </c>
      <c r="AD147" s="207">
        <v>43685</v>
      </c>
      <c r="AE147" s="200">
        <v>14.323904359505942</v>
      </c>
      <c r="AF147" s="200">
        <v>19.728384865531623</v>
      </c>
      <c r="AG147" s="200">
        <v>17.410313883588067</v>
      </c>
      <c r="AH147" s="200">
        <v>0</v>
      </c>
      <c r="AI147" s="200">
        <v>0</v>
      </c>
      <c r="AJ147" s="200">
        <v>0</v>
      </c>
      <c r="AL147" s="197">
        <f t="shared" si="18"/>
        <v>50078.986330211708</v>
      </c>
      <c r="AM147" s="197" t="str">
        <f t="shared" si="19"/>
        <v>School Medium 3</v>
      </c>
      <c r="AN147" s="3">
        <f t="shared" si="20"/>
        <v>16.421159576182841</v>
      </c>
      <c r="AO147" s="3">
        <f t="shared" si="21"/>
        <v>6.3384730306226533</v>
      </c>
      <c r="AP147" s="3">
        <f t="shared" si="22"/>
        <v>0</v>
      </c>
      <c r="AQ147" s="3">
        <f t="shared" si="23"/>
        <v>0</v>
      </c>
      <c r="AR147" s="3">
        <f t="shared" si="24"/>
        <v>6.3384730306226533</v>
      </c>
      <c r="AS147" s="81">
        <f t="shared" si="25"/>
        <v>1</v>
      </c>
      <c r="AT147" s="81">
        <f t="shared" si="26"/>
        <v>0</v>
      </c>
    </row>
    <row r="148" spans="1:46" x14ac:dyDescent="0.25">
      <c r="A148" t="s">
        <v>805</v>
      </c>
      <c r="B148">
        <v>2025</v>
      </c>
      <c r="C148" t="s">
        <v>680</v>
      </c>
      <c r="D148" t="s">
        <v>809</v>
      </c>
      <c r="E148" t="s">
        <v>1028</v>
      </c>
      <c r="F148">
        <v>3</v>
      </c>
      <c r="G148" t="s">
        <v>1883</v>
      </c>
      <c r="H148" s="460">
        <v>2830.7441727775104</v>
      </c>
      <c r="I148">
        <v>720</v>
      </c>
      <c r="J148">
        <v>0</v>
      </c>
      <c r="K148" s="67">
        <v>0</v>
      </c>
      <c r="L148" s="159">
        <v>150</v>
      </c>
      <c r="M148" s="159">
        <v>21210</v>
      </c>
      <c r="N148" s="159">
        <v>1920</v>
      </c>
      <c r="O148" s="159">
        <v>506</v>
      </c>
      <c r="P148" s="159">
        <v>3335</v>
      </c>
      <c r="Q148" s="159">
        <v>1500</v>
      </c>
      <c r="R148" s="159">
        <v>2000</v>
      </c>
      <c r="S148" s="159">
        <v>16103</v>
      </c>
      <c r="T148" s="159">
        <v>92</v>
      </c>
      <c r="U148" s="159">
        <v>120</v>
      </c>
      <c r="V148" s="159">
        <v>0</v>
      </c>
      <c r="W148" s="159">
        <v>186</v>
      </c>
      <c r="X148" s="159">
        <v>0</v>
      </c>
      <c r="Y148" s="159">
        <v>0</v>
      </c>
      <c r="Z148" s="159">
        <v>0</v>
      </c>
      <c r="AA148" s="159">
        <v>0</v>
      </c>
      <c r="AB148" s="159">
        <v>0</v>
      </c>
      <c r="AC148" s="159">
        <v>0</v>
      </c>
      <c r="AD148" s="207">
        <v>47122</v>
      </c>
      <c r="AE148" s="200">
        <v>9.9908861495253696</v>
      </c>
      <c r="AF148" s="200">
        <v>14.602406754993478</v>
      </c>
      <c r="AG148" s="200">
        <v>14.38981151130398</v>
      </c>
      <c r="AH148" s="200">
        <v>0</v>
      </c>
      <c r="AI148" s="200">
        <v>0</v>
      </c>
      <c r="AJ148" s="200">
        <v>0</v>
      </c>
      <c r="AL148" s="197">
        <f t="shared" si="18"/>
        <v>54019.045298208453</v>
      </c>
      <c r="AM148" s="197" t="str">
        <f t="shared" si="19"/>
        <v>School Medium 3</v>
      </c>
      <c r="AN148" s="3">
        <f t="shared" si="20"/>
        <v>23.542968633728485</v>
      </c>
      <c r="AO148" s="3">
        <f t="shared" si="21"/>
        <v>9.0874503139303453</v>
      </c>
      <c r="AP148" s="3">
        <f t="shared" si="22"/>
        <v>0</v>
      </c>
      <c r="AQ148" s="3">
        <f t="shared" si="23"/>
        <v>0</v>
      </c>
      <c r="AR148" s="3">
        <f t="shared" si="24"/>
        <v>9.0874503139303453</v>
      </c>
      <c r="AS148" s="81">
        <f t="shared" si="25"/>
        <v>1</v>
      </c>
      <c r="AT148" s="81">
        <f t="shared" si="26"/>
        <v>0</v>
      </c>
    </row>
    <row r="149" spans="1:46" x14ac:dyDescent="0.25">
      <c r="A149" t="s">
        <v>807</v>
      </c>
      <c r="B149">
        <v>2025</v>
      </c>
      <c r="C149" t="s">
        <v>680</v>
      </c>
      <c r="D149" t="s">
        <v>809</v>
      </c>
      <c r="E149" t="s">
        <v>1028</v>
      </c>
      <c r="F149">
        <v>3</v>
      </c>
      <c r="G149" t="s">
        <v>1884</v>
      </c>
      <c r="H149" s="460">
        <v>2945.6493799193331</v>
      </c>
      <c r="I149">
        <v>720</v>
      </c>
      <c r="J149">
        <v>0</v>
      </c>
      <c r="K149" s="67">
        <v>2.5977600000000001</v>
      </c>
      <c r="L149" s="159">
        <v>150</v>
      </c>
      <c r="M149" s="159">
        <v>12732</v>
      </c>
      <c r="N149" s="159">
        <v>220</v>
      </c>
      <c r="O149" s="159">
        <v>392</v>
      </c>
      <c r="P149" s="159">
        <v>3392</v>
      </c>
      <c r="Q149" s="159">
        <v>1500</v>
      </c>
      <c r="R149" s="159">
        <v>2000</v>
      </c>
      <c r="S149" s="159">
        <v>16103</v>
      </c>
      <c r="T149" s="159">
        <v>0</v>
      </c>
      <c r="U149" s="159">
        <v>1227</v>
      </c>
      <c r="V149" s="159">
        <v>4500</v>
      </c>
      <c r="W149" s="159">
        <v>186</v>
      </c>
      <c r="X149" s="159">
        <v>120</v>
      </c>
      <c r="Y149" s="159">
        <v>1500</v>
      </c>
      <c r="Z149" s="159">
        <v>1992</v>
      </c>
      <c r="AA149" s="159">
        <v>0</v>
      </c>
      <c r="AB149" s="159">
        <v>0</v>
      </c>
      <c r="AC149" s="159">
        <v>0</v>
      </c>
      <c r="AD149" s="207">
        <v>46014</v>
      </c>
      <c r="AE149" s="200">
        <v>24.218860935614973</v>
      </c>
      <c r="AF149" s="200">
        <v>21.940010032259444</v>
      </c>
      <c r="AG149" s="200">
        <v>18.328480296075359</v>
      </c>
      <c r="AH149" s="200">
        <v>0</v>
      </c>
      <c r="AI149" s="200">
        <v>0</v>
      </c>
      <c r="AJ149" s="200">
        <v>0</v>
      </c>
      <c r="AL149" s="197">
        <f t="shared" si="18"/>
        <v>52748.872084201939</v>
      </c>
      <c r="AM149" s="197" t="str">
        <f t="shared" si="19"/>
        <v>School Medium 3</v>
      </c>
      <c r="AN149" s="3">
        <f t="shared" si="20"/>
        <v>9.7120636625619845</v>
      </c>
      <c r="AO149" s="3">
        <f t="shared" si="21"/>
        <v>3.7488006441472739</v>
      </c>
      <c r="AP149" s="3">
        <f t="shared" si="22"/>
        <v>0</v>
      </c>
      <c r="AQ149" s="3">
        <f t="shared" si="23"/>
        <v>0</v>
      </c>
      <c r="AR149" s="3">
        <f t="shared" si="24"/>
        <v>3.7488006441472739</v>
      </c>
      <c r="AS149" s="81">
        <f t="shared" si="25"/>
        <v>1</v>
      </c>
      <c r="AT149" s="81">
        <f t="shared" si="26"/>
        <v>0</v>
      </c>
    </row>
    <row r="150" spans="1:46" x14ac:dyDescent="0.25">
      <c r="A150" t="s">
        <v>807</v>
      </c>
      <c r="B150">
        <v>2025</v>
      </c>
      <c r="C150" t="s">
        <v>680</v>
      </c>
      <c r="D150" t="s">
        <v>809</v>
      </c>
      <c r="E150" t="s">
        <v>1028</v>
      </c>
      <c r="F150">
        <v>3</v>
      </c>
      <c r="G150" t="s">
        <v>1885</v>
      </c>
      <c r="H150" s="460">
        <v>2810.939369001077</v>
      </c>
      <c r="I150">
        <v>720</v>
      </c>
      <c r="J150">
        <v>0</v>
      </c>
      <c r="K150" s="67">
        <v>2.5977600000000001</v>
      </c>
      <c r="L150" s="159">
        <v>150</v>
      </c>
      <c r="M150" s="159">
        <v>10573</v>
      </c>
      <c r="N150" s="159">
        <v>220</v>
      </c>
      <c r="O150" s="159">
        <v>392</v>
      </c>
      <c r="P150" s="159">
        <v>2315</v>
      </c>
      <c r="Q150" s="159">
        <v>1500</v>
      </c>
      <c r="R150" s="159">
        <v>2000</v>
      </c>
      <c r="S150" s="159">
        <v>16103</v>
      </c>
      <c r="T150" s="159">
        <v>0</v>
      </c>
      <c r="U150" s="159">
        <v>1227</v>
      </c>
      <c r="V150" s="159">
        <v>4500</v>
      </c>
      <c r="W150" s="159">
        <v>186</v>
      </c>
      <c r="X150" s="159">
        <v>120</v>
      </c>
      <c r="Y150" s="159">
        <v>1500</v>
      </c>
      <c r="Z150" s="159">
        <v>2059</v>
      </c>
      <c r="AA150" s="159">
        <v>0</v>
      </c>
      <c r="AB150" s="159">
        <v>0</v>
      </c>
      <c r="AC150" s="159">
        <v>0</v>
      </c>
      <c r="AD150" s="207">
        <v>42845</v>
      </c>
      <c r="AE150" s="200">
        <v>19.366262031283611</v>
      </c>
      <c r="AF150" s="200">
        <v>17.742683363956164</v>
      </c>
      <c r="AG150" s="200">
        <v>15.328678083087752</v>
      </c>
      <c r="AH150" s="200">
        <v>0</v>
      </c>
      <c r="AI150" s="200">
        <v>0</v>
      </c>
      <c r="AJ150" s="200">
        <v>0</v>
      </c>
      <c r="AL150" s="197">
        <f t="shared" si="18"/>
        <v>49116.039128257318</v>
      </c>
      <c r="AM150" s="197" t="str">
        <f t="shared" si="19"/>
        <v>School Medium 3</v>
      </c>
      <c r="AN150" s="3">
        <f t="shared" si="20"/>
        <v>12.145612760039574</v>
      </c>
      <c r="AO150" s="3">
        <f t="shared" si="21"/>
        <v>4.6881365815088545</v>
      </c>
      <c r="AP150" s="3">
        <f t="shared" si="22"/>
        <v>0</v>
      </c>
      <c r="AQ150" s="3">
        <f t="shared" si="23"/>
        <v>0</v>
      </c>
      <c r="AR150" s="3">
        <f t="shared" si="24"/>
        <v>4.6881365815088545</v>
      </c>
      <c r="AS150" s="81">
        <f t="shared" si="25"/>
        <v>1</v>
      </c>
      <c r="AT150" s="81">
        <f t="shared" si="26"/>
        <v>0</v>
      </c>
    </row>
    <row r="151" spans="1:46" x14ac:dyDescent="0.25">
      <c r="A151" t="s">
        <v>808</v>
      </c>
      <c r="B151">
        <v>2025</v>
      </c>
      <c r="C151" t="s">
        <v>680</v>
      </c>
      <c r="D151" t="s">
        <v>809</v>
      </c>
      <c r="E151" t="s">
        <v>1028</v>
      </c>
      <c r="F151">
        <v>3</v>
      </c>
      <c r="G151" t="s">
        <v>1886</v>
      </c>
      <c r="H151" s="460">
        <v>3614.4281233659503</v>
      </c>
      <c r="I151">
        <v>720</v>
      </c>
      <c r="J151">
        <v>119.99999997072871</v>
      </c>
      <c r="K151" s="67">
        <v>109.23</v>
      </c>
      <c r="L151" s="159">
        <v>0</v>
      </c>
      <c r="M151" s="159">
        <v>9652</v>
      </c>
      <c r="N151" s="159">
        <v>220</v>
      </c>
      <c r="O151" s="159">
        <v>0</v>
      </c>
      <c r="P151" s="159">
        <v>0</v>
      </c>
      <c r="Q151" s="159">
        <v>1500</v>
      </c>
      <c r="R151" s="159">
        <v>2000</v>
      </c>
      <c r="S151" s="159">
        <v>16103</v>
      </c>
      <c r="T151" s="159">
        <v>2116</v>
      </c>
      <c r="U151" s="159">
        <v>30584</v>
      </c>
      <c r="V151" s="159">
        <v>4500</v>
      </c>
      <c r="W151" s="159">
        <v>186</v>
      </c>
      <c r="X151" s="159">
        <v>0</v>
      </c>
      <c r="Y151" s="159">
        <v>1500</v>
      </c>
      <c r="Z151" s="159">
        <v>4863</v>
      </c>
      <c r="AA151" s="159">
        <v>0</v>
      </c>
      <c r="AB151" s="159">
        <v>0</v>
      </c>
      <c r="AC151" s="159">
        <v>0</v>
      </c>
      <c r="AD151" s="207">
        <v>73224</v>
      </c>
      <c r="AE151" s="200">
        <v>65.04096599842714</v>
      </c>
      <c r="AF151" s="200">
        <v>35.599198043274185</v>
      </c>
      <c r="AG151" s="200">
        <v>24.379731671261908</v>
      </c>
      <c r="AH151" s="200">
        <v>527</v>
      </c>
      <c r="AI151" s="200">
        <v>796</v>
      </c>
      <c r="AJ151" s="200">
        <v>1010</v>
      </c>
      <c r="AL151" s="197">
        <f t="shared" si="18"/>
        <v>83941.483233224732</v>
      </c>
      <c r="AM151" s="197" t="str">
        <f t="shared" si="19"/>
        <v>School Medium 3</v>
      </c>
      <c r="AN151" s="3">
        <f t="shared" si="20"/>
        <v>1.8082074553375811</v>
      </c>
      <c r="AO151" s="3">
        <f t="shared" si="21"/>
        <v>0.69795766469814002</v>
      </c>
      <c r="AP151" s="3">
        <f t="shared" si="22"/>
        <v>16.373171610722409</v>
      </c>
      <c r="AQ151" s="3">
        <f t="shared" si="23"/>
        <v>0.58943417798600672</v>
      </c>
      <c r="AR151" s="3">
        <f t="shared" si="24"/>
        <v>1.2873918426841469</v>
      </c>
      <c r="AS151" s="81">
        <f t="shared" si="25"/>
        <v>0.54214858410391475</v>
      </c>
      <c r="AT151" s="81">
        <f t="shared" si="26"/>
        <v>0.45785141589608513</v>
      </c>
    </row>
    <row r="152" spans="1:46" x14ac:dyDescent="0.25">
      <c r="A152" t="s">
        <v>808</v>
      </c>
      <c r="B152">
        <v>2025</v>
      </c>
      <c r="C152" t="s">
        <v>680</v>
      </c>
      <c r="D152" t="s">
        <v>809</v>
      </c>
      <c r="E152" t="s">
        <v>1028</v>
      </c>
      <c r="F152">
        <v>3</v>
      </c>
      <c r="G152" t="s">
        <v>1887</v>
      </c>
      <c r="H152" s="460">
        <v>3475.9402640347689</v>
      </c>
      <c r="I152">
        <v>720</v>
      </c>
      <c r="J152">
        <v>119.99999997072871</v>
      </c>
      <c r="K152" s="67">
        <v>99.920625000000001</v>
      </c>
      <c r="L152" s="159">
        <v>0</v>
      </c>
      <c r="M152" s="159">
        <v>6160</v>
      </c>
      <c r="N152" s="159">
        <v>220</v>
      </c>
      <c r="O152" s="159">
        <v>0</v>
      </c>
      <c r="P152" s="159">
        <v>2576</v>
      </c>
      <c r="Q152" s="159">
        <v>1500</v>
      </c>
      <c r="R152" s="159">
        <v>2000</v>
      </c>
      <c r="S152" s="159">
        <v>16103</v>
      </c>
      <c r="T152" s="159">
        <v>1534</v>
      </c>
      <c r="U152" s="159">
        <v>27978</v>
      </c>
      <c r="V152" s="159">
        <v>4500</v>
      </c>
      <c r="W152" s="159">
        <v>186</v>
      </c>
      <c r="X152" s="159">
        <v>0</v>
      </c>
      <c r="Y152" s="159">
        <v>1500</v>
      </c>
      <c r="Z152" s="159">
        <v>3794</v>
      </c>
      <c r="AA152" s="159">
        <v>0</v>
      </c>
      <c r="AB152" s="159">
        <v>0</v>
      </c>
      <c r="AC152" s="159">
        <v>0</v>
      </c>
      <c r="AD152" s="207">
        <v>68051</v>
      </c>
      <c r="AE152" s="200">
        <v>20.033950739715376</v>
      </c>
      <c r="AF152" s="200">
        <v>15.451482602875991</v>
      </c>
      <c r="AG152" s="200">
        <v>15.336327955256282</v>
      </c>
      <c r="AH152" s="200">
        <v>536</v>
      </c>
      <c r="AI152" s="200">
        <v>698</v>
      </c>
      <c r="AJ152" s="200">
        <v>900</v>
      </c>
      <c r="AL152" s="197">
        <f t="shared" si="18"/>
        <v>78011.333381188902</v>
      </c>
      <c r="AM152" s="197" t="str">
        <f t="shared" si="19"/>
        <v>School Medium 3</v>
      </c>
      <c r="AN152" s="3">
        <f t="shared" si="20"/>
        <v>5.8704127382907263</v>
      </c>
      <c r="AO152" s="3">
        <f t="shared" si="21"/>
        <v>2.2659455105867088</v>
      </c>
      <c r="AP152" s="3">
        <f t="shared" si="22"/>
        <v>16.652789342214824</v>
      </c>
      <c r="AQ152" s="3">
        <f t="shared" si="23"/>
        <v>0.59950041631973372</v>
      </c>
      <c r="AR152" s="3">
        <f t="shared" si="24"/>
        <v>2.8654459269064425</v>
      </c>
      <c r="AS152" s="81">
        <f t="shared" si="25"/>
        <v>0.79078285488117417</v>
      </c>
      <c r="AT152" s="81">
        <f t="shared" si="26"/>
        <v>0.20921714511882589</v>
      </c>
    </row>
    <row r="153" spans="1:46" x14ac:dyDescent="0.25">
      <c r="A153" t="s">
        <v>230</v>
      </c>
      <c r="B153">
        <v>2025</v>
      </c>
      <c r="C153" t="s">
        <v>680</v>
      </c>
      <c r="D153" t="s">
        <v>809</v>
      </c>
      <c r="E153" t="s">
        <v>1028</v>
      </c>
      <c r="F153">
        <v>3</v>
      </c>
      <c r="G153" t="s">
        <v>1888</v>
      </c>
      <c r="H153" s="460">
        <v>3389.732100543577</v>
      </c>
      <c r="I153">
        <v>720</v>
      </c>
      <c r="J153">
        <v>150.00000001001371</v>
      </c>
      <c r="K153" s="67">
        <v>139.26824999999999</v>
      </c>
      <c r="L153" s="159">
        <v>0</v>
      </c>
      <c r="M153" s="159">
        <v>0</v>
      </c>
      <c r="N153" s="159">
        <v>0</v>
      </c>
      <c r="O153" s="159">
        <v>0</v>
      </c>
      <c r="P153" s="159">
        <v>0</v>
      </c>
      <c r="Q153" s="159">
        <v>1500</v>
      </c>
      <c r="R153" s="159">
        <v>2000</v>
      </c>
      <c r="S153" s="159">
        <v>16103</v>
      </c>
      <c r="T153" s="159">
        <v>0</v>
      </c>
      <c r="U153" s="159">
        <v>38995</v>
      </c>
      <c r="V153" s="159">
        <v>4500</v>
      </c>
      <c r="W153" s="159">
        <v>186</v>
      </c>
      <c r="X153" s="159">
        <v>0</v>
      </c>
      <c r="Y153" s="159">
        <v>1500</v>
      </c>
      <c r="Z153" s="159">
        <v>4615</v>
      </c>
      <c r="AA153" s="159">
        <v>0</v>
      </c>
      <c r="AB153" s="159">
        <v>0</v>
      </c>
      <c r="AC153" s="159">
        <v>0</v>
      </c>
      <c r="AD153" s="207">
        <v>69399</v>
      </c>
      <c r="AE153" s="200">
        <v>0</v>
      </c>
      <c r="AF153" s="200">
        <v>0</v>
      </c>
      <c r="AG153" s="200">
        <v>0</v>
      </c>
      <c r="AH153" s="200">
        <v>510</v>
      </c>
      <c r="AI153" s="200">
        <v>771</v>
      </c>
      <c r="AJ153" s="200">
        <v>977</v>
      </c>
      <c r="AL153" s="197">
        <f t="shared" si="18"/>
        <v>79556.634367182385</v>
      </c>
      <c r="AM153" s="197" t="str">
        <f t="shared" si="19"/>
        <v>School Medium 3</v>
      </c>
      <c r="AN153" s="3">
        <f t="shared" si="20"/>
        <v>0</v>
      </c>
      <c r="AO153" s="3">
        <f t="shared" si="21"/>
        <v>0</v>
      </c>
      <c r="AP153" s="3">
        <f t="shared" si="22"/>
        <v>31.690009569140141</v>
      </c>
      <c r="AQ153" s="3">
        <f t="shared" si="23"/>
        <v>1.1408403444890451</v>
      </c>
      <c r="AR153" s="3">
        <f t="shared" si="24"/>
        <v>1.1408403444890451</v>
      </c>
      <c r="AS153" s="81">
        <f t="shared" si="25"/>
        <v>0</v>
      </c>
      <c r="AT153" s="81">
        <f t="shared" si="26"/>
        <v>1</v>
      </c>
    </row>
    <row r="154" spans="1:46" x14ac:dyDescent="0.25">
      <c r="A154" t="s">
        <v>496</v>
      </c>
      <c r="B154">
        <v>2025</v>
      </c>
      <c r="C154" t="s">
        <v>680</v>
      </c>
      <c r="D154" t="s">
        <v>809</v>
      </c>
      <c r="E154" t="s">
        <v>1028</v>
      </c>
      <c r="F154">
        <v>3</v>
      </c>
      <c r="G154" t="s">
        <v>1889</v>
      </c>
      <c r="H154" s="460">
        <v>2831.0189122804532</v>
      </c>
      <c r="I154">
        <v>720</v>
      </c>
      <c r="J154">
        <v>150.00000001001371</v>
      </c>
      <c r="K154" s="67">
        <v>3.0888000000000004</v>
      </c>
      <c r="L154" s="159">
        <v>0</v>
      </c>
      <c r="M154" s="159">
        <v>0</v>
      </c>
      <c r="N154" s="159">
        <v>0</v>
      </c>
      <c r="O154" s="159">
        <v>0</v>
      </c>
      <c r="P154" s="159">
        <v>0</v>
      </c>
      <c r="Q154" s="159">
        <v>1500</v>
      </c>
      <c r="R154" s="159">
        <v>2000</v>
      </c>
      <c r="S154" s="159">
        <v>16103</v>
      </c>
      <c r="T154" s="159">
        <v>0</v>
      </c>
      <c r="U154" s="159">
        <v>1459</v>
      </c>
      <c r="V154" s="159">
        <v>4500</v>
      </c>
      <c r="W154" s="159">
        <v>186</v>
      </c>
      <c r="X154" s="159">
        <v>0</v>
      </c>
      <c r="Y154" s="159">
        <v>1500</v>
      </c>
      <c r="Z154" s="159">
        <v>4505</v>
      </c>
      <c r="AA154" s="159">
        <v>17869</v>
      </c>
      <c r="AB154" s="159">
        <v>5912</v>
      </c>
      <c r="AC154" s="159">
        <v>0</v>
      </c>
      <c r="AD154" s="207">
        <v>55534</v>
      </c>
      <c r="AE154" s="200">
        <v>43.220595537789798</v>
      </c>
      <c r="AF154" s="200">
        <v>29.7364174285843</v>
      </c>
      <c r="AG154" s="200">
        <v>22.726342186012996</v>
      </c>
      <c r="AH154" s="200">
        <v>0</v>
      </c>
      <c r="AI154" s="200">
        <v>0</v>
      </c>
      <c r="AJ154" s="200">
        <v>0</v>
      </c>
      <c r="AL154" s="197">
        <f t="shared" si="18"/>
        <v>63662.273706351771</v>
      </c>
      <c r="AM154" s="197" t="str">
        <f t="shared" si="19"/>
        <v>School Medium 3</v>
      </c>
      <c r="AN154" s="3">
        <f t="shared" si="20"/>
        <v>5.442199865935871</v>
      </c>
      <c r="AO154" s="3">
        <f t="shared" si="21"/>
        <v>2.1006578078398581</v>
      </c>
      <c r="AP154" s="3">
        <f t="shared" si="22"/>
        <v>0</v>
      </c>
      <c r="AQ154" s="3">
        <f t="shared" si="23"/>
        <v>0</v>
      </c>
      <c r="AR154" s="3">
        <f t="shared" si="24"/>
        <v>2.1006578078398581</v>
      </c>
      <c r="AS154" s="81">
        <f t="shared" si="25"/>
        <v>1</v>
      </c>
      <c r="AT154" s="81">
        <f t="shared" si="26"/>
        <v>0</v>
      </c>
    </row>
    <row r="155" spans="1:46" x14ac:dyDescent="0.25">
      <c r="A155" t="s">
        <v>828</v>
      </c>
      <c r="B155">
        <v>2025</v>
      </c>
      <c r="C155" t="s">
        <v>680</v>
      </c>
      <c r="D155" t="s">
        <v>809</v>
      </c>
      <c r="E155" t="s">
        <v>1028</v>
      </c>
      <c r="F155">
        <v>3</v>
      </c>
      <c r="G155" t="s">
        <v>1890</v>
      </c>
      <c r="H155" s="460">
        <v>2854.0299582397383</v>
      </c>
      <c r="I155">
        <v>720</v>
      </c>
      <c r="J155">
        <v>150.00000001001371</v>
      </c>
      <c r="K155" s="67">
        <v>28.3005</v>
      </c>
      <c r="L155" s="159">
        <v>0</v>
      </c>
      <c r="M155" s="159">
        <v>0</v>
      </c>
      <c r="N155" s="159">
        <v>0</v>
      </c>
      <c r="O155" s="159">
        <v>0</v>
      </c>
      <c r="P155" s="159">
        <v>0</v>
      </c>
      <c r="Q155" s="159">
        <v>1500</v>
      </c>
      <c r="R155" s="159">
        <v>2000</v>
      </c>
      <c r="S155" s="159">
        <v>16103</v>
      </c>
      <c r="T155" s="159">
        <v>0</v>
      </c>
      <c r="U155" s="159">
        <v>7924</v>
      </c>
      <c r="V155" s="159">
        <v>4500</v>
      </c>
      <c r="W155" s="159">
        <v>186</v>
      </c>
      <c r="X155" s="159">
        <v>0</v>
      </c>
      <c r="Y155" s="159">
        <v>1500</v>
      </c>
      <c r="Z155" s="159">
        <v>5363</v>
      </c>
      <c r="AA155" s="159">
        <v>6349</v>
      </c>
      <c r="AB155" s="159">
        <v>4639</v>
      </c>
      <c r="AC155" s="159">
        <v>0</v>
      </c>
      <c r="AD155" s="207">
        <v>50064</v>
      </c>
      <c r="AE155" s="200">
        <v>43.331226170263577</v>
      </c>
      <c r="AF155" s="200">
        <v>26.532520542617103</v>
      </c>
      <c r="AG155" s="200">
        <v>22.616414085191991</v>
      </c>
      <c r="AH155" s="200">
        <v>0</v>
      </c>
      <c r="AI155" s="200">
        <v>0</v>
      </c>
      <c r="AJ155" s="200">
        <v>253.24792818406738</v>
      </c>
      <c r="AL155" s="197">
        <f t="shared" si="18"/>
        <v>57391.653236482067</v>
      </c>
      <c r="AM155" s="197" t="str">
        <f t="shared" si="19"/>
        <v>School Medium 3</v>
      </c>
      <c r="AN155" s="3">
        <f t="shared" si="20"/>
        <v>5.4283051745913093</v>
      </c>
      <c r="AO155" s="3">
        <f t="shared" si="21"/>
        <v>2.095294536997276</v>
      </c>
      <c r="AP155" s="3">
        <f t="shared" si="22"/>
        <v>0</v>
      </c>
      <c r="AQ155" s="3">
        <f t="shared" si="23"/>
        <v>0</v>
      </c>
      <c r="AR155" s="3">
        <f t="shared" si="24"/>
        <v>2.095294536997276</v>
      </c>
      <c r="AS155" s="81">
        <f t="shared" si="25"/>
        <v>1</v>
      </c>
      <c r="AT155" s="81">
        <f t="shared" si="26"/>
        <v>0</v>
      </c>
    </row>
    <row r="156" spans="1:46" x14ac:dyDescent="0.25">
      <c r="A156" t="s">
        <v>805</v>
      </c>
      <c r="B156">
        <v>2030</v>
      </c>
      <c r="C156" t="s">
        <v>680</v>
      </c>
      <c r="D156" t="s">
        <v>809</v>
      </c>
      <c r="E156" t="s">
        <v>1028</v>
      </c>
      <c r="F156">
        <v>3</v>
      </c>
      <c r="G156" t="s">
        <v>1891</v>
      </c>
      <c r="H156" s="460">
        <v>3006.2819042453684</v>
      </c>
      <c r="I156">
        <v>720</v>
      </c>
      <c r="J156">
        <v>0</v>
      </c>
      <c r="K156" s="67">
        <v>0</v>
      </c>
      <c r="L156" s="159">
        <v>150</v>
      </c>
      <c r="M156" s="159">
        <v>16528</v>
      </c>
      <c r="N156" s="159">
        <v>1920</v>
      </c>
      <c r="O156" s="159">
        <v>506</v>
      </c>
      <c r="P156" s="159">
        <v>4660</v>
      </c>
      <c r="Q156" s="159">
        <v>1500</v>
      </c>
      <c r="R156" s="159">
        <v>2000</v>
      </c>
      <c r="S156" s="159">
        <v>16219</v>
      </c>
      <c r="T156" s="159">
        <v>73</v>
      </c>
      <c r="U156" s="159">
        <v>120</v>
      </c>
      <c r="V156" s="159">
        <v>0</v>
      </c>
      <c r="W156" s="159">
        <v>186</v>
      </c>
      <c r="X156" s="159">
        <v>0</v>
      </c>
      <c r="Y156" s="159">
        <v>0</v>
      </c>
      <c r="Z156" s="159">
        <v>0</v>
      </c>
      <c r="AA156" s="159">
        <v>0</v>
      </c>
      <c r="AB156" s="159">
        <v>0</v>
      </c>
      <c r="AC156" s="159">
        <v>0</v>
      </c>
      <c r="AD156" s="207">
        <v>43862</v>
      </c>
      <c r="AE156" s="200">
        <v>15.164004472711859</v>
      </c>
      <c r="AF156" s="200">
        <v>21.666544384879199</v>
      </c>
      <c r="AG156" s="200">
        <v>19.309535413325492</v>
      </c>
      <c r="AH156" s="200">
        <v>0</v>
      </c>
      <c r="AI156" s="200">
        <v>0</v>
      </c>
      <c r="AJ156" s="200">
        <v>0</v>
      </c>
      <c r="AL156" s="197">
        <f t="shared" si="18"/>
        <v>50281.893062052106</v>
      </c>
      <c r="AM156" s="197" t="str">
        <f t="shared" si="19"/>
        <v>School Medium 3</v>
      </c>
      <c r="AN156" s="3">
        <f t="shared" si="20"/>
        <v>15.511411887585878</v>
      </c>
      <c r="AO156" s="3">
        <f t="shared" si="21"/>
        <v>5.9873156618576173</v>
      </c>
      <c r="AP156" s="3">
        <f t="shared" si="22"/>
        <v>0</v>
      </c>
      <c r="AQ156" s="3">
        <f t="shared" si="23"/>
        <v>0</v>
      </c>
      <c r="AR156" s="3">
        <f t="shared" si="24"/>
        <v>5.9873156618576173</v>
      </c>
      <c r="AS156" s="81">
        <f t="shared" si="25"/>
        <v>1</v>
      </c>
      <c r="AT156" s="81">
        <f t="shared" si="26"/>
        <v>0</v>
      </c>
    </row>
    <row r="157" spans="1:46" x14ac:dyDescent="0.25">
      <c r="A157" t="s">
        <v>805</v>
      </c>
      <c r="B157">
        <v>2030</v>
      </c>
      <c r="C157" t="s">
        <v>680</v>
      </c>
      <c r="D157" t="s">
        <v>809</v>
      </c>
      <c r="E157" t="s">
        <v>1028</v>
      </c>
      <c r="F157">
        <v>3</v>
      </c>
      <c r="G157" t="s">
        <v>1892</v>
      </c>
      <c r="H157" s="460">
        <v>2807.3495085935997</v>
      </c>
      <c r="I157">
        <v>720</v>
      </c>
      <c r="J157">
        <v>0</v>
      </c>
      <c r="K157" s="67">
        <v>0</v>
      </c>
      <c r="L157" s="159">
        <v>150</v>
      </c>
      <c r="M157" s="159">
        <v>21531</v>
      </c>
      <c r="N157" s="159">
        <v>1920</v>
      </c>
      <c r="O157" s="159">
        <v>506</v>
      </c>
      <c r="P157" s="159">
        <v>3331</v>
      </c>
      <c r="Q157" s="159">
        <v>1500</v>
      </c>
      <c r="R157" s="159">
        <v>2000</v>
      </c>
      <c r="S157" s="159">
        <v>16219</v>
      </c>
      <c r="T157" s="159">
        <v>73</v>
      </c>
      <c r="U157" s="159">
        <v>120</v>
      </c>
      <c r="V157" s="159">
        <v>0</v>
      </c>
      <c r="W157" s="159">
        <v>186</v>
      </c>
      <c r="X157" s="159">
        <v>0</v>
      </c>
      <c r="Y157" s="159">
        <v>0</v>
      </c>
      <c r="Z157" s="159">
        <v>0</v>
      </c>
      <c r="AA157" s="159">
        <v>0</v>
      </c>
      <c r="AB157" s="159">
        <v>0</v>
      </c>
      <c r="AC157" s="159">
        <v>0</v>
      </c>
      <c r="AD157" s="207">
        <v>47536</v>
      </c>
      <c r="AE157" s="200">
        <v>10.61750405179688</v>
      </c>
      <c r="AF157" s="200">
        <v>16.000614019146816</v>
      </c>
      <c r="AG157" s="200">
        <v>16.048815213053498</v>
      </c>
      <c r="AH157" s="200">
        <v>0</v>
      </c>
      <c r="AI157" s="200">
        <v>0</v>
      </c>
      <c r="AJ157" s="200">
        <v>0</v>
      </c>
      <c r="AL157" s="197">
        <f t="shared" si="18"/>
        <v>54493.640704885976</v>
      </c>
      <c r="AM157" s="197" t="str">
        <f t="shared" si="19"/>
        <v>School Medium 3</v>
      </c>
      <c r="AN157" s="3">
        <f t="shared" si="20"/>
        <v>22.153522908392102</v>
      </c>
      <c r="AO157" s="3">
        <f t="shared" si="21"/>
        <v>8.551132265457559</v>
      </c>
      <c r="AP157" s="3">
        <f t="shared" si="22"/>
        <v>0</v>
      </c>
      <c r="AQ157" s="3">
        <f t="shared" si="23"/>
        <v>0</v>
      </c>
      <c r="AR157" s="3">
        <f t="shared" si="24"/>
        <v>8.551132265457559</v>
      </c>
      <c r="AS157" s="81">
        <f t="shared" si="25"/>
        <v>1</v>
      </c>
      <c r="AT157" s="81">
        <f t="shared" si="26"/>
        <v>0</v>
      </c>
    </row>
    <row r="158" spans="1:46" x14ac:dyDescent="0.25">
      <c r="A158" t="s">
        <v>807</v>
      </c>
      <c r="B158">
        <v>2030</v>
      </c>
      <c r="C158" t="s">
        <v>680</v>
      </c>
      <c r="D158" t="s">
        <v>809</v>
      </c>
      <c r="E158" t="s">
        <v>1028</v>
      </c>
      <c r="F158">
        <v>3</v>
      </c>
      <c r="G158" t="s">
        <v>1893</v>
      </c>
      <c r="H158" s="460">
        <v>2917.2508338466037</v>
      </c>
      <c r="I158">
        <v>720</v>
      </c>
      <c r="J158">
        <v>0</v>
      </c>
      <c r="K158" s="67">
        <v>2.2968000000000002</v>
      </c>
      <c r="L158" s="159">
        <v>150</v>
      </c>
      <c r="M158" s="159">
        <v>12981</v>
      </c>
      <c r="N158" s="159">
        <v>220</v>
      </c>
      <c r="O158" s="159">
        <v>392</v>
      </c>
      <c r="P158" s="159">
        <v>3392</v>
      </c>
      <c r="Q158" s="159">
        <v>1500</v>
      </c>
      <c r="R158" s="159">
        <v>2000</v>
      </c>
      <c r="S158" s="159">
        <v>16219</v>
      </c>
      <c r="T158" s="159">
        <v>0</v>
      </c>
      <c r="U158" s="159">
        <v>825</v>
      </c>
      <c r="V158" s="159">
        <v>4500</v>
      </c>
      <c r="W158" s="159">
        <v>186</v>
      </c>
      <c r="X158" s="159">
        <v>120</v>
      </c>
      <c r="Y158" s="159">
        <v>1500</v>
      </c>
      <c r="Z158" s="159">
        <v>1582</v>
      </c>
      <c r="AA158" s="159">
        <v>0</v>
      </c>
      <c r="AB158" s="159">
        <v>0</v>
      </c>
      <c r="AC158" s="159">
        <v>0</v>
      </c>
      <c r="AD158" s="207">
        <v>45567</v>
      </c>
      <c r="AE158" s="200">
        <v>25.901424552041398</v>
      </c>
      <c r="AF158" s="200">
        <v>24.329256394538874</v>
      </c>
      <c r="AG158" s="200">
        <v>20.47347964941439</v>
      </c>
      <c r="AH158" s="200">
        <v>0</v>
      </c>
      <c r="AI158" s="200">
        <v>0</v>
      </c>
      <c r="AJ158" s="200">
        <v>0</v>
      </c>
      <c r="AL158" s="197">
        <f t="shared" si="18"/>
        <v>52236.446608876206</v>
      </c>
      <c r="AM158" s="197" t="str">
        <f t="shared" si="19"/>
        <v>School Medium 3</v>
      </c>
      <c r="AN158" s="3">
        <f t="shared" si="20"/>
        <v>9.0811653532349776</v>
      </c>
      <c r="AO158" s="3">
        <f t="shared" si="21"/>
        <v>3.5052775299492551</v>
      </c>
      <c r="AP158" s="3">
        <f t="shared" si="22"/>
        <v>0</v>
      </c>
      <c r="AQ158" s="3">
        <f t="shared" si="23"/>
        <v>0</v>
      </c>
      <c r="AR158" s="3">
        <f t="shared" si="24"/>
        <v>3.5052775299492551</v>
      </c>
      <c r="AS158" s="81">
        <f t="shared" si="25"/>
        <v>1</v>
      </c>
      <c r="AT158" s="81">
        <f t="shared" si="26"/>
        <v>0</v>
      </c>
    </row>
    <row r="159" spans="1:46" x14ac:dyDescent="0.25">
      <c r="A159" t="s">
        <v>807</v>
      </c>
      <c r="B159">
        <v>2030</v>
      </c>
      <c r="C159" t="s">
        <v>680</v>
      </c>
      <c r="D159" t="s">
        <v>809</v>
      </c>
      <c r="E159" t="s">
        <v>1028</v>
      </c>
      <c r="F159">
        <v>3</v>
      </c>
      <c r="G159" t="s">
        <v>1894</v>
      </c>
      <c r="H159" s="460">
        <v>2781.7442084472145</v>
      </c>
      <c r="I159">
        <v>720</v>
      </c>
      <c r="J159">
        <v>0</v>
      </c>
      <c r="K159" s="67">
        <v>2.9462400000000004</v>
      </c>
      <c r="L159" s="159">
        <v>150</v>
      </c>
      <c r="M159" s="159">
        <v>10662</v>
      </c>
      <c r="N159" s="159">
        <v>220</v>
      </c>
      <c r="O159" s="159">
        <v>392</v>
      </c>
      <c r="P159" s="159">
        <v>2241</v>
      </c>
      <c r="Q159" s="159">
        <v>1500</v>
      </c>
      <c r="R159" s="159">
        <v>2000</v>
      </c>
      <c r="S159" s="159">
        <v>16219</v>
      </c>
      <c r="T159" s="159">
        <v>0</v>
      </c>
      <c r="U159" s="159">
        <v>1058</v>
      </c>
      <c r="V159" s="159">
        <v>4500</v>
      </c>
      <c r="W159" s="159">
        <v>186</v>
      </c>
      <c r="X159" s="159">
        <v>120</v>
      </c>
      <c r="Y159" s="159">
        <v>1500</v>
      </c>
      <c r="Z159" s="159">
        <v>1674</v>
      </c>
      <c r="AA159" s="159">
        <v>0</v>
      </c>
      <c r="AB159" s="159">
        <v>0</v>
      </c>
      <c r="AC159" s="159">
        <v>0</v>
      </c>
      <c r="AD159" s="207">
        <v>42422</v>
      </c>
      <c r="AE159" s="200">
        <v>12.839195108033902</v>
      </c>
      <c r="AF159" s="200">
        <v>20.121720368152126</v>
      </c>
      <c r="AG159" s="200">
        <v>17.451064927876413</v>
      </c>
      <c r="AH159" s="200">
        <v>0</v>
      </c>
      <c r="AI159" s="200">
        <v>0</v>
      </c>
      <c r="AJ159" s="200">
        <v>0</v>
      </c>
      <c r="AL159" s="197">
        <f t="shared" si="18"/>
        <v>48631.12643013028</v>
      </c>
      <c r="AM159" s="197" t="str">
        <f t="shared" si="19"/>
        <v>School Medium 3</v>
      </c>
      <c r="AN159" s="3">
        <f t="shared" si="20"/>
        <v>18.320082938395913</v>
      </c>
      <c r="AO159" s="3">
        <f t="shared" si="21"/>
        <v>7.0714465129621216</v>
      </c>
      <c r="AP159" s="3">
        <f t="shared" si="22"/>
        <v>0</v>
      </c>
      <c r="AQ159" s="3">
        <f t="shared" si="23"/>
        <v>0</v>
      </c>
      <c r="AR159" s="3">
        <f t="shared" si="24"/>
        <v>7.0714465129621216</v>
      </c>
      <c r="AS159" s="81">
        <f t="shared" si="25"/>
        <v>1</v>
      </c>
      <c r="AT159" s="81">
        <f t="shared" si="26"/>
        <v>0</v>
      </c>
    </row>
    <row r="160" spans="1:46" x14ac:dyDescent="0.25">
      <c r="A160" t="s">
        <v>808</v>
      </c>
      <c r="B160">
        <v>2030</v>
      </c>
      <c r="C160" t="s">
        <v>680</v>
      </c>
      <c r="D160" t="s">
        <v>809</v>
      </c>
      <c r="E160" t="s">
        <v>1028</v>
      </c>
      <c r="F160">
        <v>3</v>
      </c>
      <c r="G160" t="s">
        <v>1895</v>
      </c>
      <c r="H160" s="460">
        <v>3385.5126761346946</v>
      </c>
      <c r="I160">
        <v>720</v>
      </c>
      <c r="J160">
        <v>119.99999997072871</v>
      </c>
      <c r="K160" s="67">
        <v>101.16187500000001</v>
      </c>
      <c r="L160" s="159">
        <v>0</v>
      </c>
      <c r="M160" s="159">
        <v>9674</v>
      </c>
      <c r="N160" s="159">
        <v>220</v>
      </c>
      <c r="O160" s="159">
        <v>0</v>
      </c>
      <c r="P160" s="159">
        <v>0</v>
      </c>
      <c r="Q160" s="159">
        <v>1500</v>
      </c>
      <c r="R160" s="159">
        <v>2000</v>
      </c>
      <c r="S160" s="159">
        <v>16219</v>
      </c>
      <c r="T160" s="159">
        <v>1545</v>
      </c>
      <c r="U160" s="159">
        <v>20232</v>
      </c>
      <c r="V160" s="159">
        <v>4500</v>
      </c>
      <c r="W160" s="159">
        <v>186</v>
      </c>
      <c r="X160" s="159">
        <v>0</v>
      </c>
      <c r="Y160" s="159">
        <v>1500</v>
      </c>
      <c r="Z160" s="159">
        <v>3804</v>
      </c>
      <c r="AA160" s="159">
        <v>0</v>
      </c>
      <c r="AB160" s="159">
        <v>0</v>
      </c>
      <c r="AC160" s="159">
        <v>0</v>
      </c>
      <c r="AD160" s="207">
        <v>61380</v>
      </c>
      <c r="AE160" s="200">
        <v>70.110888247827475</v>
      </c>
      <c r="AF160" s="200">
        <v>39.020935573445698</v>
      </c>
      <c r="AG160" s="200">
        <v>26.932597204479961</v>
      </c>
      <c r="AH160" s="200">
        <v>489</v>
      </c>
      <c r="AI160" s="200">
        <v>736</v>
      </c>
      <c r="AJ160" s="200">
        <v>934</v>
      </c>
      <c r="AL160" s="197">
        <f t="shared" si="18"/>
        <v>70363.927685667732</v>
      </c>
      <c r="AM160" s="197" t="str">
        <f t="shared" si="19"/>
        <v>School Medium 3</v>
      </c>
      <c r="AN160" s="3">
        <f t="shared" si="20"/>
        <v>1.6774507150015801</v>
      </c>
      <c r="AO160" s="3">
        <f t="shared" si="21"/>
        <v>0.6474863159272557</v>
      </c>
      <c r="AP160" s="3">
        <f t="shared" si="22"/>
        <v>15.192563411087775</v>
      </c>
      <c r="AQ160" s="3">
        <f t="shared" si="23"/>
        <v>0.54693228279915995</v>
      </c>
      <c r="AR160" s="3">
        <f t="shared" si="24"/>
        <v>1.1944185987264158</v>
      </c>
      <c r="AS160" s="81">
        <f t="shared" si="25"/>
        <v>0.54209329678695328</v>
      </c>
      <c r="AT160" s="81">
        <f t="shared" si="26"/>
        <v>0.45790670321304666</v>
      </c>
    </row>
    <row r="161" spans="1:46" x14ac:dyDescent="0.25">
      <c r="A161" t="s">
        <v>808</v>
      </c>
      <c r="B161">
        <v>2030</v>
      </c>
      <c r="C161" t="s">
        <v>680</v>
      </c>
      <c r="D161" t="s">
        <v>809</v>
      </c>
      <c r="E161" t="s">
        <v>1028</v>
      </c>
      <c r="F161">
        <v>3</v>
      </c>
      <c r="G161" t="s">
        <v>1896</v>
      </c>
      <c r="H161" s="460">
        <v>3281.7762582234791</v>
      </c>
      <c r="I161">
        <v>720</v>
      </c>
      <c r="J161">
        <v>119.99999997072871</v>
      </c>
      <c r="K161" s="67">
        <v>92.845500000000001</v>
      </c>
      <c r="L161" s="159">
        <v>0</v>
      </c>
      <c r="M161" s="159">
        <v>6429</v>
      </c>
      <c r="N161" s="159">
        <v>220</v>
      </c>
      <c r="O161" s="159">
        <v>0</v>
      </c>
      <c r="P161" s="159">
        <v>2555</v>
      </c>
      <c r="Q161" s="159">
        <v>1500</v>
      </c>
      <c r="R161" s="159">
        <v>2000</v>
      </c>
      <c r="S161" s="159">
        <v>16219</v>
      </c>
      <c r="T161" s="159">
        <v>1142</v>
      </c>
      <c r="U161" s="159">
        <v>18569</v>
      </c>
      <c r="V161" s="159">
        <v>4500</v>
      </c>
      <c r="W161" s="159">
        <v>186</v>
      </c>
      <c r="X161" s="159">
        <v>0</v>
      </c>
      <c r="Y161" s="159">
        <v>1500</v>
      </c>
      <c r="Z161" s="159">
        <v>2973</v>
      </c>
      <c r="AA161" s="159">
        <v>0</v>
      </c>
      <c r="AB161" s="159">
        <v>0</v>
      </c>
      <c r="AC161" s="159">
        <v>0</v>
      </c>
      <c r="AD161" s="207">
        <v>57793</v>
      </c>
      <c r="AE161" s="200">
        <v>22.718743405794932</v>
      </c>
      <c r="AF161" s="200">
        <v>17.54583561035739</v>
      </c>
      <c r="AG161" s="200">
        <v>17.281991611168756</v>
      </c>
      <c r="AH161" s="200">
        <v>499</v>
      </c>
      <c r="AI161" s="200">
        <v>642</v>
      </c>
      <c r="AJ161" s="200">
        <v>827</v>
      </c>
      <c r="AL161" s="197">
        <f t="shared" si="18"/>
        <v>66251.913860179135</v>
      </c>
      <c r="AM161" s="197" t="str">
        <f t="shared" si="19"/>
        <v>School Medium 3</v>
      </c>
      <c r="AN161" s="3">
        <f t="shared" si="20"/>
        <v>5.1766753785649779</v>
      </c>
      <c r="AO161" s="3">
        <f t="shared" si="21"/>
        <v>1.9981668848108076</v>
      </c>
      <c r="AP161" s="3">
        <f t="shared" si="22"/>
        <v>15.503249779412679</v>
      </c>
      <c r="AQ161" s="3">
        <f t="shared" si="23"/>
        <v>0.55811699205885645</v>
      </c>
      <c r="AR161" s="3">
        <f t="shared" si="24"/>
        <v>2.5562838768696641</v>
      </c>
      <c r="AS161" s="81">
        <f t="shared" si="25"/>
        <v>0.78166861782881991</v>
      </c>
      <c r="AT161" s="81">
        <f t="shared" si="26"/>
        <v>0.21833138217118006</v>
      </c>
    </row>
    <row r="162" spans="1:46" x14ac:dyDescent="0.25">
      <c r="A162" t="s">
        <v>230</v>
      </c>
      <c r="B162">
        <v>2030</v>
      </c>
      <c r="C162" t="s">
        <v>680</v>
      </c>
      <c r="D162" t="s">
        <v>809</v>
      </c>
      <c r="E162" t="s">
        <v>1028</v>
      </c>
      <c r="F162">
        <v>3</v>
      </c>
      <c r="G162" t="s">
        <v>1897</v>
      </c>
      <c r="H162" s="460">
        <v>3147.0797624636566</v>
      </c>
      <c r="I162">
        <v>720</v>
      </c>
      <c r="J162">
        <v>150.00000001001371</v>
      </c>
      <c r="K162" s="67">
        <v>130.33125000000001</v>
      </c>
      <c r="L162" s="159">
        <v>0</v>
      </c>
      <c r="M162" s="159">
        <v>0</v>
      </c>
      <c r="N162" s="159">
        <v>0</v>
      </c>
      <c r="O162" s="159">
        <v>0</v>
      </c>
      <c r="P162" s="159">
        <v>0</v>
      </c>
      <c r="Q162" s="159">
        <v>1500</v>
      </c>
      <c r="R162" s="159">
        <v>2000</v>
      </c>
      <c r="S162" s="159">
        <v>16219</v>
      </c>
      <c r="T162" s="159">
        <v>0</v>
      </c>
      <c r="U162" s="159">
        <v>26066</v>
      </c>
      <c r="V162" s="159">
        <v>4500</v>
      </c>
      <c r="W162" s="159">
        <v>186</v>
      </c>
      <c r="X162" s="159">
        <v>0</v>
      </c>
      <c r="Y162" s="159">
        <v>1500</v>
      </c>
      <c r="Z162" s="159">
        <v>3621</v>
      </c>
      <c r="AA162" s="159">
        <v>0</v>
      </c>
      <c r="AB162" s="159">
        <v>0</v>
      </c>
      <c r="AC162" s="159">
        <v>0</v>
      </c>
      <c r="AD162" s="207">
        <v>55592</v>
      </c>
      <c r="AE162" s="200">
        <v>0</v>
      </c>
      <c r="AF162" s="200">
        <v>0</v>
      </c>
      <c r="AG162" s="200">
        <v>0</v>
      </c>
      <c r="AH162" s="200">
        <v>473</v>
      </c>
      <c r="AI162" s="200">
        <v>712</v>
      </c>
      <c r="AJ162" s="200">
        <v>901</v>
      </c>
      <c r="AL162" s="197">
        <f t="shared" si="18"/>
        <v>63728.762917915294</v>
      </c>
      <c r="AM162" s="197" t="str">
        <f t="shared" si="19"/>
        <v>School Medium 3</v>
      </c>
      <c r="AN162" s="3">
        <f t="shared" si="20"/>
        <v>0</v>
      </c>
      <c r="AO162" s="3">
        <f t="shared" si="21"/>
        <v>0</v>
      </c>
      <c r="AP162" s="3">
        <f t="shared" si="22"/>
        <v>29.390930443535858</v>
      </c>
      <c r="AQ162" s="3">
        <f t="shared" si="23"/>
        <v>1.0580734959672911</v>
      </c>
      <c r="AR162" s="3">
        <f t="shared" si="24"/>
        <v>1.0580734959672911</v>
      </c>
      <c r="AS162" s="81">
        <f t="shared" si="25"/>
        <v>0</v>
      </c>
      <c r="AT162" s="81">
        <f t="shared" si="26"/>
        <v>1</v>
      </c>
    </row>
    <row r="163" spans="1:46" x14ac:dyDescent="0.25">
      <c r="A163" t="s">
        <v>496</v>
      </c>
      <c r="B163">
        <v>2030</v>
      </c>
      <c r="C163" t="s">
        <v>680</v>
      </c>
      <c r="D163" t="s">
        <v>809</v>
      </c>
      <c r="E163" t="s">
        <v>1028</v>
      </c>
      <c r="F163">
        <v>3</v>
      </c>
      <c r="G163" t="s">
        <v>1898</v>
      </c>
      <c r="H163" s="460">
        <v>2710.9409669874508</v>
      </c>
      <c r="I163">
        <v>720</v>
      </c>
      <c r="J163">
        <v>150.00000001001371</v>
      </c>
      <c r="K163" s="67">
        <v>3.1046400000000003</v>
      </c>
      <c r="L163" s="159">
        <v>0</v>
      </c>
      <c r="M163" s="159">
        <v>0</v>
      </c>
      <c r="N163" s="159">
        <v>0</v>
      </c>
      <c r="O163" s="159">
        <v>0</v>
      </c>
      <c r="P163" s="159">
        <v>0</v>
      </c>
      <c r="Q163" s="159">
        <v>1500</v>
      </c>
      <c r="R163" s="159">
        <v>2000</v>
      </c>
      <c r="S163" s="159">
        <v>16219</v>
      </c>
      <c r="T163" s="159">
        <v>0</v>
      </c>
      <c r="U163" s="159">
        <v>1115</v>
      </c>
      <c r="V163" s="159">
        <v>4500</v>
      </c>
      <c r="W163" s="159">
        <v>186</v>
      </c>
      <c r="X163" s="159">
        <v>0</v>
      </c>
      <c r="Y163" s="159">
        <v>1500</v>
      </c>
      <c r="Z163" s="159">
        <v>3530</v>
      </c>
      <c r="AA163" s="159">
        <v>15352</v>
      </c>
      <c r="AB163" s="159">
        <v>4759</v>
      </c>
      <c r="AC163" s="159">
        <v>0</v>
      </c>
      <c r="AD163" s="207">
        <v>50661</v>
      </c>
      <c r="AE163" s="200">
        <v>46.609567822118962</v>
      </c>
      <c r="AF163" s="200">
        <v>32.706083376147653</v>
      </c>
      <c r="AG163" s="200">
        <v>25.066092293798413</v>
      </c>
      <c r="AH163" s="200">
        <v>0</v>
      </c>
      <c r="AI163" s="200">
        <v>0</v>
      </c>
      <c r="AJ163" s="200">
        <v>0</v>
      </c>
      <c r="AL163" s="197">
        <f t="shared" si="18"/>
        <v>58076.03356929966</v>
      </c>
      <c r="AM163" s="197" t="str">
        <f t="shared" si="19"/>
        <v>School Medium 3</v>
      </c>
      <c r="AN163" s="3">
        <f t="shared" si="20"/>
        <v>5.0464986103090368</v>
      </c>
      <c r="AO163" s="3">
        <f t="shared" si="21"/>
        <v>1.9479194019228969</v>
      </c>
      <c r="AP163" s="3">
        <f t="shared" si="22"/>
        <v>0</v>
      </c>
      <c r="AQ163" s="3">
        <f t="shared" si="23"/>
        <v>0</v>
      </c>
      <c r="AR163" s="3">
        <f t="shared" si="24"/>
        <v>1.9479194019228969</v>
      </c>
      <c r="AS163" s="81">
        <f t="shared" si="25"/>
        <v>1</v>
      </c>
      <c r="AT163" s="81">
        <f t="shared" si="26"/>
        <v>0</v>
      </c>
    </row>
    <row r="164" spans="1:46" x14ac:dyDescent="0.25">
      <c r="A164" t="s">
        <v>828</v>
      </c>
      <c r="B164">
        <v>2030</v>
      </c>
      <c r="C164" t="s">
        <v>680</v>
      </c>
      <c r="D164" t="s">
        <v>809</v>
      </c>
      <c r="E164" t="s">
        <v>1028</v>
      </c>
      <c r="F164">
        <v>3</v>
      </c>
      <c r="G164" t="s">
        <v>1899</v>
      </c>
      <c r="H164" s="460">
        <v>2708.9345488464319</v>
      </c>
      <c r="I164">
        <v>720</v>
      </c>
      <c r="J164">
        <v>150.00000001001371</v>
      </c>
      <c r="K164" s="67">
        <v>27.55575</v>
      </c>
      <c r="L164" s="159">
        <v>0</v>
      </c>
      <c r="M164" s="159">
        <v>0</v>
      </c>
      <c r="N164" s="159">
        <v>0</v>
      </c>
      <c r="O164" s="159">
        <v>0</v>
      </c>
      <c r="P164" s="159">
        <v>0</v>
      </c>
      <c r="Q164" s="159">
        <v>1500</v>
      </c>
      <c r="R164" s="159">
        <v>2000</v>
      </c>
      <c r="S164" s="159">
        <v>16219</v>
      </c>
      <c r="T164" s="159">
        <v>0</v>
      </c>
      <c r="U164" s="159">
        <v>5511</v>
      </c>
      <c r="V164" s="159">
        <v>4500</v>
      </c>
      <c r="W164" s="159">
        <v>186</v>
      </c>
      <c r="X164" s="159">
        <v>0</v>
      </c>
      <c r="Y164" s="159">
        <v>1500</v>
      </c>
      <c r="Z164" s="159">
        <v>4118</v>
      </c>
      <c r="AA164" s="159">
        <v>5184</v>
      </c>
      <c r="AB164" s="159">
        <v>3699</v>
      </c>
      <c r="AC164" s="159">
        <v>0</v>
      </c>
      <c r="AD164" s="207">
        <v>44417</v>
      </c>
      <c r="AE164" s="200">
        <v>47.090524791360686</v>
      </c>
      <c r="AF164" s="200">
        <v>29.198076693854595</v>
      </c>
      <c r="AG164" s="200">
        <v>24.676762599108741</v>
      </c>
      <c r="AH164" s="200">
        <v>0</v>
      </c>
      <c r="AI164" s="200">
        <v>0</v>
      </c>
      <c r="AJ164" s="200">
        <v>222.49920104631911</v>
      </c>
      <c r="AL164" s="197">
        <f t="shared" si="18"/>
        <v>50918.126034771973</v>
      </c>
      <c r="AM164" s="197" t="str">
        <f t="shared" si="19"/>
        <v>School Medium 3</v>
      </c>
      <c r="AN164" s="3">
        <f t="shared" si="20"/>
        <v>4.9949564224134777</v>
      </c>
      <c r="AO164" s="3">
        <f t="shared" si="21"/>
        <v>1.928024414215139</v>
      </c>
      <c r="AP164" s="3">
        <f t="shared" si="22"/>
        <v>0</v>
      </c>
      <c r="AQ164" s="3">
        <f t="shared" si="23"/>
        <v>0</v>
      </c>
      <c r="AR164" s="3">
        <f t="shared" si="24"/>
        <v>1.928024414215139</v>
      </c>
      <c r="AS164" s="81">
        <f t="shared" si="25"/>
        <v>1</v>
      </c>
      <c r="AT164" s="81">
        <f t="shared" si="26"/>
        <v>0</v>
      </c>
    </row>
    <row r="165" spans="1:46" x14ac:dyDescent="0.25">
      <c r="A165" t="s">
        <v>805</v>
      </c>
      <c r="B165">
        <v>2035</v>
      </c>
      <c r="C165" t="s">
        <v>680</v>
      </c>
      <c r="D165" t="s">
        <v>809</v>
      </c>
      <c r="E165" t="s">
        <v>1028</v>
      </c>
      <c r="F165">
        <v>3</v>
      </c>
      <c r="G165" t="s">
        <v>1900</v>
      </c>
      <c r="H165" s="460">
        <v>2999.4930442928562</v>
      </c>
      <c r="I165">
        <v>720</v>
      </c>
      <c r="J165">
        <v>0</v>
      </c>
      <c r="K165" s="67">
        <v>0</v>
      </c>
      <c r="L165" s="159">
        <v>150</v>
      </c>
      <c r="M165" s="159">
        <v>16257</v>
      </c>
      <c r="N165" s="159">
        <v>1920</v>
      </c>
      <c r="O165" s="159">
        <v>506</v>
      </c>
      <c r="P165" s="159">
        <v>4597</v>
      </c>
      <c r="Q165" s="159">
        <v>1500</v>
      </c>
      <c r="R165" s="159">
        <v>2000</v>
      </c>
      <c r="S165" s="159">
        <v>16219</v>
      </c>
      <c r="T165" s="159">
        <v>63</v>
      </c>
      <c r="U165" s="159">
        <v>120</v>
      </c>
      <c r="V165" s="159">
        <v>0</v>
      </c>
      <c r="W165" s="159">
        <v>186</v>
      </c>
      <c r="X165" s="159">
        <v>0</v>
      </c>
      <c r="Y165" s="159">
        <v>0</v>
      </c>
      <c r="Z165" s="159">
        <v>0</v>
      </c>
      <c r="AA165" s="159">
        <v>0</v>
      </c>
      <c r="AB165" s="159">
        <v>0</v>
      </c>
      <c r="AC165" s="159">
        <v>0</v>
      </c>
      <c r="AD165" s="207">
        <v>43518</v>
      </c>
      <c r="AE165" s="200">
        <v>15.866004950990034</v>
      </c>
      <c r="AF165" s="200">
        <v>23.541156765413245</v>
      </c>
      <c r="AG165" s="200">
        <v>21.190295951824062</v>
      </c>
      <c r="AH165" s="200">
        <v>0</v>
      </c>
      <c r="AI165" s="200">
        <v>0</v>
      </c>
      <c r="AJ165" s="200">
        <v>0</v>
      </c>
      <c r="AL165" s="197">
        <f t="shared" si="18"/>
        <v>49887.543255537443</v>
      </c>
      <c r="AM165" s="197" t="str">
        <f t="shared" si="19"/>
        <v>School Medium 3</v>
      </c>
      <c r="AN165" s="3">
        <f t="shared" si="20"/>
        <v>14.825100582535164</v>
      </c>
      <c r="AO165" s="3">
        <f t="shared" si="21"/>
        <v>5.7224034504212913</v>
      </c>
      <c r="AP165" s="3">
        <f t="shared" si="22"/>
        <v>0</v>
      </c>
      <c r="AQ165" s="3">
        <f t="shared" si="23"/>
        <v>0</v>
      </c>
      <c r="AR165" s="3">
        <f t="shared" si="24"/>
        <v>5.7224034504212913</v>
      </c>
      <c r="AS165" s="81">
        <f t="shared" si="25"/>
        <v>1</v>
      </c>
      <c r="AT165" s="81">
        <f t="shared" si="26"/>
        <v>0</v>
      </c>
    </row>
    <row r="166" spans="1:46" x14ac:dyDescent="0.25">
      <c r="A166" t="s">
        <v>805</v>
      </c>
      <c r="B166">
        <v>2035</v>
      </c>
      <c r="C166" t="s">
        <v>680</v>
      </c>
      <c r="D166" t="s">
        <v>809</v>
      </c>
      <c r="E166" t="s">
        <v>1028</v>
      </c>
      <c r="F166">
        <v>3</v>
      </c>
      <c r="G166" t="s">
        <v>1901</v>
      </c>
      <c r="H166" s="460">
        <v>2807.2333562628273</v>
      </c>
      <c r="I166">
        <v>720</v>
      </c>
      <c r="J166">
        <v>0</v>
      </c>
      <c r="K166" s="67">
        <v>0</v>
      </c>
      <c r="L166" s="159">
        <v>150</v>
      </c>
      <c r="M166" s="159">
        <v>21885</v>
      </c>
      <c r="N166" s="159">
        <v>1920</v>
      </c>
      <c r="O166" s="159">
        <v>506</v>
      </c>
      <c r="P166" s="159">
        <v>3329</v>
      </c>
      <c r="Q166" s="159">
        <v>1500</v>
      </c>
      <c r="R166" s="159">
        <v>2000</v>
      </c>
      <c r="S166" s="159">
        <v>16219</v>
      </c>
      <c r="T166" s="159">
        <v>63</v>
      </c>
      <c r="U166" s="159">
        <v>120</v>
      </c>
      <c r="V166" s="159">
        <v>0</v>
      </c>
      <c r="W166" s="159">
        <v>186</v>
      </c>
      <c r="X166" s="159">
        <v>0</v>
      </c>
      <c r="Y166" s="159">
        <v>0</v>
      </c>
      <c r="Z166" s="159">
        <v>0</v>
      </c>
      <c r="AA166" s="159">
        <v>0</v>
      </c>
      <c r="AB166" s="159">
        <v>0</v>
      </c>
      <c r="AC166" s="159">
        <v>0</v>
      </c>
      <c r="AD166" s="207">
        <v>47878</v>
      </c>
      <c r="AE166" s="200">
        <v>11.250363544960063</v>
      </c>
      <c r="AF166" s="200">
        <v>17.48436407151555</v>
      </c>
      <c r="AG166" s="200">
        <v>17.884120429439061</v>
      </c>
      <c r="AH166" s="200">
        <v>0</v>
      </c>
      <c r="AI166" s="200">
        <v>0</v>
      </c>
      <c r="AJ166" s="200">
        <v>0</v>
      </c>
      <c r="AL166" s="197">
        <f t="shared" si="18"/>
        <v>54885.697779967413</v>
      </c>
      <c r="AM166" s="197" t="str">
        <f t="shared" si="19"/>
        <v>School Medium 3</v>
      </c>
      <c r="AN166" s="3">
        <f t="shared" si="20"/>
        <v>20.907334976459477</v>
      </c>
      <c r="AO166" s="3">
        <f t="shared" si="21"/>
        <v>8.070110900249043</v>
      </c>
      <c r="AP166" s="3">
        <f t="shared" si="22"/>
        <v>0</v>
      </c>
      <c r="AQ166" s="3">
        <f t="shared" si="23"/>
        <v>0</v>
      </c>
      <c r="AR166" s="3">
        <f t="shared" si="24"/>
        <v>8.070110900249043</v>
      </c>
      <c r="AS166" s="81">
        <f t="shared" si="25"/>
        <v>1</v>
      </c>
      <c r="AT166" s="81">
        <f t="shared" si="26"/>
        <v>0</v>
      </c>
    </row>
    <row r="167" spans="1:46" x14ac:dyDescent="0.25">
      <c r="A167" t="s">
        <v>807</v>
      </c>
      <c r="B167">
        <v>2035</v>
      </c>
      <c r="C167" t="s">
        <v>680</v>
      </c>
      <c r="D167" t="s">
        <v>809</v>
      </c>
      <c r="E167" t="s">
        <v>1028</v>
      </c>
      <c r="F167">
        <v>3</v>
      </c>
      <c r="G167" t="s">
        <v>1902</v>
      </c>
      <c r="H167" s="460">
        <v>2916.2965868589536</v>
      </c>
      <c r="I167">
        <v>720</v>
      </c>
      <c r="J167">
        <v>0</v>
      </c>
      <c r="K167" s="67">
        <v>2.2809599999999999</v>
      </c>
      <c r="L167" s="159">
        <v>150</v>
      </c>
      <c r="M167" s="159">
        <v>12924</v>
      </c>
      <c r="N167" s="159">
        <v>220</v>
      </c>
      <c r="O167" s="159">
        <v>392</v>
      </c>
      <c r="P167" s="159">
        <v>3392</v>
      </c>
      <c r="Q167" s="159">
        <v>1500</v>
      </c>
      <c r="R167" s="159">
        <v>2000</v>
      </c>
      <c r="S167" s="159">
        <v>16219</v>
      </c>
      <c r="T167" s="159">
        <v>0</v>
      </c>
      <c r="U167" s="159">
        <v>776</v>
      </c>
      <c r="V167" s="159">
        <v>4500</v>
      </c>
      <c r="W167" s="159">
        <v>186</v>
      </c>
      <c r="X167" s="159">
        <v>120</v>
      </c>
      <c r="Y167" s="159">
        <v>1500</v>
      </c>
      <c r="Z167" s="159">
        <v>1312</v>
      </c>
      <c r="AA167" s="159">
        <v>0</v>
      </c>
      <c r="AB167" s="159">
        <v>0</v>
      </c>
      <c r="AC167" s="159">
        <v>0</v>
      </c>
      <c r="AD167" s="207">
        <v>45191</v>
      </c>
      <c r="AE167" s="200">
        <v>28.228585540518669</v>
      </c>
      <c r="AF167" s="200">
        <v>26.690159599992185</v>
      </c>
      <c r="AG167" s="200">
        <v>22.655576483513009</v>
      </c>
      <c r="AH167" s="200">
        <v>0</v>
      </c>
      <c r="AI167" s="200">
        <v>0</v>
      </c>
      <c r="AJ167" s="200">
        <v>0</v>
      </c>
      <c r="AL167" s="197">
        <f t="shared" si="18"/>
        <v>51805.413099429956</v>
      </c>
      <c r="AM167" s="197" t="str">
        <f t="shared" si="19"/>
        <v>School Medium 3</v>
      </c>
      <c r="AN167" s="3">
        <f t="shared" si="20"/>
        <v>8.3325152407585463</v>
      </c>
      <c r="AO167" s="3">
        <f t="shared" si="21"/>
        <v>3.2163028978418473</v>
      </c>
      <c r="AP167" s="3">
        <f t="shared" si="22"/>
        <v>0</v>
      </c>
      <c r="AQ167" s="3">
        <f t="shared" si="23"/>
        <v>0</v>
      </c>
      <c r="AR167" s="3">
        <f t="shared" si="24"/>
        <v>3.2163028978418473</v>
      </c>
      <c r="AS167" s="81">
        <f t="shared" si="25"/>
        <v>1</v>
      </c>
      <c r="AT167" s="81">
        <f t="shared" si="26"/>
        <v>0</v>
      </c>
    </row>
    <row r="168" spans="1:46" x14ac:dyDescent="0.25">
      <c r="A168" t="s">
        <v>807</v>
      </c>
      <c r="B168">
        <v>2035</v>
      </c>
      <c r="C168" t="s">
        <v>680</v>
      </c>
      <c r="D168" t="s">
        <v>809</v>
      </c>
      <c r="E168" t="s">
        <v>1028</v>
      </c>
      <c r="F168">
        <v>3</v>
      </c>
      <c r="G168" t="s">
        <v>1903</v>
      </c>
      <c r="H168" s="460">
        <v>2774.3023327034689</v>
      </c>
      <c r="I168">
        <v>720</v>
      </c>
      <c r="J168">
        <v>0</v>
      </c>
      <c r="K168" s="67">
        <v>2.2809599999999999</v>
      </c>
      <c r="L168" s="159">
        <v>150</v>
      </c>
      <c r="M168" s="159">
        <v>10869</v>
      </c>
      <c r="N168" s="159">
        <v>220</v>
      </c>
      <c r="O168" s="159">
        <v>392</v>
      </c>
      <c r="P168" s="159">
        <v>2197</v>
      </c>
      <c r="Q168" s="159">
        <v>1500</v>
      </c>
      <c r="R168" s="159">
        <v>2000</v>
      </c>
      <c r="S168" s="159">
        <v>16219</v>
      </c>
      <c r="T168" s="159">
        <v>0</v>
      </c>
      <c r="U168" s="159">
        <v>776</v>
      </c>
      <c r="V168" s="159">
        <v>4500</v>
      </c>
      <c r="W168" s="159">
        <v>186</v>
      </c>
      <c r="X168" s="159">
        <v>120</v>
      </c>
      <c r="Y168" s="159">
        <v>1500</v>
      </c>
      <c r="Z168" s="159">
        <v>1377</v>
      </c>
      <c r="AA168" s="159">
        <v>0</v>
      </c>
      <c r="AB168" s="159">
        <v>0</v>
      </c>
      <c r="AC168" s="159">
        <v>0</v>
      </c>
      <c r="AD168" s="207">
        <v>42006</v>
      </c>
      <c r="AE168" s="200">
        <v>19.174116970608964</v>
      </c>
      <c r="AF168" s="200">
        <v>22.643240285394413</v>
      </c>
      <c r="AG168" s="200">
        <v>19.916809036536538</v>
      </c>
      <c r="AH168" s="200">
        <v>0</v>
      </c>
      <c r="AI168" s="200">
        <v>0</v>
      </c>
      <c r="AJ168" s="200">
        <v>0</v>
      </c>
      <c r="AL168" s="197">
        <f t="shared" si="18"/>
        <v>48154.23829201953</v>
      </c>
      <c r="AM168" s="197" t="str">
        <f t="shared" si="19"/>
        <v>School Medium 3</v>
      </c>
      <c r="AN168" s="3">
        <f t="shared" si="20"/>
        <v>12.267324727494755</v>
      </c>
      <c r="AO168" s="3">
        <f t="shared" si="21"/>
        <v>4.7351167000345651</v>
      </c>
      <c r="AP168" s="3">
        <f t="shared" si="22"/>
        <v>0</v>
      </c>
      <c r="AQ168" s="3">
        <f t="shared" si="23"/>
        <v>0</v>
      </c>
      <c r="AR168" s="3">
        <f t="shared" si="24"/>
        <v>4.7351167000345651</v>
      </c>
      <c r="AS168" s="81">
        <f t="shared" si="25"/>
        <v>1</v>
      </c>
      <c r="AT168" s="81">
        <f t="shared" si="26"/>
        <v>0</v>
      </c>
    </row>
    <row r="169" spans="1:46" x14ac:dyDescent="0.25">
      <c r="A169" t="s">
        <v>808</v>
      </c>
      <c r="B169">
        <v>2035</v>
      </c>
      <c r="C169" t="s">
        <v>680</v>
      </c>
      <c r="D169" t="s">
        <v>809</v>
      </c>
      <c r="E169" t="s">
        <v>1028</v>
      </c>
      <c r="F169">
        <v>3</v>
      </c>
      <c r="G169" t="s">
        <v>1904</v>
      </c>
      <c r="H169" s="460">
        <v>3229.2646340587949</v>
      </c>
      <c r="I169">
        <v>720</v>
      </c>
      <c r="J169">
        <v>119.99999997072871</v>
      </c>
      <c r="K169" s="67">
        <v>91.356000000000009</v>
      </c>
      <c r="L169" s="159">
        <v>0</v>
      </c>
      <c r="M169" s="159">
        <v>9443</v>
      </c>
      <c r="N169" s="159">
        <v>220</v>
      </c>
      <c r="O169" s="159">
        <v>0</v>
      </c>
      <c r="P169" s="159">
        <v>0</v>
      </c>
      <c r="Q169" s="159">
        <v>1500</v>
      </c>
      <c r="R169" s="159">
        <v>2000</v>
      </c>
      <c r="S169" s="159">
        <v>16219</v>
      </c>
      <c r="T169" s="159">
        <v>1231</v>
      </c>
      <c r="U169" s="159">
        <v>14617</v>
      </c>
      <c r="V169" s="159">
        <v>4500</v>
      </c>
      <c r="W169" s="159">
        <v>186</v>
      </c>
      <c r="X169" s="159">
        <v>0</v>
      </c>
      <c r="Y169" s="159">
        <v>1500</v>
      </c>
      <c r="Z169" s="159">
        <v>3082</v>
      </c>
      <c r="AA169" s="159">
        <v>0</v>
      </c>
      <c r="AB169" s="159">
        <v>0</v>
      </c>
      <c r="AC169" s="159">
        <v>0</v>
      </c>
      <c r="AD169" s="207">
        <v>54498</v>
      </c>
      <c r="AE169" s="200">
        <v>75.968744720204882</v>
      </c>
      <c r="AF169" s="200">
        <v>43.249771931987262</v>
      </c>
      <c r="AG169" s="200">
        <v>29.747703758346454</v>
      </c>
      <c r="AH169" s="200">
        <v>452</v>
      </c>
      <c r="AI169" s="200">
        <v>675</v>
      </c>
      <c r="AJ169" s="200">
        <v>857</v>
      </c>
      <c r="AL169" s="197">
        <f t="shared" si="18"/>
        <v>62474.63882394135</v>
      </c>
      <c r="AM169" s="197" t="str">
        <f t="shared" si="19"/>
        <v>School Medium 3</v>
      </c>
      <c r="AN169" s="3">
        <f t="shared" si="20"/>
        <v>1.548104553443211</v>
      </c>
      <c r="AO169" s="3">
        <f t="shared" si="21"/>
        <v>0.59755944244132964</v>
      </c>
      <c r="AP169" s="3">
        <f t="shared" si="22"/>
        <v>14.043023848285634</v>
      </c>
      <c r="AQ169" s="3">
        <f t="shared" si="23"/>
        <v>0.5055488585382828</v>
      </c>
      <c r="AR169" s="3">
        <f t="shared" si="24"/>
        <v>1.1031083009796125</v>
      </c>
      <c r="AS169" s="81">
        <f t="shared" si="25"/>
        <v>0.54170514527963254</v>
      </c>
      <c r="AT169" s="81">
        <f t="shared" si="26"/>
        <v>0.45829485472036735</v>
      </c>
    </row>
    <row r="170" spans="1:46" x14ac:dyDescent="0.25">
      <c r="A170" t="s">
        <v>808</v>
      </c>
      <c r="B170">
        <v>2035</v>
      </c>
      <c r="C170" t="s">
        <v>680</v>
      </c>
      <c r="D170" t="s">
        <v>809</v>
      </c>
      <c r="E170" t="s">
        <v>1028</v>
      </c>
      <c r="F170">
        <v>3</v>
      </c>
      <c r="G170" t="s">
        <v>1905</v>
      </c>
      <c r="H170" s="460">
        <v>3143.8527176929356</v>
      </c>
      <c r="I170">
        <v>720</v>
      </c>
      <c r="J170">
        <v>119.99999997072871</v>
      </c>
      <c r="K170" s="67">
        <v>83.908500000000004</v>
      </c>
      <c r="L170" s="159">
        <v>0</v>
      </c>
      <c r="M170" s="159">
        <v>6672</v>
      </c>
      <c r="N170" s="159">
        <v>220</v>
      </c>
      <c r="O170" s="159">
        <v>0</v>
      </c>
      <c r="P170" s="159">
        <v>2535</v>
      </c>
      <c r="Q170" s="159">
        <v>1500</v>
      </c>
      <c r="R170" s="159">
        <v>2000</v>
      </c>
      <c r="S170" s="159">
        <v>16219</v>
      </c>
      <c r="T170" s="159">
        <v>894</v>
      </c>
      <c r="U170" s="159">
        <v>13425</v>
      </c>
      <c r="V170" s="159">
        <v>4500</v>
      </c>
      <c r="W170" s="159">
        <v>186</v>
      </c>
      <c r="X170" s="159">
        <v>0</v>
      </c>
      <c r="Y170" s="159">
        <v>1500</v>
      </c>
      <c r="Z170" s="159">
        <v>2416</v>
      </c>
      <c r="AA170" s="159">
        <v>0</v>
      </c>
      <c r="AB170" s="159">
        <v>0</v>
      </c>
      <c r="AC170" s="159">
        <v>0</v>
      </c>
      <c r="AD170" s="207">
        <v>52067</v>
      </c>
      <c r="AE170" s="200">
        <v>25.848283073665165</v>
      </c>
      <c r="AF170" s="200">
        <v>20.205512336698163</v>
      </c>
      <c r="AG170" s="200">
        <v>19.729423269138291</v>
      </c>
      <c r="AH170" s="200">
        <v>462</v>
      </c>
      <c r="AI170" s="200">
        <v>586</v>
      </c>
      <c r="AJ170" s="200">
        <v>753</v>
      </c>
      <c r="AL170" s="197">
        <f t="shared" si="18"/>
        <v>59687.823766856658</v>
      </c>
      <c r="AM170" s="197" t="str">
        <f t="shared" si="19"/>
        <v>School Medium 3</v>
      </c>
      <c r="AN170" s="3">
        <f t="shared" si="20"/>
        <v>4.5499176593487327</v>
      </c>
      <c r="AO170" s="3">
        <f t="shared" si="21"/>
        <v>1.7562420145508109</v>
      </c>
      <c r="AP170" s="3">
        <f t="shared" si="22"/>
        <v>14.353710216610537</v>
      </c>
      <c r="AQ170" s="3">
        <f t="shared" si="23"/>
        <v>0.5167335677979793</v>
      </c>
      <c r="AR170" s="3">
        <f t="shared" si="24"/>
        <v>2.2729755823487903</v>
      </c>
      <c r="AS170" s="81">
        <f t="shared" si="25"/>
        <v>0.77266206825503581</v>
      </c>
      <c r="AT170" s="81">
        <f t="shared" si="26"/>
        <v>0.22733793174496408</v>
      </c>
    </row>
    <row r="171" spans="1:46" x14ac:dyDescent="0.25">
      <c r="A171" t="s">
        <v>230</v>
      </c>
      <c r="B171">
        <v>2035</v>
      </c>
      <c r="C171" t="s">
        <v>680</v>
      </c>
      <c r="D171" t="s">
        <v>809</v>
      </c>
      <c r="E171" t="s">
        <v>1028</v>
      </c>
      <c r="F171">
        <v>3</v>
      </c>
      <c r="G171" t="s">
        <v>1906</v>
      </c>
      <c r="H171" s="460">
        <v>2970.2734365849328</v>
      </c>
      <c r="I171">
        <v>720</v>
      </c>
      <c r="J171">
        <v>150.00000001001371</v>
      </c>
      <c r="K171" s="67">
        <v>119.16</v>
      </c>
      <c r="L171" s="159">
        <v>0</v>
      </c>
      <c r="M171" s="159">
        <v>0</v>
      </c>
      <c r="N171" s="159">
        <v>0</v>
      </c>
      <c r="O171" s="159">
        <v>0</v>
      </c>
      <c r="P171" s="159">
        <v>0</v>
      </c>
      <c r="Q171" s="159">
        <v>1500</v>
      </c>
      <c r="R171" s="159">
        <v>2000</v>
      </c>
      <c r="S171" s="159">
        <v>16219</v>
      </c>
      <c r="T171" s="159">
        <v>0</v>
      </c>
      <c r="U171" s="159">
        <v>19066</v>
      </c>
      <c r="V171" s="159">
        <v>4500</v>
      </c>
      <c r="W171" s="159">
        <v>186</v>
      </c>
      <c r="X171" s="159">
        <v>0</v>
      </c>
      <c r="Y171" s="159">
        <v>1500</v>
      </c>
      <c r="Z171" s="159">
        <v>2940</v>
      </c>
      <c r="AA171" s="159">
        <v>0</v>
      </c>
      <c r="AB171" s="159">
        <v>0</v>
      </c>
      <c r="AC171" s="159">
        <v>0</v>
      </c>
      <c r="AD171" s="207">
        <v>47911</v>
      </c>
      <c r="AE171" s="200">
        <v>0</v>
      </c>
      <c r="AF171" s="200">
        <v>0</v>
      </c>
      <c r="AG171" s="200">
        <v>0</v>
      </c>
      <c r="AH171" s="200">
        <v>435</v>
      </c>
      <c r="AI171" s="200">
        <v>651</v>
      </c>
      <c r="AJ171" s="200">
        <v>825</v>
      </c>
      <c r="AL171" s="197">
        <f t="shared" si="18"/>
        <v>54923.527848615617</v>
      </c>
      <c r="AM171" s="197" t="str">
        <f t="shared" si="19"/>
        <v>School Medium 3</v>
      </c>
      <c r="AN171" s="3">
        <f t="shared" si="20"/>
        <v>0</v>
      </c>
      <c r="AO171" s="3">
        <f t="shared" si="21"/>
        <v>0</v>
      </c>
      <c r="AP171" s="3">
        <f t="shared" si="22"/>
        <v>27.029714044266591</v>
      </c>
      <c r="AQ171" s="3">
        <f t="shared" si="23"/>
        <v>0.97306970559359729</v>
      </c>
      <c r="AR171" s="3">
        <f t="shared" si="24"/>
        <v>0.97306970559359729</v>
      </c>
      <c r="AS171" s="81">
        <f t="shared" si="25"/>
        <v>0</v>
      </c>
      <c r="AT171" s="81">
        <f t="shared" si="26"/>
        <v>1</v>
      </c>
    </row>
    <row r="172" spans="1:46" x14ac:dyDescent="0.25">
      <c r="A172" t="s">
        <v>496</v>
      </c>
      <c r="B172">
        <v>2035</v>
      </c>
      <c r="C172" t="s">
        <v>680</v>
      </c>
      <c r="D172" t="s">
        <v>809</v>
      </c>
      <c r="E172" t="s">
        <v>1028</v>
      </c>
      <c r="F172">
        <v>3</v>
      </c>
      <c r="G172" t="s">
        <v>1907</v>
      </c>
      <c r="H172" s="460">
        <v>2669.278391009409</v>
      </c>
      <c r="I172">
        <v>720</v>
      </c>
      <c r="J172">
        <v>150.00000001001371</v>
      </c>
      <c r="K172" s="67">
        <v>3.1680000000000006</v>
      </c>
      <c r="L172" s="159">
        <v>0</v>
      </c>
      <c r="M172" s="159">
        <v>0</v>
      </c>
      <c r="N172" s="159">
        <v>0</v>
      </c>
      <c r="O172" s="159">
        <v>0</v>
      </c>
      <c r="P172" s="159">
        <v>0</v>
      </c>
      <c r="Q172" s="159">
        <v>1500</v>
      </c>
      <c r="R172" s="159">
        <v>2000</v>
      </c>
      <c r="S172" s="159">
        <v>16219</v>
      </c>
      <c r="T172" s="159">
        <v>0</v>
      </c>
      <c r="U172" s="159">
        <v>1078</v>
      </c>
      <c r="V172" s="159">
        <v>4500</v>
      </c>
      <c r="W172" s="159">
        <v>186</v>
      </c>
      <c r="X172" s="159">
        <v>0</v>
      </c>
      <c r="Y172" s="159">
        <v>1500</v>
      </c>
      <c r="Z172" s="159">
        <v>2907</v>
      </c>
      <c r="AA172" s="159">
        <v>13289</v>
      </c>
      <c r="AB172" s="159">
        <v>3808</v>
      </c>
      <c r="AC172" s="159">
        <v>0</v>
      </c>
      <c r="AD172" s="207">
        <v>46987</v>
      </c>
      <c r="AE172" s="200">
        <v>49.343009533823206</v>
      </c>
      <c r="AF172" s="200">
        <v>35.612025295052057</v>
      </c>
      <c r="AG172" s="200">
        <v>27.392086643906524</v>
      </c>
      <c r="AH172" s="200">
        <v>0</v>
      </c>
      <c r="AI172" s="200">
        <v>0</v>
      </c>
      <c r="AJ172" s="200">
        <v>0</v>
      </c>
      <c r="AL172" s="197">
        <f t="shared" si="18"/>
        <v>53864.285926465782</v>
      </c>
      <c r="AM172" s="197" t="str">
        <f t="shared" si="19"/>
        <v>School Medium 3</v>
      </c>
      <c r="AN172" s="3">
        <f t="shared" si="20"/>
        <v>4.7669390550690869</v>
      </c>
      <c r="AO172" s="3">
        <f t="shared" si="21"/>
        <v>1.8400110235212062</v>
      </c>
      <c r="AP172" s="3">
        <f t="shared" si="22"/>
        <v>0</v>
      </c>
      <c r="AQ172" s="3">
        <f t="shared" si="23"/>
        <v>0</v>
      </c>
      <c r="AR172" s="3">
        <f t="shared" si="24"/>
        <v>1.8400110235212062</v>
      </c>
      <c r="AS172" s="81">
        <f t="shared" si="25"/>
        <v>1</v>
      </c>
      <c r="AT172" s="81">
        <f t="shared" si="26"/>
        <v>0</v>
      </c>
    </row>
    <row r="173" spans="1:46" x14ac:dyDescent="0.25">
      <c r="A173" t="s">
        <v>828</v>
      </c>
      <c r="B173">
        <v>2035</v>
      </c>
      <c r="C173" t="s">
        <v>680</v>
      </c>
      <c r="D173" t="s">
        <v>809</v>
      </c>
      <c r="E173" t="s">
        <v>1028</v>
      </c>
      <c r="F173">
        <v>3</v>
      </c>
      <c r="G173" t="s">
        <v>1908</v>
      </c>
      <c r="H173" s="460">
        <v>2643.0340923810095</v>
      </c>
      <c r="I173">
        <v>720</v>
      </c>
      <c r="J173">
        <v>150.00000001001371</v>
      </c>
      <c r="K173" s="67">
        <v>27.307500000000001</v>
      </c>
      <c r="L173" s="159">
        <v>0</v>
      </c>
      <c r="M173" s="159">
        <v>0</v>
      </c>
      <c r="N173" s="159">
        <v>0</v>
      </c>
      <c r="O173" s="159">
        <v>0</v>
      </c>
      <c r="P173" s="159">
        <v>0</v>
      </c>
      <c r="Q173" s="159">
        <v>1500</v>
      </c>
      <c r="R173" s="159">
        <v>2000</v>
      </c>
      <c r="S173" s="159">
        <v>16219</v>
      </c>
      <c r="T173" s="159">
        <v>0</v>
      </c>
      <c r="U173" s="159">
        <v>4369</v>
      </c>
      <c r="V173" s="159">
        <v>4500</v>
      </c>
      <c r="W173" s="159">
        <v>186</v>
      </c>
      <c r="X173" s="159">
        <v>0</v>
      </c>
      <c r="Y173" s="159">
        <v>1500</v>
      </c>
      <c r="Z173" s="159">
        <v>3342</v>
      </c>
      <c r="AA173" s="159">
        <v>4123</v>
      </c>
      <c r="AB173" s="159">
        <v>2852</v>
      </c>
      <c r="AC173" s="159">
        <v>0</v>
      </c>
      <c r="AD173" s="207">
        <v>40591</v>
      </c>
      <c r="AE173" s="200">
        <v>50.3696148614371</v>
      </c>
      <c r="AF173" s="200">
        <v>31.78999729979606</v>
      </c>
      <c r="AG173" s="200">
        <v>26.817537772212503</v>
      </c>
      <c r="AH173" s="200">
        <v>0</v>
      </c>
      <c r="AI173" s="200">
        <v>0</v>
      </c>
      <c r="AJ173" s="200">
        <v>204.53932675282542</v>
      </c>
      <c r="AL173" s="197">
        <f t="shared" si="18"/>
        <v>46532.130803013017</v>
      </c>
      <c r="AM173" s="197" t="str">
        <f t="shared" si="19"/>
        <v>School Medium 3</v>
      </c>
      <c r="AN173" s="3">
        <f t="shared" si="20"/>
        <v>4.6697819685238144</v>
      </c>
      <c r="AO173" s="3">
        <f t="shared" si="21"/>
        <v>1.8025089476206544</v>
      </c>
      <c r="AP173" s="3">
        <f t="shared" si="22"/>
        <v>0</v>
      </c>
      <c r="AQ173" s="3">
        <f t="shared" si="23"/>
        <v>0</v>
      </c>
      <c r="AR173" s="3">
        <f t="shared" si="24"/>
        <v>1.8025089476206544</v>
      </c>
      <c r="AS173" s="81">
        <f t="shared" si="25"/>
        <v>1</v>
      </c>
      <c r="AT173" s="81">
        <f t="shared" si="26"/>
        <v>0</v>
      </c>
    </row>
    <row r="174" spans="1:46" x14ac:dyDescent="0.25">
      <c r="A174" t="s">
        <v>805</v>
      </c>
      <c r="B174">
        <v>2050</v>
      </c>
      <c r="C174" t="s">
        <v>680</v>
      </c>
      <c r="D174" t="s">
        <v>809</v>
      </c>
      <c r="E174" t="s">
        <v>1028</v>
      </c>
      <c r="F174">
        <v>3</v>
      </c>
      <c r="G174" t="s">
        <v>1909</v>
      </c>
      <c r="H174" s="460">
        <v>2983.9580905872326</v>
      </c>
      <c r="I174">
        <v>720</v>
      </c>
      <c r="J174">
        <v>0</v>
      </c>
      <c r="K174" s="67">
        <v>0</v>
      </c>
      <c r="L174" s="159">
        <v>150</v>
      </c>
      <c r="M174" s="159">
        <v>16345</v>
      </c>
      <c r="N174" s="159">
        <v>1920</v>
      </c>
      <c r="O174" s="159">
        <v>506</v>
      </c>
      <c r="P174" s="159">
        <v>4575</v>
      </c>
      <c r="Q174" s="159">
        <v>1500</v>
      </c>
      <c r="R174" s="159">
        <v>2000</v>
      </c>
      <c r="S174" s="159">
        <v>16284</v>
      </c>
      <c r="T174" s="159">
        <v>44</v>
      </c>
      <c r="U174" s="159">
        <v>120</v>
      </c>
      <c r="V174" s="159">
        <v>0</v>
      </c>
      <c r="W174" s="159">
        <v>186</v>
      </c>
      <c r="X174" s="159">
        <v>0</v>
      </c>
      <c r="Y174" s="159">
        <v>0</v>
      </c>
      <c r="Z174" s="159">
        <v>0</v>
      </c>
      <c r="AA174" s="159">
        <v>0</v>
      </c>
      <c r="AB174" s="159">
        <v>0</v>
      </c>
      <c r="AC174" s="159">
        <v>0</v>
      </c>
      <c r="AD174" s="207">
        <v>43630</v>
      </c>
      <c r="AE174" s="200">
        <v>17.150567133617415</v>
      </c>
      <c r="AF174" s="200">
        <v>25.833310072840032</v>
      </c>
      <c r="AG174" s="200">
        <v>23.448374001920364</v>
      </c>
      <c r="AH174" s="200">
        <v>0</v>
      </c>
      <c r="AI174" s="200">
        <v>0</v>
      </c>
      <c r="AJ174" s="200">
        <v>0</v>
      </c>
      <c r="AL174" s="197">
        <f t="shared" si="18"/>
        <v>50015.936215798029</v>
      </c>
      <c r="AM174" s="197" t="str">
        <f t="shared" si="19"/>
        <v>School Medium 3</v>
      </c>
      <c r="AN174" s="3">
        <f t="shared" si="20"/>
        <v>13.71471377062365</v>
      </c>
      <c r="AO174" s="3">
        <f t="shared" si="21"/>
        <v>5.2938005354926592</v>
      </c>
      <c r="AP174" s="3">
        <f t="shared" si="22"/>
        <v>0</v>
      </c>
      <c r="AQ174" s="3">
        <f t="shared" si="23"/>
        <v>0</v>
      </c>
      <c r="AR174" s="3">
        <f t="shared" si="24"/>
        <v>5.2938005354926592</v>
      </c>
      <c r="AS174" s="81">
        <f t="shared" si="25"/>
        <v>1</v>
      </c>
      <c r="AT174" s="81">
        <f t="shared" si="26"/>
        <v>0</v>
      </c>
    </row>
    <row r="175" spans="1:46" x14ac:dyDescent="0.25">
      <c r="A175" t="s">
        <v>805</v>
      </c>
      <c r="B175">
        <v>2050</v>
      </c>
      <c r="C175" t="s">
        <v>680</v>
      </c>
      <c r="D175" t="s">
        <v>809</v>
      </c>
      <c r="E175" t="s">
        <v>1028</v>
      </c>
      <c r="F175">
        <v>3</v>
      </c>
      <c r="G175" t="s">
        <v>1910</v>
      </c>
      <c r="H175" s="460">
        <v>2793.6579681814969</v>
      </c>
      <c r="I175">
        <v>720</v>
      </c>
      <c r="J175">
        <v>0</v>
      </c>
      <c r="K175" s="67">
        <v>0</v>
      </c>
      <c r="L175" s="159">
        <v>150</v>
      </c>
      <c r="M175" s="159">
        <v>22101</v>
      </c>
      <c r="N175" s="159">
        <v>1920</v>
      </c>
      <c r="O175" s="159">
        <v>506</v>
      </c>
      <c r="P175" s="159">
        <v>3320</v>
      </c>
      <c r="Q175" s="159">
        <v>1500</v>
      </c>
      <c r="R175" s="159">
        <v>2000</v>
      </c>
      <c r="S175" s="159">
        <v>16284</v>
      </c>
      <c r="T175" s="159">
        <v>44</v>
      </c>
      <c r="U175" s="159">
        <v>120</v>
      </c>
      <c r="V175" s="159">
        <v>0</v>
      </c>
      <c r="W175" s="159">
        <v>186</v>
      </c>
      <c r="X175" s="159">
        <v>0</v>
      </c>
      <c r="Y175" s="159">
        <v>0</v>
      </c>
      <c r="Z175" s="159">
        <v>0</v>
      </c>
      <c r="AA175" s="159">
        <v>0</v>
      </c>
      <c r="AB175" s="159">
        <v>0</v>
      </c>
      <c r="AC175" s="159">
        <v>0</v>
      </c>
      <c r="AD175" s="207">
        <v>48131</v>
      </c>
      <c r="AE175" s="200">
        <v>11.944125841256184</v>
      </c>
      <c r="AF175" s="200">
        <v>19.03112562028489</v>
      </c>
      <c r="AG175" s="200">
        <v>19.780792267244685</v>
      </c>
      <c r="AH175" s="200">
        <v>0</v>
      </c>
      <c r="AI175" s="200">
        <v>0</v>
      </c>
      <c r="AJ175" s="200">
        <v>0</v>
      </c>
      <c r="AL175" s="197">
        <f t="shared" si="18"/>
        <v>55175.728306270343</v>
      </c>
      <c r="AM175" s="197" t="str">
        <f t="shared" si="19"/>
        <v>School Medium 3</v>
      </c>
      <c r="AN175" s="3">
        <f t="shared" si="20"/>
        <v>19.692953872687109</v>
      </c>
      <c r="AO175" s="3">
        <f t="shared" si="21"/>
        <v>7.6013667875419797</v>
      </c>
      <c r="AP175" s="3">
        <f t="shared" si="22"/>
        <v>0</v>
      </c>
      <c r="AQ175" s="3">
        <f t="shared" si="23"/>
        <v>0</v>
      </c>
      <c r="AR175" s="3">
        <f t="shared" si="24"/>
        <v>7.6013667875419797</v>
      </c>
      <c r="AS175" s="81">
        <f t="shared" si="25"/>
        <v>1</v>
      </c>
      <c r="AT175" s="81">
        <f t="shared" si="26"/>
        <v>0</v>
      </c>
    </row>
    <row r="176" spans="1:46" x14ac:dyDescent="0.25">
      <c r="A176" t="s">
        <v>807</v>
      </c>
      <c r="B176">
        <v>2050</v>
      </c>
      <c r="C176" t="s">
        <v>680</v>
      </c>
      <c r="D176" t="s">
        <v>809</v>
      </c>
      <c r="E176" t="s">
        <v>1028</v>
      </c>
      <c r="F176">
        <v>3</v>
      </c>
      <c r="G176" t="s">
        <v>1911</v>
      </c>
      <c r="H176" s="460">
        <v>2904.9664597822384</v>
      </c>
      <c r="I176">
        <v>720</v>
      </c>
      <c r="J176">
        <v>0</v>
      </c>
      <c r="K176" s="67">
        <v>2.7086400000000004</v>
      </c>
      <c r="L176" s="159">
        <v>150</v>
      </c>
      <c r="M176" s="159">
        <v>13087</v>
      </c>
      <c r="N176" s="159">
        <v>220</v>
      </c>
      <c r="O176" s="159">
        <v>392</v>
      </c>
      <c r="P176" s="159">
        <v>3392</v>
      </c>
      <c r="Q176" s="159">
        <v>1500</v>
      </c>
      <c r="R176" s="159">
        <v>2000</v>
      </c>
      <c r="S176" s="159">
        <v>16284</v>
      </c>
      <c r="T176" s="159">
        <v>0</v>
      </c>
      <c r="U176" s="159">
        <v>870</v>
      </c>
      <c r="V176" s="159">
        <v>4500</v>
      </c>
      <c r="W176" s="159">
        <v>186</v>
      </c>
      <c r="X176" s="159">
        <v>120</v>
      </c>
      <c r="Y176" s="159">
        <v>1500</v>
      </c>
      <c r="Z176" s="159">
        <v>977</v>
      </c>
      <c r="AA176" s="159">
        <v>0</v>
      </c>
      <c r="AB176" s="159">
        <v>0</v>
      </c>
      <c r="AC176" s="159">
        <v>0</v>
      </c>
      <c r="AD176" s="207">
        <v>45178</v>
      </c>
      <c r="AE176" s="200">
        <v>31.925374712699213</v>
      </c>
      <c r="AF176" s="200">
        <v>29.965851874885921</v>
      </c>
      <c r="AG176" s="200">
        <v>25.428919048422387</v>
      </c>
      <c r="AH176" s="200">
        <v>0</v>
      </c>
      <c r="AI176" s="200">
        <v>0</v>
      </c>
      <c r="AJ176" s="200">
        <v>0</v>
      </c>
      <c r="AL176" s="197">
        <f t="shared" si="18"/>
        <v>51790.510345113995</v>
      </c>
      <c r="AM176" s="197" t="str">
        <f t="shared" si="19"/>
        <v>School Medium 3</v>
      </c>
      <c r="AN176" s="3">
        <f t="shared" si="20"/>
        <v>7.3676541421411956</v>
      </c>
      <c r="AO176" s="3">
        <f t="shared" si="21"/>
        <v>2.8438720701947382</v>
      </c>
      <c r="AP176" s="3">
        <f t="shared" si="22"/>
        <v>0</v>
      </c>
      <c r="AQ176" s="3">
        <f t="shared" si="23"/>
        <v>0</v>
      </c>
      <c r="AR176" s="3">
        <f t="shared" si="24"/>
        <v>2.8438720701947382</v>
      </c>
      <c r="AS176" s="81">
        <f t="shared" si="25"/>
        <v>1</v>
      </c>
      <c r="AT176" s="81">
        <f t="shared" si="26"/>
        <v>0</v>
      </c>
    </row>
    <row r="177" spans="1:46" x14ac:dyDescent="0.25">
      <c r="A177" t="s">
        <v>807</v>
      </c>
      <c r="B177">
        <v>2050</v>
      </c>
      <c r="C177" t="s">
        <v>680</v>
      </c>
      <c r="D177" t="s">
        <v>809</v>
      </c>
      <c r="E177" t="s">
        <v>1028</v>
      </c>
      <c r="F177">
        <v>3</v>
      </c>
      <c r="G177" t="s">
        <v>1912</v>
      </c>
      <c r="H177" s="460">
        <v>2760.2370525101978</v>
      </c>
      <c r="I177">
        <v>720</v>
      </c>
      <c r="J177">
        <v>0</v>
      </c>
      <c r="K177" s="67">
        <v>3.0096000000000003</v>
      </c>
      <c r="L177" s="159">
        <v>150</v>
      </c>
      <c r="M177" s="159">
        <v>11056</v>
      </c>
      <c r="N177" s="159">
        <v>220</v>
      </c>
      <c r="O177" s="159">
        <v>392</v>
      </c>
      <c r="P177" s="159">
        <v>2147</v>
      </c>
      <c r="Q177" s="159">
        <v>1500</v>
      </c>
      <c r="R177" s="159">
        <v>2000</v>
      </c>
      <c r="S177" s="159">
        <v>16284</v>
      </c>
      <c r="T177" s="159">
        <v>0</v>
      </c>
      <c r="U177" s="159">
        <v>967</v>
      </c>
      <c r="V177" s="159">
        <v>4500</v>
      </c>
      <c r="W177" s="159">
        <v>186</v>
      </c>
      <c r="X177" s="159">
        <v>120</v>
      </c>
      <c r="Y177" s="159">
        <v>1500</v>
      </c>
      <c r="Z177" s="159">
        <v>1015</v>
      </c>
      <c r="AA177" s="159">
        <v>0</v>
      </c>
      <c r="AB177" s="159">
        <v>0</v>
      </c>
      <c r="AC177" s="159">
        <v>0</v>
      </c>
      <c r="AD177" s="207">
        <v>42037</v>
      </c>
      <c r="AE177" s="200">
        <v>28.437375596586545</v>
      </c>
      <c r="AF177" s="200">
        <v>25.635995202756646</v>
      </c>
      <c r="AG177" s="200">
        <v>22.551455030024091</v>
      </c>
      <c r="AH177" s="200">
        <v>0</v>
      </c>
      <c r="AI177" s="200">
        <v>0</v>
      </c>
      <c r="AJ177" s="200">
        <v>0</v>
      </c>
      <c r="AL177" s="197">
        <f t="shared" si="18"/>
        <v>48189.775629234515</v>
      </c>
      <c r="AM177" s="197" t="str">
        <f t="shared" si="19"/>
        <v>School Medium 3</v>
      </c>
      <c r="AN177" s="3">
        <f t="shared" si="20"/>
        <v>8.2713370804042121</v>
      </c>
      <c r="AO177" s="3">
        <f t="shared" si="21"/>
        <v>3.1926884802564115</v>
      </c>
      <c r="AP177" s="3">
        <f t="shared" si="22"/>
        <v>0</v>
      </c>
      <c r="AQ177" s="3">
        <f t="shared" si="23"/>
        <v>0</v>
      </c>
      <c r="AR177" s="3">
        <f t="shared" si="24"/>
        <v>3.1926884802564115</v>
      </c>
      <c r="AS177" s="81">
        <f t="shared" si="25"/>
        <v>1</v>
      </c>
      <c r="AT177" s="81">
        <f t="shared" si="26"/>
        <v>0</v>
      </c>
    </row>
    <row r="178" spans="1:46" x14ac:dyDescent="0.25">
      <c r="A178" t="s">
        <v>808</v>
      </c>
      <c r="B178">
        <v>2050</v>
      </c>
      <c r="C178" t="s">
        <v>680</v>
      </c>
      <c r="D178" t="s">
        <v>809</v>
      </c>
      <c r="E178" t="s">
        <v>1028</v>
      </c>
      <c r="F178">
        <v>3</v>
      </c>
      <c r="G178" t="s">
        <v>1913</v>
      </c>
      <c r="H178" s="460">
        <v>3002.8877074306879</v>
      </c>
      <c r="I178">
        <v>720</v>
      </c>
      <c r="J178">
        <v>119.99999997072871</v>
      </c>
      <c r="K178" s="67">
        <v>81.426000000000002</v>
      </c>
      <c r="L178" s="159">
        <v>0</v>
      </c>
      <c r="M178" s="159">
        <v>9441</v>
      </c>
      <c r="N178" s="159">
        <v>220</v>
      </c>
      <c r="O178" s="159">
        <v>0</v>
      </c>
      <c r="P178" s="159">
        <v>0</v>
      </c>
      <c r="Q178" s="159">
        <v>1500</v>
      </c>
      <c r="R178" s="159">
        <v>2000</v>
      </c>
      <c r="S178" s="159">
        <v>16284</v>
      </c>
      <c r="T178" s="159">
        <v>805</v>
      </c>
      <c r="U178" s="159">
        <v>7328</v>
      </c>
      <c r="V178" s="159">
        <v>4500</v>
      </c>
      <c r="W178" s="159">
        <v>186</v>
      </c>
      <c r="X178" s="159">
        <v>0</v>
      </c>
      <c r="Y178" s="159">
        <v>1500</v>
      </c>
      <c r="Z178" s="159">
        <v>2224</v>
      </c>
      <c r="AA178" s="159">
        <v>0</v>
      </c>
      <c r="AB178" s="159">
        <v>0</v>
      </c>
      <c r="AC178" s="159">
        <v>0</v>
      </c>
      <c r="AD178" s="207">
        <v>45988</v>
      </c>
      <c r="AE178" s="200">
        <v>86.318932838556819</v>
      </c>
      <c r="AF178" s="200">
        <v>48.826301678064269</v>
      </c>
      <c r="AG178" s="200">
        <v>33.250133404859213</v>
      </c>
      <c r="AH178" s="200">
        <v>398</v>
      </c>
      <c r="AI178" s="200">
        <v>609</v>
      </c>
      <c r="AJ178" s="200">
        <v>779</v>
      </c>
      <c r="AL178" s="197">
        <f t="shared" si="18"/>
        <v>52719.066575570017</v>
      </c>
      <c r="AM178" s="197" t="str">
        <f t="shared" si="19"/>
        <v>School Medium 3</v>
      </c>
      <c r="AN178" s="3">
        <f t="shared" si="20"/>
        <v>1.3624769879937775</v>
      </c>
      <c r="AO178" s="3">
        <f t="shared" si="21"/>
        <v>0.52590827116546524</v>
      </c>
      <c r="AP178" s="3">
        <f t="shared" si="22"/>
        <v>12.365317459331155</v>
      </c>
      <c r="AQ178" s="3">
        <f t="shared" si="23"/>
        <v>0.4451514285359216</v>
      </c>
      <c r="AR178" s="3">
        <f t="shared" si="24"/>
        <v>0.97105969970138684</v>
      </c>
      <c r="AS178" s="81">
        <f t="shared" si="25"/>
        <v>0.54158181142435291</v>
      </c>
      <c r="AT178" s="81">
        <f t="shared" si="26"/>
        <v>0.45841818857564709</v>
      </c>
    </row>
    <row r="179" spans="1:46" x14ac:dyDescent="0.25">
      <c r="A179" t="s">
        <v>808</v>
      </c>
      <c r="B179">
        <v>2050</v>
      </c>
      <c r="C179" t="s">
        <v>680</v>
      </c>
      <c r="D179" t="s">
        <v>809</v>
      </c>
      <c r="E179" t="s">
        <v>1028</v>
      </c>
      <c r="F179">
        <v>3</v>
      </c>
      <c r="G179" t="s">
        <v>1914</v>
      </c>
      <c r="H179" s="460">
        <v>2942.827727819435</v>
      </c>
      <c r="I179">
        <v>720</v>
      </c>
      <c r="J179">
        <v>119.99999997072871</v>
      </c>
      <c r="K179" s="67">
        <v>74.102625000000003</v>
      </c>
      <c r="L179" s="159">
        <v>0</v>
      </c>
      <c r="M179" s="159">
        <v>6943</v>
      </c>
      <c r="N179" s="159">
        <v>220</v>
      </c>
      <c r="O179" s="159">
        <v>0</v>
      </c>
      <c r="P179" s="159">
        <v>2514</v>
      </c>
      <c r="Q179" s="159">
        <v>1500</v>
      </c>
      <c r="R179" s="159">
        <v>2000</v>
      </c>
      <c r="S179" s="159">
        <v>16284</v>
      </c>
      <c r="T179" s="159">
        <v>582</v>
      </c>
      <c r="U179" s="159">
        <v>6669</v>
      </c>
      <c r="V179" s="159">
        <v>4500</v>
      </c>
      <c r="W179" s="159">
        <v>186</v>
      </c>
      <c r="X179" s="159">
        <v>0</v>
      </c>
      <c r="Y179" s="159">
        <v>1500</v>
      </c>
      <c r="Z179" s="159">
        <v>1748</v>
      </c>
      <c r="AA179" s="159">
        <v>0</v>
      </c>
      <c r="AB179" s="159">
        <v>0</v>
      </c>
      <c r="AC179" s="159">
        <v>0</v>
      </c>
      <c r="AD179" s="207">
        <v>44646</v>
      </c>
      <c r="AE179" s="200">
        <v>30.675211585810388</v>
      </c>
      <c r="AF179" s="200">
        <v>23.4088699531689</v>
      </c>
      <c r="AG179" s="200">
        <v>22.474246748401942</v>
      </c>
      <c r="AH179" s="200">
        <v>409</v>
      </c>
      <c r="AI179" s="200">
        <v>526</v>
      </c>
      <c r="AJ179" s="200">
        <v>679</v>
      </c>
      <c r="AL179" s="197">
        <f t="shared" si="18"/>
        <v>51180.643783876207</v>
      </c>
      <c r="AM179" s="197" t="str">
        <f t="shared" si="19"/>
        <v>School Medium 3</v>
      </c>
      <c r="AN179" s="3">
        <f t="shared" si="20"/>
        <v>3.8339608283294284</v>
      </c>
      <c r="AO179" s="3">
        <f t="shared" si="21"/>
        <v>1.4798868008125607</v>
      </c>
      <c r="AP179" s="3">
        <f t="shared" si="22"/>
        <v>12.707072464488549</v>
      </c>
      <c r="AQ179" s="3">
        <f t="shared" si="23"/>
        <v>0.45745460872158783</v>
      </c>
      <c r="AR179" s="3">
        <f t="shared" si="24"/>
        <v>1.9373414095341486</v>
      </c>
      <c r="AS179" s="81">
        <f t="shared" si="25"/>
        <v>0.76387506793054771</v>
      </c>
      <c r="AT179" s="81">
        <f t="shared" si="26"/>
        <v>0.23612493206945231</v>
      </c>
    </row>
    <row r="180" spans="1:46" x14ac:dyDescent="0.25">
      <c r="A180" t="s">
        <v>230</v>
      </c>
      <c r="B180">
        <v>2050</v>
      </c>
      <c r="C180" t="s">
        <v>680</v>
      </c>
      <c r="D180" t="s">
        <v>809</v>
      </c>
      <c r="E180" t="s">
        <v>1028</v>
      </c>
      <c r="F180">
        <v>3</v>
      </c>
      <c r="G180" t="s">
        <v>1915</v>
      </c>
      <c r="H180" s="460">
        <v>2712.4421127303276</v>
      </c>
      <c r="I180">
        <v>720</v>
      </c>
      <c r="J180">
        <v>150.00000001001371</v>
      </c>
      <c r="K180" s="67">
        <v>107.98875</v>
      </c>
      <c r="L180" s="159">
        <v>0</v>
      </c>
      <c r="M180" s="159">
        <v>0</v>
      </c>
      <c r="N180" s="159">
        <v>0</v>
      </c>
      <c r="O180" s="159">
        <v>0</v>
      </c>
      <c r="P180" s="159">
        <v>0</v>
      </c>
      <c r="Q180" s="159">
        <v>1500</v>
      </c>
      <c r="R180" s="159">
        <v>2000</v>
      </c>
      <c r="S180" s="159">
        <v>16284</v>
      </c>
      <c r="T180" s="159">
        <v>0</v>
      </c>
      <c r="U180" s="159">
        <v>9719</v>
      </c>
      <c r="V180" s="159">
        <v>4500</v>
      </c>
      <c r="W180" s="159">
        <v>186</v>
      </c>
      <c r="X180" s="159">
        <v>0</v>
      </c>
      <c r="Y180" s="159">
        <v>1500</v>
      </c>
      <c r="Z180" s="159">
        <v>2125</v>
      </c>
      <c r="AA180" s="159">
        <v>0</v>
      </c>
      <c r="AB180" s="159">
        <v>0</v>
      </c>
      <c r="AC180" s="159">
        <v>0</v>
      </c>
      <c r="AD180" s="207">
        <v>37814</v>
      </c>
      <c r="AE180" s="200">
        <v>0</v>
      </c>
      <c r="AF180" s="200">
        <v>0</v>
      </c>
      <c r="AG180" s="200">
        <v>0</v>
      </c>
      <c r="AH180" s="200">
        <v>381</v>
      </c>
      <c r="AI180" s="200">
        <v>587</v>
      </c>
      <c r="AJ180" s="200">
        <v>747</v>
      </c>
      <c r="AL180" s="197">
        <f t="shared" si="18"/>
        <v>43348.673207980442</v>
      </c>
      <c r="AM180" s="197" t="str">
        <f t="shared" si="19"/>
        <v>School Medium 3</v>
      </c>
      <c r="AN180" s="3">
        <f t="shared" si="20"/>
        <v>0</v>
      </c>
      <c r="AO180" s="3">
        <f t="shared" si="21"/>
        <v>0</v>
      </c>
      <c r="AP180" s="3">
        <f t="shared" si="22"/>
        <v>23.674301266357638</v>
      </c>
      <c r="AQ180" s="3">
        <f t="shared" si="23"/>
        <v>0.85227484558887501</v>
      </c>
      <c r="AR180" s="3">
        <f t="shared" si="24"/>
        <v>0.85227484558887501</v>
      </c>
      <c r="AS180" s="81">
        <f t="shared" si="25"/>
        <v>0</v>
      </c>
      <c r="AT180" s="81">
        <f t="shared" si="26"/>
        <v>1</v>
      </c>
    </row>
    <row r="181" spans="1:46" x14ac:dyDescent="0.25">
      <c r="A181" t="s">
        <v>496</v>
      </c>
      <c r="B181">
        <v>2050</v>
      </c>
      <c r="C181" t="s">
        <v>680</v>
      </c>
      <c r="D181" t="s">
        <v>809</v>
      </c>
      <c r="E181" t="s">
        <v>1028</v>
      </c>
      <c r="F181">
        <v>3</v>
      </c>
      <c r="G181" t="s">
        <v>1916</v>
      </c>
      <c r="H181" s="460">
        <v>2567.1710451879571</v>
      </c>
      <c r="I181">
        <v>720</v>
      </c>
      <c r="J181">
        <v>150.00000001001371</v>
      </c>
      <c r="K181" s="67">
        <v>3.1363200000000004</v>
      </c>
      <c r="L181" s="159">
        <v>0</v>
      </c>
      <c r="M181" s="159">
        <v>0</v>
      </c>
      <c r="N181" s="159">
        <v>0</v>
      </c>
      <c r="O181" s="159">
        <v>0</v>
      </c>
      <c r="P181" s="159">
        <v>0</v>
      </c>
      <c r="Q181" s="159">
        <v>1500</v>
      </c>
      <c r="R181" s="159">
        <v>2000</v>
      </c>
      <c r="S181" s="159">
        <v>16284</v>
      </c>
      <c r="T181" s="159">
        <v>0</v>
      </c>
      <c r="U181" s="159">
        <v>1008</v>
      </c>
      <c r="V181" s="159">
        <v>4500</v>
      </c>
      <c r="W181" s="159">
        <v>186</v>
      </c>
      <c r="X181" s="159">
        <v>0</v>
      </c>
      <c r="Y181" s="159">
        <v>1500</v>
      </c>
      <c r="Z181" s="159">
        <v>2092</v>
      </c>
      <c r="AA181" s="159">
        <v>10989</v>
      </c>
      <c r="AB181" s="159">
        <v>2316</v>
      </c>
      <c r="AC181" s="159">
        <v>0</v>
      </c>
      <c r="AD181" s="207">
        <v>42375</v>
      </c>
      <c r="AE181" s="200">
        <v>55.028910311008048</v>
      </c>
      <c r="AF181" s="200">
        <v>39.97897977227813</v>
      </c>
      <c r="AG181" s="200">
        <v>30.699069248720367</v>
      </c>
      <c r="AH181" s="200">
        <v>0</v>
      </c>
      <c r="AI181" s="200">
        <v>0</v>
      </c>
      <c r="AJ181" s="200">
        <v>0</v>
      </c>
      <c r="AL181" s="197">
        <f t="shared" si="18"/>
        <v>48577.247241449499</v>
      </c>
      <c r="AM181" s="197" t="str">
        <f t="shared" si="19"/>
        <v>School Medium 3</v>
      </c>
      <c r="AN181" s="3">
        <f t="shared" si="20"/>
        <v>4.2743917317653199</v>
      </c>
      <c r="AO181" s="3">
        <f t="shared" si="21"/>
        <v>1.6498905931957841</v>
      </c>
      <c r="AP181" s="3">
        <f t="shared" si="22"/>
        <v>0</v>
      </c>
      <c r="AQ181" s="3">
        <f t="shared" si="23"/>
        <v>0</v>
      </c>
      <c r="AR181" s="3">
        <f t="shared" si="24"/>
        <v>1.6498905931957841</v>
      </c>
      <c r="AS181" s="81">
        <f t="shared" si="25"/>
        <v>1</v>
      </c>
      <c r="AT181" s="81">
        <f t="shared" si="26"/>
        <v>0</v>
      </c>
    </row>
    <row r="182" spans="1:46" x14ac:dyDescent="0.25">
      <c r="A182" t="s">
        <v>828</v>
      </c>
      <c r="B182">
        <v>2050</v>
      </c>
      <c r="C182" t="s">
        <v>680</v>
      </c>
      <c r="D182" t="s">
        <v>809</v>
      </c>
      <c r="E182" t="s">
        <v>1028</v>
      </c>
      <c r="F182">
        <v>3</v>
      </c>
      <c r="G182" t="s">
        <v>1917</v>
      </c>
      <c r="H182" s="460">
        <v>2515.4132476384079</v>
      </c>
      <c r="I182">
        <v>720</v>
      </c>
      <c r="J182">
        <v>150.00000001001371</v>
      </c>
      <c r="K182" s="67">
        <v>27.059250000000002</v>
      </c>
      <c r="L182" s="159">
        <v>0</v>
      </c>
      <c r="M182" s="159">
        <v>0</v>
      </c>
      <c r="N182" s="159">
        <v>0</v>
      </c>
      <c r="O182" s="159">
        <v>0</v>
      </c>
      <c r="P182" s="159">
        <v>0</v>
      </c>
      <c r="Q182" s="159">
        <v>1500</v>
      </c>
      <c r="R182" s="159">
        <v>2000</v>
      </c>
      <c r="S182" s="159">
        <v>16284</v>
      </c>
      <c r="T182" s="159">
        <v>0</v>
      </c>
      <c r="U182" s="159">
        <v>2435</v>
      </c>
      <c r="V182" s="159">
        <v>4500</v>
      </c>
      <c r="W182" s="159">
        <v>186</v>
      </c>
      <c r="X182" s="159">
        <v>0</v>
      </c>
      <c r="Y182" s="159">
        <v>1500</v>
      </c>
      <c r="Z182" s="159">
        <v>2416</v>
      </c>
      <c r="AA182" s="159">
        <v>3141</v>
      </c>
      <c r="AB182" s="159">
        <v>1639</v>
      </c>
      <c r="AC182" s="159">
        <v>0</v>
      </c>
      <c r="AD182" s="207">
        <v>35601</v>
      </c>
      <c r="AE182" s="200">
        <v>57.002133690554295</v>
      </c>
      <c r="AF182" s="200">
        <v>35.616757949876018</v>
      </c>
      <c r="AG182" s="200">
        <v>29.867454778075125</v>
      </c>
      <c r="AH182" s="200">
        <v>0</v>
      </c>
      <c r="AI182" s="200">
        <v>0</v>
      </c>
      <c r="AJ182" s="200">
        <v>192.21501658421798</v>
      </c>
      <c r="AL182" s="197">
        <f t="shared" si="18"/>
        <v>40811.76587711725</v>
      </c>
      <c r="AM182" s="197" t="str">
        <f t="shared" si="19"/>
        <v>School Medium 3</v>
      </c>
      <c r="AN182" s="3">
        <f t="shared" si="20"/>
        <v>4.1264265741056843</v>
      </c>
      <c r="AO182" s="3">
        <f t="shared" si="21"/>
        <v>1.5927768944374019</v>
      </c>
      <c r="AP182" s="3">
        <f t="shared" si="22"/>
        <v>0</v>
      </c>
      <c r="AQ182" s="3">
        <f t="shared" si="23"/>
        <v>0</v>
      </c>
      <c r="AR182" s="3">
        <f t="shared" si="24"/>
        <v>1.5927768944374019</v>
      </c>
      <c r="AS182" s="81">
        <f t="shared" si="25"/>
        <v>1</v>
      </c>
      <c r="AT182" s="81">
        <f t="shared" si="26"/>
        <v>0</v>
      </c>
    </row>
    <row r="183" spans="1:46" x14ac:dyDescent="0.25">
      <c r="A183" t="s">
        <v>805</v>
      </c>
      <c r="B183">
        <v>2023</v>
      </c>
      <c r="C183" t="s">
        <v>680</v>
      </c>
      <c r="D183" t="s">
        <v>829</v>
      </c>
      <c r="E183" t="s">
        <v>1028</v>
      </c>
      <c r="F183">
        <v>3</v>
      </c>
      <c r="G183" t="s">
        <v>1918</v>
      </c>
      <c r="H183" s="460">
        <v>3433.6474213815491</v>
      </c>
      <c r="I183">
        <v>1200</v>
      </c>
      <c r="J183">
        <v>0</v>
      </c>
      <c r="K183" s="67">
        <v>0</v>
      </c>
      <c r="L183" s="159">
        <v>150</v>
      </c>
      <c r="M183" s="159">
        <v>34851</v>
      </c>
      <c r="N183" s="159">
        <v>1920</v>
      </c>
      <c r="O183" s="159">
        <v>506</v>
      </c>
      <c r="P183" s="159">
        <v>7863</v>
      </c>
      <c r="Q183" s="159">
        <v>1500</v>
      </c>
      <c r="R183" s="159">
        <v>2000</v>
      </c>
      <c r="S183" s="159">
        <v>16000</v>
      </c>
      <c r="T183" s="159">
        <v>98</v>
      </c>
      <c r="U183" s="159">
        <v>120</v>
      </c>
      <c r="V183" s="159">
        <v>0</v>
      </c>
      <c r="W183" s="159">
        <v>186</v>
      </c>
      <c r="X183" s="159">
        <v>0</v>
      </c>
      <c r="Y183" s="159">
        <v>0</v>
      </c>
      <c r="Z183" s="159">
        <v>0</v>
      </c>
      <c r="AA183" s="159">
        <v>0</v>
      </c>
      <c r="AB183" s="159">
        <v>0</v>
      </c>
      <c r="AC183" s="159">
        <v>0</v>
      </c>
      <c r="AD183" s="207">
        <v>65194</v>
      </c>
      <c r="AE183" s="200">
        <v>9.9924808162194001</v>
      </c>
      <c r="AF183" s="200">
        <v>16.991169890043544</v>
      </c>
      <c r="AG183" s="200">
        <v>14.839488473044018</v>
      </c>
      <c r="AH183" s="200">
        <v>0</v>
      </c>
      <c r="AI183" s="200">
        <v>0</v>
      </c>
      <c r="AJ183" s="200">
        <v>0</v>
      </c>
      <c r="AL183" s="197">
        <f t="shared" si="18"/>
        <v>74736.166528827336</v>
      </c>
      <c r="AM183" s="197" t="str">
        <f t="shared" si="19"/>
        <v>Box Medium 4</v>
      </c>
      <c r="AN183" s="3">
        <f t="shared" si="20"/>
        <v>16.438828452034578</v>
      </c>
      <c r="AO183" s="3">
        <f t="shared" si="21"/>
        <v>6.3452931149503211</v>
      </c>
      <c r="AP183" s="3">
        <f t="shared" si="22"/>
        <v>0</v>
      </c>
      <c r="AQ183" s="3">
        <f t="shared" si="23"/>
        <v>0</v>
      </c>
      <c r="AR183" s="3">
        <f t="shared" si="24"/>
        <v>6.3452931149503211</v>
      </c>
      <c r="AS183" s="81">
        <f t="shared" si="25"/>
        <v>1</v>
      </c>
      <c r="AT183" s="81">
        <f t="shared" si="26"/>
        <v>0</v>
      </c>
    </row>
    <row r="184" spans="1:46" x14ac:dyDescent="0.25">
      <c r="A184" t="s">
        <v>805</v>
      </c>
      <c r="B184">
        <v>2023</v>
      </c>
      <c r="C184" t="s">
        <v>680</v>
      </c>
      <c r="D184" t="s">
        <v>829</v>
      </c>
      <c r="E184" t="s">
        <v>1028</v>
      </c>
      <c r="F184">
        <v>3</v>
      </c>
      <c r="G184" t="s">
        <v>1919</v>
      </c>
      <c r="H184" s="460">
        <v>2943.8294876748405</v>
      </c>
      <c r="I184">
        <v>1200</v>
      </c>
      <c r="J184">
        <v>0</v>
      </c>
      <c r="K184" s="67">
        <v>0</v>
      </c>
      <c r="L184" s="159">
        <v>150</v>
      </c>
      <c r="M184" s="159">
        <v>32398</v>
      </c>
      <c r="N184" s="159">
        <v>1920</v>
      </c>
      <c r="O184" s="159">
        <v>506</v>
      </c>
      <c r="P184" s="159">
        <v>4684</v>
      </c>
      <c r="Q184" s="159">
        <v>1500</v>
      </c>
      <c r="R184" s="159">
        <v>2000</v>
      </c>
      <c r="S184" s="159">
        <v>16000</v>
      </c>
      <c r="T184" s="159">
        <v>98</v>
      </c>
      <c r="U184" s="159">
        <v>120</v>
      </c>
      <c r="V184" s="159">
        <v>0</v>
      </c>
      <c r="W184" s="159">
        <v>186</v>
      </c>
      <c r="X184" s="159">
        <v>0</v>
      </c>
      <c r="Y184" s="159">
        <v>0</v>
      </c>
      <c r="Z184" s="159">
        <v>0</v>
      </c>
      <c r="AA184" s="159">
        <v>0</v>
      </c>
      <c r="AB184" s="159">
        <v>0</v>
      </c>
      <c r="AC184" s="159">
        <v>0</v>
      </c>
      <c r="AD184" s="207">
        <v>59562</v>
      </c>
      <c r="AE184" s="200">
        <v>6.7313109913407247</v>
      </c>
      <c r="AF184" s="200">
        <v>11.86941533868786</v>
      </c>
      <c r="AG184" s="200">
        <v>11.851092398869426</v>
      </c>
      <c r="AH184" s="200">
        <v>0</v>
      </c>
      <c r="AI184" s="200">
        <v>0</v>
      </c>
      <c r="AJ184" s="200">
        <v>0</v>
      </c>
      <c r="AL184" s="197">
        <f t="shared" si="18"/>
        <v>68279.834812866437</v>
      </c>
      <c r="AM184" s="197" t="str">
        <f t="shared" si="19"/>
        <v>Box Medium 4</v>
      </c>
      <c r="AN184" s="3">
        <f t="shared" si="20"/>
        <v>21.354378615185215</v>
      </c>
      <c r="AO184" s="3">
        <f t="shared" si="21"/>
        <v>8.2426671703728847</v>
      </c>
      <c r="AP184" s="3">
        <f t="shared" si="22"/>
        <v>0</v>
      </c>
      <c r="AQ184" s="3">
        <f t="shared" si="23"/>
        <v>0</v>
      </c>
      <c r="AR184" s="3">
        <f t="shared" si="24"/>
        <v>8.2426671703728847</v>
      </c>
      <c r="AS184" s="81">
        <f t="shared" si="25"/>
        <v>1</v>
      </c>
      <c r="AT184" s="81">
        <f t="shared" si="26"/>
        <v>0</v>
      </c>
    </row>
    <row r="185" spans="1:46" x14ac:dyDescent="0.25">
      <c r="A185" t="s">
        <v>807</v>
      </c>
      <c r="B185">
        <v>2023</v>
      </c>
      <c r="C185" t="s">
        <v>680</v>
      </c>
      <c r="D185" t="s">
        <v>829</v>
      </c>
      <c r="E185" t="s">
        <v>1028</v>
      </c>
      <c r="F185">
        <v>3</v>
      </c>
      <c r="G185" t="s">
        <v>1920</v>
      </c>
      <c r="H185" s="460">
        <v>3119.2402905532053</v>
      </c>
      <c r="I185">
        <v>1200</v>
      </c>
      <c r="J185">
        <v>0</v>
      </c>
      <c r="K185" s="67">
        <v>2.4710400000000003</v>
      </c>
      <c r="L185" s="159">
        <v>150</v>
      </c>
      <c r="M185" s="159">
        <v>16501</v>
      </c>
      <c r="N185" s="159">
        <v>220</v>
      </c>
      <c r="O185" s="159">
        <v>392</v>
      </c>
      <c r="P185" s="159">
        <v>4836</v>
      </c>
      <c r="Q185" s="159">
        <v>1500</v>
      </c>
      <c r="R185" s="159">
        <v>2000</v>
      </c>
      <c r="S185" s="159">
        <v>16000</v>
      </c>
      <c r="T185" s="159">
        <v>0</v>
      </c>
      <c r="U185" s="159">
        <v>1730</v>
      </c>
      <c r="V185" s="159">
        <v>4500</v>
      </c>
      <c r="W185" s="159">
        <v>186</v>
      </c>
      <c r="X185" s="159">
        <v>120</v>
      </c>
      <c r="Y185" s="159">
        <v>1500</v>
      </c>
      <c r="Z185" s="159">
        <v>2251</v>
      </c>
      <c r="AA185" s="159">
        <v>0</v>
      </c>
      <c r="AB185" s="159">
        <v>0</v>
      </c>
      <c r="AC185" s="159">
        <v>0</v>
      </c>
      <c r="AD185" s="207">
        <v>51886</v>
      </c>
      <c r="AE185" s="200">
        <v>23.491748592583203</v>
      </c>
      <c r="AF185" s="200">
        <v>24.318093711281698</v>
      </c>
      <c r="AG185" s="200">
        <v>19.25455914788699</v>
      </c>
      <c r="AH185" s="200">
        <v>0</v>
      </c>
      <c r="AI185" s="200">
        <v>0</v>
      </c>
      <c r="AJ185" s="200">
        <v>0</v>
      </c>
      <c r="AL185" s="197">
        <f t="shared" si="18"/>
        <v>59480.331572149822</v>
      </c>
      <c r="AM185" s="197" t="str">
        <f t="shared" si="19"/>
        <v>Box Medium 4</v>
      </c>
      <c r="AN185" s="3">
        <f t="shared" si="20"/>
        <v>11.766805825819556</v>
      </c>
      <c r="AO185" s="3">
        <f t="shared" si="21"/>
        <v>4.5419192863643074</v>
      </c>
      <c r="AP185" s="3">
        <f t="shared" si="22"/>
        <v>0</v>
      </c>
      <c r="AQ185" s="3">
        <f t="shared" si="23"/>
        <v>0</v>
      </c>
      <c r="AR185" s="3">
        <f t="shared" si="24"/>
        <v>4.5419192863643074</v>
      </c>
      <c r="AS185" s="81">
        <f t="shared" si="25"/>
        <v>1</v>
      </c>
      <c r="AT185" s="81">
        <f t="shared" si="26"/>
        <v>0</v>
      </c>
    </row>
    <row r="186" spans="1:46" x14ac:dyDescent="0.25">
      <c r="A186" t="s">
        <v>807</v>
      </c>
      <c r="B186">
        <v>2023</v>
      </c>
      <c r="C186" t="s">
        <v>680</v>
      </c>
      <c r="D186" t="s">
        <v>829</v>
      </c>
      <c r="E186" t="s">
        <v>1028</v>
      </c>
      <c r="F186">
        <v>3</v>
      </c>
      <c r="G186" t="s">
        <v>1921</v>
      </c>
      <c r="H186" s="460">
        <v>2882.4045342738459</v>
      </c>
      <c r="I186">
        <v>1200</v>
      </c>
      <c r="J186">
        <v>0</v>
      </c>
      <c r="K186" s="67">
        <v>2.3284799999999999</v>
      </c>
      <c r="L186" s="159">
        <v>150</v>
      </c>
      <c r="M186" s="159">
        <v>15318</v>
      </c>
      <c r="N186" s="159">
        <v>220</v>
      </c>
      <c r="O186" s="159">
        <v>392</v>
      </c>
      <c r="P186" s="159">
        <v>3014</v>
      </c>
      <c r="Q186" s="159">
        <v>1500</v>
      </c>
      <c r="R186" s="159">
        <v>2000</v>
      </c>
      <c r="S186" s="159">
        <v>16000</v>
      </c>
      <c r="T186" s="159">
        <v>0</v>
      </c>
      <c r="U186" s="159">
        <v>1630</v>
      </c>
      <c r="V186" s="159">
        <v>4500</v>
      </c>
      <c r="W186" s="159">
        <v>186</v>
      </c>
      <c r="X186" s="159">
        <v>120</v>
      </c>
      <c r="Y186" s="159">
        <v>1500</v>
      </c>
      <c r="Z186" s="159">
        <v>2438</v>
      </c>
      <c r="AA186" s="159">
        <v>0</v>
      </c>
      <c r="AB186" s="159">
        <v>0</v>
      </c>
      <c r="AC186" s="159">
        <v>0</v>
      </c>
      <c r="AD186" s="207">
        <v>48968</v>
      </c>
      <c r="AE186" s="200">
        <v>17.550128145323818</v>
      </c>
      <c r="AF186" s="200">
        <v>17.593693186088938</v>
      </c>
      <c r="AG186" s="200">
        <v>9.0426386780665933</v>
      </c>
      <c r="AH186" s="200">
        <v>0</v>
      </c>
      <c r="AI186" s="200">
        <v>0</v>
      </c>
      <c r="AJ186" s="200">
        <v>0</v>
      </c>
      <c r="AL186" s="197">
        <f t="shared" si="18"/>
        <v>56135.236411074904</v>
      </c>
      <c r="AM186" s="197" t="str">
        <f t="shared" si="19"/>
        <v>Box Medium 4</v>
      </c>
      <c r="AN186" s="3">
        <f t="shared" si="20"/>
        <v>23.613024083355992</v>
      </c>
      <c r="AO186" s="3">
        <f t="shared" si="21"/>
        <v>9.114491314052902</v>
      </c>
      <c r="AP186" s="3">
        <f t="shared" si="22"/>
        <v>0</v>
      </c>
      <c r="AQ186" s="3">
        <f t="shared" si="23"/>
        <v>0</v>
      </c>
      <c r="AR186" s="3">
        <f t="shared" si="24"/>
        <v>9.114491314052902</v>
      </c>
      <c r="AS186" s="81">
        <f t="shared" si="25"/>
        <v>1</v>
      </c>
      <c r="AT186" s="81">
        <f t="shared" si="26"/>
        <v>0</v>
      </c>
    </row>
    <row r="187" spans="1:46" x14ac:dyDescent="0.25">
      <c r="A187" t="s">
        <v>808</v>
      </c>
      <c r="B187">
        <v>2023</v>
      </c>
      <c r="C187" t="s">
        <v>680</v>
      </c>
      <c r="D187" t="s">
        <v>829</v>
      </c>
      <c r="E187" t="s">
        <v>1028</v>
      </c>
      <c r="F187">
        <v>3</v>
      </c>
      <c r="G187" t="s">
        <v>1922</v>
      </c>
      <c r="H187" s="460">
        <v>3831.2396620170712</v>
      </c>
      <c r="I187">
        <v>1200</v>
      </c>
      <c r="J187">
        <v>119.99999997072871</v>
      </c>
      <c r="K187" s="67">
        <v>87.384</v>
      </c>
      <c r="L187" s="159">
        <v>0</v>
      </c>
      <c r="M187" s="159">
        <v>10564</v>
      </c>
      <c r="N187" s="159">
        <v>220</v>
      </c>
      <c r="O187" s="159">
        <v>0</v>
      </c>
      <c r="P187" s="159">
        <v>0</v>
      </c>
      <c r="Q187" s="159">
        <v>1500</v>
      </c>
      <c r="R187" s="159">
        <v>2000</v>
      </c>
      <c r="S187" s="159">
        <v>16000</v>
      </c>
      <c r="T187" s="159">
        <v>3323</v>
      </c>
      <c r="U187" s="159">
        <v>30584</v>
      </c>
      <c r="V187" s="159">
        <v>4500</v>
      </c>
      <c r="W187" s="159">
        <v>186</v>
      </c>
      <c r="X187" s="159">
        <v>0</v>
      </c>
      <c r="Y187" s="159">
        <v>1500</v>
      </c>
      <c r="Z187" s="159">
        <v>8127</v>
      </c>
      <c r="AA187" s="159">
        <v>0</v>
      </c>
      <c r="AB187" s="159">
        <v>0</v>
      </c>
      <c r="AC187" s="159">
        <v>0</v>
      </c>
      <c r="AD187" s="207">
        <v>78504</v>
      </c>
      <c r="AE187" s="200">
        <v>74.848975961008861</v>
      </c>
      <c r="AF187" s="200">
        <v>37.202502797750789</v>
      </c>
      <c r="AG187" s="200">
        <v>23.596498832589397</v>
      </c>
      <c r="AH187" s="200">
        <v>463</v>
      </c>
      <c r="AI187" s="200">
        <v>689</v>
      </c>
      <c r="AJ187" s="200">
        <v>887</v>
      </c>
      <c r="AL187" s="197">
        <f t="shared" si="18"/>
        <v>89994.294216938084</v>
      </c>
      <c r="AM187" s="197" t="str">
        <f t="shared" si="19"/>
        <v>Box Medium 4</v>
      </c>
      <c r="AN187" s="3">
        <f t="shared" si="20"/>
        <v>4.4787713287664479</v>
      </c>
      <c r="AO187" s="3">
        <f t="shared" si="21"/>
        <v>1.7287799406618485</v>
      </c>
      <c r="AP187" s="3">
        <f t="shared" si="22"/>
        <v>25.68692756036636</v>
      </c>
      <c r="AQ187" s="3">
        <f t="shared" si="23"/>
        <v>0.92472939217318895</v>
      </c>
      <c r="AR187" s="3">
        <f t="shared" si="24"/>
        <v>2.6535093328350374</v>
      </c>
      <c r="AS187" s="81">
        <f t="shared" si="25"/>
        <v>0.6515070134744172</v>
      </c>
      <c r="AT187" s="81">
        <f t="shared" si="26"/>
        <v>0.3484929865255828</v>
      </c>
    </row>
    <row r="188" spans="1:46" x14ac:dyDescent="0.25">
      <c r="A188" t="s">
        <v>808</v>
      </c>
      <c r="B188">
        <v>2023</v>
      </c>
      <c r="C188" t="s">
        <v>680</v>
      </c>
      <c r="D188" t="s">
        <v>829</v>
      </c>
      <c r="E188" t="s">
        <v>1028</v>
      </c>
      <c r="F188">
        <v>3</v>
      </c>
      <c r="G188" t="s">
        <v>1923</v>
      </c>
      <c r="H188" s="460">
        <v>3652.7153070661416</v>
      </c>
      <c r="I188">
        <v>1200</v>
      </c>
      <c r="J188">
        <v>119.99999997072871</v>
      </c>
      <c r="K188" s="67">
        <v>78.9435</v>
      </c>
      <c r="L188" s="159">
        <v>0</v>
      </c>
      <c r="M188" s="159">
        <v>6435</v>
      </c>
      <c r="N188" s="159">
        <v>220</v>
      </c>
      <c r="O188" s="159">
        <v>0</v>
      </c>
      <c r="P188" s="159">
        <v>3574</v>
      </c>
      <c r="Q188" s="159">
        <v>1500</v>
      </c>
      <c r="R188" s="159">
        <v>2000</v>
      </c>
      <c r="S188" s="159">
        <v>16000</v>
      </c>
      <c r="T188" s="159">
        <v>2308</v>
      </c>
      <c r="U188" s="159">
        <v>27630</v>
      </c>
      <c r="V188" s="159">
        <v>4500</v>
      </c>
      <c r="W188" s="159">
        <v>186</v>
      </c>
      <c r="X188" s="159">
        <v>0</v>
      </c>
      <c r="Y188" s="159">
        <v>1500</v>
      </c>
      <c r="Z188" s="159">
        <v>6737</v>
      </c>
      <c r="AA188" s="159">
        <v>0</v>
      </c>
      <c r="AB188" s="159">
        <v>0</v>
      </c>
      <c r="AC188" s="159">
        <v>0</v>
      </c>
      <c r="AD188" s="207">
        <v>72590</v>
      </c>
      <c r="AE188" s="200">
        <v>22.128666590135211</v>
      </c>
      <c r="AF188" s="200">
        <v>17.72967225270639</v>
      </c>
      <c r="AG188" s="200">
        <v>14.122734465569367</v>
      </c>
      <c r="AH188" s="200">
        <v>465</v>
      </c>
      <c r="AI188" s="200">
        <v>569</v>
      </c>
      <c r="AJ188" s="200">
        <v>709</v>
      </c>
      <c r="AL188" s="197">
        <f t="shared" si="18"/>
        <v>83214.687368892482</v>
      </c>
      <c r="AM188" s="197" t="str">
        <f t="shared" si="19"/>
        <v>Box Medium 4</v>
      </c>
      <c r="AN188" s="3">
        <f t="shared" si="20"/>
        <v>7.8737782490101225</v>
      </c>
      <c r="AO188" s="3">
        <f t="shared" si="21"/>
        <v>3.0392330607906533</v>
      </c>
      <c r="AP188" s="3">
        <f t="shared" si="22"/>
        <v>20.878123951433508</v>
      </c>
      <c r="AQ188" s="3">
        <f t="shared" si="23"/>
        <v>0.75161246225160638</v>
      </c>
      <c r="AR188" s="3">
        <f t="shared" si="24"/>
        <v>3.7908455230422597</v>
      </c>
      <c r="AS188" s="81">
        <f t="shared" si="25"/>
        <v>0.80172959892904938</v>
      </c>
      <c r="AT188" s="81">
        <f t="shared" si="26"/>
        <v>0.19827040107095062</v>
      </c>
    </row>
    <row r="189" spans="1:46" x14ac:dyDescent="0.25">
      <c r="A189" t="s">
        <v>230</v>
      </c>
      <c r="B189">
        <v>2023</v>
      </c>
      <c r="C189" t="s">
        <v>680</v>
      </c>
      <c r="D189" t="s">
        <v>829</v>
      </c>
      <c r="E189" t="s">
        <v>1028</v>
      </c>
      <c r="F189">
        <v>3</v>
      </c>
      <c r="G189" t="s">
        <v>1924</v>
      </c>
      <c r="H189" s="460">
        <v>3543.610052080443</v>
      </c>
      <c r="I189">
        <v>1200</v>
      </c>
      <c r="J189">
        <v>150.00000001001371</v>
      </c>
      <c r="K189" s="67">
        <v>112.333125</v>
      </c>
      <c r="L189" s="159">
        <v>0</v>
      </c>
      <c r="M189" s="159">
        <v>0</v>
      </c>
      <c r="N189" s="159">
        <v>0</v>
      </c>
      <c r="O189" s="159">
        <v>0</v>
      </c>
      <c r="P189" s="159">
        <v>0</v>
      </c>
      <c r="Q189" s="159">
        <v>1500</v>
      </c>
      <c r="R189" s="159">
        <v>2000</v>
      </c>
      <c r="S189" s="159">
        <v>16000</v>
      </c>
      <c r="T189" s="159">
        <v>0</v>
      </c>
      <c r="U189" s="159">
        <v>39317</v>
      </c>
      <c r="V189" s="159">
        <v>4500</v>
      </c>
      <c r="W189" s="159">
        <v>186</v>
      </c>
      <c r="X189" s="159">
        <v>0</v>
      </c>
      <c r="Y189" s="159">
        <v>1500</v>
      </c>
      <c r="Z189" s="159">
        <v>8363</v>
      </c>
      <c r="AA189" s="159">
        <v>0</v>
      </c>
      <c r="AB189" s="159">
        <v>0</v>
      </c>
      <c r="AC189" s="159">
        <v>0</v>
      </c>
      <c r="AD189" s="207">
        <v>73366</v>
      </c>
      <c r="AE189" s="200">
        <v>0</v>
      </c>
      <c r="AF189" s="200">
        <v>0</v>
      </c>
      <c r="AG189" s="200">
        <v>0</v>
      </c>
      <c r="AH189" s="200">
        <v>443</v>
      </c>
      <c r="AI189" s="200">
        <v>669</v>
      </c>
      <c r="AJ189" s="200">
        <v>859</v>
      </c>
      <c r="AL189" s="197">
        <f t="shared" si="18"/>
        <v>84104.267164983685</v>
      </c>
      <c r="AM189" s="197" t="str">
        <f t="shared" si="19"/>
        <v>Box Medium 4</v>
      </c>
      <c r="AN189" s="3">
        <f t="shared" si="20"/>
        <v>0</v>
      </c>
      <c r="AO189" s="3">
        <f t="shared" si="21"/>
        <v>0</v>
      </c>
      <c r="AP189" s="3">
        <f t="shared" si="22"/>
        <v>49.728460114084037</v>
      </c>
      <c r="AQ189" s="3">
        <f t="shared" si="23"/>
        <v>1.7902245641070254</v>
      </c>
      <c r="AR189" s="3">
        <f t="shared" si="24"/>
        <v>1.7902245641070254</v>
      </c>
      <c r="AS189" s="81">
        <f t="shared" si="25"/>
        <v>0</v>
      </c>
      <c r="AT189" s="81">
        <f t="shared" si="26"/>
        <v>1</v>
      </c>
    </row>
    <row r="190" spans="1:46" x14ac:dyDescent="0.25">
      <c r="A190" t="s">
        <v>496</v>
      </c>
      <c r="B190">
        <v>2023</v>
      </c>
      <c r="C190" t="s">
        <v>680</v>
      </c>
      <c r="D190" t="s">
        <v>829</v>
      </c>
      <c r="E190" t="s">
        <v>1028</v>
      </c>
      <c r="F190">
        <v>3</v>
      </c>
      <c r="G190" t="s">
        <v>1925</v>
      </c>
      <c r="H190" s="460">
        <v>3233.8112738882264</v>
      </c>
      <c r="I190">
        <v>1200</v>
      </c>
      <c r="J190">
        <v>150.00000001001371</v>
      </c>
      <c r="K190" s="67">
        <v>3.1046400000000003</v>
      </c>
      <c r="L190" s="159">
        <v>0</v>
      </c>
      <c r="M190" s="159">
        <v>0</v>
      </c>
      <c r="N190" s="159">
        <v>0</v>
      </c>
      <c r="O190" s="159">
        <v>0</v>
      </c>
      <c r="P190" s="159">
        <v>0</v>
      </c>
      <c r="Q190" s="159">
        <v>1500</v>
      </c>
      <c r="R190" s="159">
        <v>2000</v>
      </c>
      <c r="S190" s="159">
        <v>16000</v>
      </c>
      <c r="T190" s="159">
        <v>0</v>
      </c>
      <c r="U190" s="159">
        <v>2173</v>
      </c>
      <c r="V190" s="159">
        <v>4500</v>
      </c>
      <c r="W190" s="159">
        <v>186</v>
      </c>
      <c r="X190" s="159">
        <v>0</v>
      </c>
      <c r="Y190" s="159">
        <v>1500</v>
      </c>
      <c r="Z190" s="159">
        <v>8085</v>
      </c>
      <c r="AA190" s="159">
        <v>38424</v>
      </c>
      <c r="AB190" s="159">
        <v>6115</v>
      </c>
      <c r="AC190" s="159">
        <v>0</v>
      </c>
      <c r="AD190" s="207">
        <v>80483</v>
      </c>
      <c r="AE190" s="200">
        <v>43.585741778352315</v>
      </c>
      <c r="AF190" s="200">
        <v>34.866367299792266</v>
      </c>
      <c r="AG190" s="200">
        <v>26.743360773643825</v>
      </c>
      <c r="AH190" s="200">
        <v>0</v>
      </c>
      <c r="AI190" s="200">
        <v>0</v>
      </c>
      <c r="AJ190" s="200">
        <v>0</v>
      </c>
      <c r="AL190" s="197">
        <f t="shared" si="18"/>
        <v>92262.95197011398</v>
      </c>
      <c r="AM190" s="197" t="str">
        <f t="shared" si="19"/>
        <v>Box Medium 4</v>
      </c>
      <c r="AN190" s="3">
        <f t="shared" si="20"/>
        <v>8.2709876782105702</v>
      </c>
      <c r="AO190" s="3">
        <f t="shared" si="21"/>
        <v>3.1925536130217953</v>
      </c>
      <c r="AP190" s="3">
        <f t="shared" si="22"/>
        <v>0</v>
      </c>
      <c r="AQ190" s="3">
        <f t="shared" si="23"/>
        <v>0</v>
      </c>
      <c r="AR190" s="3">
        <f t="shared" si="24"/>
        <v>3.1925536130217953</v>
      </c>
      <c r="AS190" s="81">
        <f t="shared" si="25"/>
        <v>1</v>
      </c>
      <c r="AT190" s="81">
        <f t="shared" si="26"/>
        <v>0</v>
      </c>
    </row>
    <row r="191" spans="1:46" x14ac:dyDescent="0.25">
      <c r="A191" t="s">
        <v>828</v>
      </c>
      <c r="B191">
        <v>2023</v>
      </c>
      <c r="C191" t="s">
        <v>680</v>
      </c>
      <c r="D191" t="s">
        <v>829</v>
      </c>
      <c r="E191" t="s">
        <v>1028</v>
      </c>
      <c r="F191">
        <v>3</v>
      </c>
      <c r="G191" t="s">
        <v>1926</v>
      </c>
      <c r="H191" s="460">
        <v>3197.2141944820278</v>
      </c>
      <c r="I191">
        <v>1200</v>
      </c>
      <c r="J191">
        <v>150.00000001001371</v>
      </c>
      <c r="K191" s="67">
        <v>33.762</v>
      </c>
      <c r="L191" s="159">
        <v>0</v>
      </c>
      <c r="M191" s="159">
        <v>0</v>
      </c>
      <c r="N191" s="159">
        <v>0</v>
      </c>
      <c r="O191" s="159">
        <v>0</v>
      </c>
      <c r="P191" s="159">
        <v>0</v>
      </c>
      <c r="Q191" s="159">
        <v>1500</v>
      </c>
      <c r="R191" s="159">
        <v>2000</v>
      </c>
      <c r="S191" s="159">
        <v>16000</v>
      </c>
      <c r="T191" s="159">
        <v>0</v>
      </c>
      <c r="U191" s="159">
        <v>11817</v>
      </c>
      <c r="V191" s="159">
        <v>4500</v>
      </c>
      <c r="W191" s="159">
        <v>186</v>
      </c>
      <c r="X191" s="159">
        <v>0</v>
      </c>
      <c r="Y191" s="159">
        <v>1500</v>
      </c>
      <c r="Z191" s="159">
        <v>9072</v>
      </c>
      <c r="AA191" s="159">
        <v>11383</v>
      </c>
      <c r="AB191" s="159">
        <v>4428</v>
      </c>
      <c r="AC191" s="159">
        <v>0</v>
      </c>
      <c r="AD191" s="207">
        <v>62386</v>
      </c>
      <c r="AE191" s="200">
        <v>48.089438556257761</v>
      </c>
      <c r="AF191" s="200">
        <v>31.890569056439421</v>
      </c>
      <c r="AG191" s="200">
        <v>24.06354149572892</v>
      </c>
      <c r="AH191" s="200">
        <v>0</v>
      </c>
      <c r="AI191" s="200">
        <v>0</v>
      </c>
      <c r="AJ191" s="200">
        <v>0</v>
      </c>
      <c r="AL191" s="197">
        <f t="shared" si="18"/>
        <v>71517.171596579778</v>
      </c>
      <c r="AM191" s="197" t="str">
        <f t="shared" si="19"/>
        <v>Box Medium 4</v>
      </c>
      <c r="AN191" s="3">
        <f t="shared" si="20"/>
        <v>9.070480765749279</v>
      </c>
      <c r="AO191" s="3">
        <f t="shared" si="21"/>
        <v>3.5011533407099242</v>
      </c>
      <c r="AP191" s="3">
        <f t="shared" si="22"/>
        <v>0</v>
      </c>
      <c r="AQ191" s="3">
        <f t="shared" si="23"/>
        <v>0</v>
      </c>
      <c r="AR191" s="3">
        <f t="shared" si="24"/>
        <v>3.5011533407099242</v>
      </c>
      <c r="AS191" s="81">
        <f t="shared" si="25"/>
        <v>1</v>
      </c>
      <c r="AT191" s="81">
        <f t="shared" si="26"/>
        <v>0</v>
      </c>
    </row>
    <row r="192" spans="1:46" x14ac:dyDescent="0.25">
      <c r="A192" t="s">
        <v>805</v>
      </c>
      <c r="B192">
        <v>2025</v>
      </c>
      <c r="C192" t="s">
        <v>680</v>
      </c>
      <c r="D192" t="s">
        <v>829</v>
      </c>
      <c r="E192" t="s">
        <v>1028</v>
      </c>
      <c r="F192">
        <v>3</v>
      </c>
      <c r="G192" t="s">
        <v>1927</v>
      </c>
      <c r="H192" s="460">
        <v>3408.865866653985</v>
      </c>
      <c r="I192">
        <v>1200</v>
      </c>
      <c r="J192">
        <v>0</v>
      </c>
      <c r="K192" s="67">
        <v>0</v>
      </c>
      <c r="L192" s="159">
        <v>150</v>
      </c>
      <c r="M192" s="159">
        <v>35060</v>
      </c>
      <c r="N192" s="159">
        <v>1920</v>
      </c>
      <c r="O192" s="159">
        <v>506</v>
      </c>
      <c r="P192" s="159">
        <v>7825</v>
      </c>
      <c r="Q192" s="159">
        <v>1500</v>
      </c>
      <c r="R192" s="159">
        <v>2000</v>
      </c>
      <c r="S192" s="159">
        <v>16103</v>
      </c>
      <c r="T192" s="159">
        <v>92</v>
      </c>
      <c r="U192" s="159">
        <v>120</v>
      </c>
      <c r="V192" s="159">
        <v>0</v>
      </c>
      <c r="W192" s="159">
        <v>186</v>
      </c>
      <c r="X192" s="159">
        <v>0</v>
      </c>
      <c r="Y192" s="159">
        <v>0</v>
      </c>
      <c r="Z192" s="159">
        <v>0</v>
      </c>
      <c r="AA192" s="159">
        <v>0</v>
      </c>
      <c r="AB192" s="159">
        <v>0</v>
      </c>
      <c r="AC192" s="159">
        <v>0</v>
      </c>
      <c r="AD192" s="207">
        <v>65462</v>
      </c>
      <c r="AE192" s="200">
        <v>10.630011180346752</v>
      </c>
      <c r="AF192" s="200">
        <v>18.466558080859464</v>
      </c>
      <c r="AG192" s="200">
        <v>16.207297011240527</v>
      </c>
      <c r="AH192" s="200">
        <v>0</v>
      </c>
      <c r="AI192" s="200">
        <v>0</v>
      </c>
      <c r="AJ192" s="200">
        <v>0</v>
      </c>
      <c r="AL192" s="197">
        <f t="shared" si="18"/>
        <v>75043.39254087946</v>
      </c>
      <c r="AM192" s="197" t="str">
        <f t="shared" si="19"/>
        <v>Box Medium 4</v>
      </c>
      <c r="AN192" s="3">
        <f t="shared" si="20"/>
        <v>15.114568669037592</v>
      </c>
      <c r="AO192" s="3">
        <f t="shared" si="21"/>
        <v>5.8341364648292853</v>
      </c>
      <c r="AP192" s="3">
        <f t="shared" si="22"/>
        <v>0</v>
      </c>
      <c r="AQ192" s="3">
        <f t="shared" si="23"/>
        <v>0</v>
      </c>
      <c r="AR192" s="3">
        <f t="shared" si="24"/>
        <v>5.8341364648292853</v>
      </c>
      <c r="AS192" s="81">
        <f t="shared" si="25"/>
        <v>1</v>
      </c>
      <c r="AT192" s="81">
        <f t="shared" si="26"/>
        <v>0</v>
      </c>
    </row>
    <row r="193" spans="1:46" x14ac:dyDescent="0.25">
      <c r="A193" t="s">
        <v>805</v>
      </c>
      <c r="B193">
        <v>2025</v>
      </c>
      <c r="C193" t="s">
        <v>680</v>
      </c>
      <c r="D193" t="s">
        <v>829</v>
      </c>
      <c r="E193" t="s">
        <v>1028</v>
      </c>
      <c r="F193">
        <v>3</v>
      </c>
      <c r="G193" t="s">
        <v>1928</v>
      </c>
      <c r="H193" s="460">
        <v>2922.2549677513171</v>
      </c>
      <c r="I193">
        <v>1200</v>
      </c>
      <c r="J193">
        <v>0</v>
      </c>
      <c r="K193" s="67">
        <v>0</v>
      </c>
      <c r="L193" s="159">
        <v>150</v>
      </c>
      <c r="M193" s="159">
        <v>32810</v>
      </c>
      <c r="N193" s="159">
        <v>1920</v>
      </c>
      <c r="O193" s="159">
        <v>506</v>
      </c>
      <c r="P193" s="159">
        <v>4671</v>
      </c>
      <c r="Q193" s="159">
        <v>1500</v>
      </c>
      <c r="R193" s="159">
        <v>2000</v>
      </c>
      <c r="S193" s="159">
        <v>16103</v>
      </c>
      <c r="T193" s="159">
        <v>92</v>
      </c>
      <c r="U193" s="159">
        <v>120</v>
      </c>
      <c r="V193" s="159">
        <v>0</v>
      </c>
      <c r="W193" s="159">
        <v>186</v>
      </c>
      <c r="X193" s="159">
        <v>0</v>
      </c>
      <c r="Y193" s="159">
        <v>0</v>
      </c>
      <c r="Z193" s="159">
        <v>0</v>
      </c>
      <c r="AA193" s="159">
        <v>0</v>
      </c>
      <c r="AB193" s="159">
        <v>0</v>
      </c>
      <c r="AC193" s="159">
        <v>0</v>
      </c>
      <c r="AD193" s="207">
        <v>60058</v>
      </c>
      <c r="AE193" s="200">
        <v>7.2374783235675579</v>
      </c>
      <c r="AF193" s="200">
        <v>12.947863476765841</v>
      </c>
      <c r="AG193" s="200">
        <v>13.039859295452407</v>
      </c>
      <c r="AH193" s="200">
        <v>0</v>
      </c>
      <c r="AI193" s="200">
        <v>0</v>
      </c>
      <c r="AJ193" s="200">
        <v>0</v>
      </c>
      <c r="AL193" s="197">
        <f t="shared" si="18"/>
        <v>68848.432208306171</v>
      </c>
      <c r="AM193" s="197" t="str">
        <f t="shared" si="19"/>
        <v>Box Medium 4</v>
      </c>
      <c r="AN193" s="3">
        <f t="shared" si="20"/>
        <v>19.495841740793892</v>
      </c>
      <c r="AO193" s="3">
        <f t="shared" si="21"/>
        <v>7.5252826397558632</v>
      </c>
      <c r="AP193" s="3">
        <f t="shared" si="22"/>
        <v>0</v>
      </c>
      <c r="AQ193" s="3">
        <f t="shared" si="23"/>
        <v>0</v>
      </c>
      <c r="AR193" s="3">
        <f t="shared" si="24"/>
        <v>7.5252826397558632</v>
      </c>
      <c r="AS193" s="81">
        <f t="shared" si="25"/>
        <v>1</v>
      </c>
      <c r="AT193" s="81">
        <f t="shared" si="26"/>
        <v>0</v>
      </c>
    </row>
    <row r="194" spans="1:46" x14ac:dyDescent="0.25">
      <c r="A194" t="s">
        <v>807</v>
      </c>
      <c r="B194">
        <v>2025</v>
      </c>
      <c r="C194" t="s">
        <v>680</v>
      </c>
      <c r="D194" t="s">
        <v>829</v>
      </c>
      <c r="E194" t="s">
        <v>1028</v>
      </c>
      <c r="F194">
        <v>3</v>
      </c>
      <c r="G194" t="s">
        <v>1929</v>
      </c>
      <c r="H194" s="460">
        <v>3090.901270160427</v>
      </c>
      <c r="I194">
        <v>1200</v>
      </c>
      <c r="J194">
        <v>0</v>
      </c>
      <c r="K194" s="67">
        <v>2.2809599999999999</v>
      </c>
      <c r="L194" s="159">
        <v>150</v>
      </c>
      <c r="M194" s="159">
        <v>16712</v>
      </c>
      <c r="N194" s="159">
        <v>220</v>
      </c>
      <c r="O194" s="159">
        <v>392</v>
      </c>
      <c r="P194" s="159">
        <v>4786</v>
      </c>
      <c r="Q194" s="159">
        <v>1500</v>
      </c>
      <c r="R194" s="159">
        <v>2000</v>
      </c>
      <c r="S194" s="159">
        <v>16103</v>
      </c>
      <c r="T194" s="159">
        <v>0</v>
      </c>
      <c r="U194" s="159">
        <v>1078</v>
      </c>
      <c r="V194" s="159">
        <v>4500</v>
      </c>
      <c r="W194" s="159">
        <v>186</v>
      </c>
      <c r="X194" s="159">
        <v>120</v>
      </c>
      <c r="Y194" s="159">
        <v>1500</v>
      </c>
      <c r="Z194" s="159">
        <v>1911</v>
      </c>
      <c r="AA194" s="159">
        <v>0</v>
      </c>
      <c r="AB194" s="159">
        <v>0</v>
      </c>
      <c r="AC194" s="159">
        <v>0</v>
      </c>
      <c r="AD194" s="207">
        <v>51158</v>
      </c>
      <c r="AE194" s="200">
        <v>25.498222259336391</v>
      </c>
      <c r="AF194" s="200">
        <v>27.025258783244904</v>
      </c>
      <c r="AG194" s="200">
        <v>21.405283527114808</v>
      </c>
      <c r="AH194" s="200">
        <v>0</v>
      </c>
      <c r="AI194" s="200">
        <v>0</v>
      </c>
      <c r="AJ194" s="200">
        <v>0</v>
      </c>
      <c r="AL194" s="197">
        <f t="shared" si="18"/>
        <v>58645.777330456011</v>
      </c>
      <c r="AM194" s="197" t="str">
        <f t="shared" si="19"/>
        <v>Box Medium 4</v>
      </c>
      <c r="AN194" s="3">
        <f t="shared" si="20"/>
        <v>10.606598762214086</v>
      </c>
      <c r="AO194" s="3">
        <f t="shared" si="21"/>
        <v>4.0940860411854896</v>
      </c>
      <c r="AP194" s="3">
        <f t="shared" si="22"/>
        <v>0</v>
      </c>
      <c r="AQ194" s="3">
        <f t="shared" si="23"/>
        <v>0</v>
      </c>
      <c r="AR194" s="3">
        <f t="shared" si="24"/>
        <v>4.0940860411854896</v>
      </c>
      <c r="AS194" s="81">
        <f t="shared" si="25"/>
        <v>1</v>
      </c>
      <c r="AT194" s="81">
        <f t="shared" si="26"/>
        <v>0</v>
      </c>
    </row>
    <row r="195" spans="1:46" x14ac:dyDescent="0.25">
      <c r="A195" t="s">
        <v>807</v>
      </c>
      <c r="B195">
        <v>2025</v>
      </c>
      <c r="C195" t="s">
        <v>680</v>
      </c>
      <c r="D195" t="s">
        <v>829</v>
      </c>
      <c r="E195" t="s">
        <v>1028</v>
      </c>
      <c r="F195">
        <v>3</v>
      </c>
      <c r="G195" t="s">
        <v>1930</v>
      </c>
      <c r="H195" s="460">
        <v>2860.1898510070205</v>
      </c>
      <c r="I195">
        <v>1200</v>
      </c>
      <c r="J195">
        <v>0</v>
      </c>
      <c r="K195" s="67">
        <v>2.2809599999999999</v>
      </c>
      <c r="L195" s="159">
        <v>150</v>
      </c>
      <c r="M195" s="159">
        <v>15642</v>
      </c>
      <c r="N195" s="159">
        <v>220</v>
      </c>
      <c r="O195" s="159">
        <v>392</v>
      </c>
      <c r="P195" s="159">
        <v>3007</v>
      </c>
      <c r="Q195" s="159">
        <v>1500</v>
      </c>
      <c r="R195" s="159">
        <v>2000</v>
      </c>
      <c r="S195" s="159">
        <v>16103</v>
      </c>
      <c r="T195" s="159">
        <v>0</v>
      </c>
      <c r="U195" s="159">
        <v>1078</v>
      </c>
      <c r="V195" s="159">
        <v>4500</v>
      </c>
      <c r="W195" s="159">
        <v>186</v>
      </c>
      <c r="X195" s="159">
        <v>120</v>
      </c>
      <c r="Y195" s="159">
        <v>1500</v>
      </c>
      <c r="Z195" s="159">
        <v>2079</v>
      </c>
      <c r="AA195" s="159">
        <v>0</v>
      </c>
      <c r="AB195" s="159">
        <v>0</v>
      </c>
      <c r="AC195" s="159">
        <v>0</v>
      </c>
      <c r="AD195" s="207">
        <v>48477</v>
      </c>
      <c r="AE195" s="200">
        <v>20.831320855329214</v>
      </c>
      <c r="AF195" s="200">
        <v>19.796717259070501</v>
      </c>
      <c r="AG195" s="200">
        <v>9.6632778320036472</v>
      </c>
      <c r="AH195" s="200">
        <v>0</v>
      </c>
      <c r="AI195" s="200">
        <v>0</v>
      </c>
      <c r="AJ195" s="200">
        <v>0</v>
      </c>
      <c r="AL195" s="197">
        <f t="shared" ref="AL195:AL258" si="27">AD195*USD2023_to_CAD2020</f>
        <v>55572.370844218225</v>
      </c>
      <c r="AM195" s="197" t="str">
        <f t="shared" ref="AM195:AM258" si="28">IF(AND(F195&lt;5, D195="School"), $BF$2, IF(F195&lt;5, $BA$2,
IF(AND(F195&lt;=7, D195="School"), $BE$2, IF(F195&lt;7, $AZ$2,
IF(AND(F195&lt;8, E195="DayCab"), $BC$2, IF(F195&lt;8, $AZ$2,
IF(VLOOKUP(D195, $BH$3:$BI$10, 2, FALSE)="Longhaul", $AY$2,
IF(VLOOKUP(D195, $BH$3:$BI$10, 2, FALSE)="Drayage", $BB$2,
IF(VLOOKUP(D195, $BH$3:$BI$10, 2, FALSE)="Regional", $BC$2,
IF(VLOOKUP(D195, $BH$3:$BI$10, 2, FALSE)="Transit", $BE$2,
IF(VLOOKUP(D195, $BH$3:$BI$10, 2, FALSE)="Vocational", $BD$2, NA())))))))))))</f>
        <v>Box Medium 4</v>
      </c>
      <c r="AN195" s="3">
        <f t="shared" ref="AN195:AN258" si="29">(IFERROR(L_100km_to_mpg/AE195 * HLOOKUP($AM195, $AY$2:$BF$6, 2, FALSE) +
L_100km_to_mpg/AF195 * HLOOKUP($AM195, $AY$2:$BF$6, 3, FALSE) +
L_100km_to_mpg/AG195 * HLOOKUP($AM195, $AY$2:$BF$6, 4, FALSE), 0)) *
IF(ISERROR(SEARCH("PHEV",$A195)), 1, 1-HLOOKUP($AM195, $AY$2:$BF$6, 5, FALSE))</f>
        <v>21.914795320551438</v>
      </c>
      <c r="AO195" s="3">
        <f t="shared" ref="AO195:AO258" si="30">AN195*DSL_PJ_ML*10</f>
        <v>8.4589847913298275</v>
      </c>
      <c r="AP195" s="3">
        <f t="shared" ref="AP195:AP258" si="31">(AH195/km_mile/10 * HLOOKUP($AM195, $AY$2:$BF$6, 2, FALSE) +
AI195/km_mile/10 * HLOOKUP($AM195, $AY$2:$BF$6, 3, FALSE) +
AJ195/km_mile/10 * HLOOKUP($AM195, $AY$2:$BF$6, 4, FALSE)) *
IF(ISERROR(SEARCH("PHEV",$A195)), 1, HLOOKUP($AM195, $AY$2:$BF$6, 5, FALSE))</f>
        <v>0</v>
      </c>
      <c r="AQ195" s="3">
        <f t="shared" si="23"/>
        <v>0</v>
      </c>
      <c r="AR195" s="3">
        <f t="shared" si="24"/>
        <v>8.4589847913298275</v>
      </c>
      <c r="AS195" s="81">
        <f t="shared" si="25"/>
        <v>1</v>
      </c>
      <c r="AT195" s="81">
        <f t="shared" si="26"/>
        <v>0</v>
      </c>
    </row>
    <row r="196" spans="1:46" x14ac:dyDescent="0.25">
      <c r="A196" t="s">
        <v>808</v>
      </c>
      <c r="B196">
        <v>2025</v>
      </c>
      <c r="C196" t="s">
        <v>680</v>
      </c>
      <c r="D196" t="s">
        <v>829</v>
      </c>
      <c r="E196" t="s">
        <v>1028</v>
      </c>
      <c r="F196">
        <v>3</v>
      </c>
      <c r="G196" t="s">
        <v>1931</v>
      </c>
      <c r="H196" s="460">
        <v>3568.0245421368227</v>
      </c>
      <c r="I196">
        <v>1200</v>
      </c>
      <c r="J196">
        <v>119.99999997072871</v>
      </c>
      <c r="K196" s="67">
        <v>81.426000000000002</v>
      </c>
      <c r="L196" s="159">
        <v>0</v>
      </c>
      <c r="M196" s="159">
        <v>10733</v>
      </c>
      <c r="N196" s="159">
        <v>220</v>
      </c>
      <c r="O196" s="159">
        <v>0</v>
      </c>
      <c r="P196" s="159">
        <v>0</v>
      </c>
      <c r="Q196" s="159">
        <v>1500</v>
      </c>
      <c r="R196" s="159">
        <v>2000</v>
      </c>
      <c r="S196" s="159">
        <v>16103</v>
      </c>
      <c r="T196" s="159">
        <v>2943</v>
      </c>
      <c r="U196" s="159">
        <v>22799</v>
      </c>
      <c r="V196" s="159">
        <v>4500</v>
      </c>
      <c r="W196" s="159">
        <v>186</v>
      </c>
      <c r="X196" s="159">
        <v>0</v>
      </c>
      <c r="Y196" s="159">
        <v>1500</v>
      </c>
      <c r="Z196" s="159">
        <v>6856</v>
      </c>
      <c r="AA196" s="159">
        <v>0</v>
      </c>
      <c r="AB196" s="159">
        <v>0</v>
      </c>
      <c r="AC196" s="159">
        <v>0</v>
      </c>
      <c r="AD196" s="207">
        <v>69340</v>
      </c>
      <c r="AE196" s="200">
        <v>81.733813519010383</v>
      </c>
      <c r="AF196" s="200">
        <v>42.000210778928007</v>
      </c>
      <c r="AG196" s="200">
        <v>26.588554794123208</v>
      </c>
      <c r="AH196" s="200">
        <v>424</v>
      </c>
      <c r="AI196" s="200">
        <v>631</v>
      </c>
      <c r="AJ196" s="200">
        <v>815</v>
      </c>
      <c r="AL196" s="197">
        <f t="shared" si="27"/>
        <v>79488.998789902253</v>
      </c>
      <c r="AM196" s="197" t="str">
        <f t="shared" si="28"/>
        <v>Box Medium 4</v>
      </c>
      <c r="AN196" s="3">
        <f t="shared" si="29"/>
        <v>3.9787302986976538</v>
      </c>
      <c r="AO196" s="3">
        <f t="shared" si="30"/>
        <v>1.5357669826797067</v>
      </c>
      <c r="AP196" s="3">
        <f t="shared" si="31"/>
        <v>23.59165869238322</v>
      </c>
      <c r="AQ196" s="3">
        <f t="shared" ref="AQ196:AQ259" si="32">AP196*3.6/100</f>
        <v>0.84929971292579598</v>
      </c>
      <c r="AR196" s="3">
        <f t="shared" ref="AR196:AR259" si="33">AO196+AQ196</f>
        <v>2.3850666956055027</v>
      </c>
      <c r="AS196" s="81">
        <f t="shared" ref="AS196:AS259" si="34">AO196/AR196</f>
        <v>0.6439094493706885</v>
      </c>
      <c r="AT196" s="81">
        <f t="shared" ref="AT196:AT259" si="35">AQ196/AR196</f>
        <v>0.3560905506293115</v>
      </c>
    </row>
    <row r="197" spans="1:46" x14ac:dyDescent="0.25">
      <c r="A197" t="s">
        <v>808</v>
      </c>
      <c r="B197">
        <v>2025</v>
      </c>
      <c r="C197" t="s">
        <v>680</v>
      </c>
      <c r="D197" t="s">
        <v>829</v>
      </c>
      <c r="E197" t="s">
        <v>1028</v>
      </c>
      <c r="F197">
        <v>3</v>
      </c>
      <c r="G197" t="s">
        <v>1932</v>
      </c>
      <c r="H197" s="460">
        <v>3427.3454250725244</v>
      </c>
      <c r="I197">
        <v>1200</v>
      </c>
      <c r="J197">
        <v>119.99999997072871</v>
      </c>
      <c r="K197" s="67">
        <v>73.357875000000007</v>
      </c>
      <c r="L197" s="159">
        <v>0</v>
      </c>
      <c r="M197" s="159">
        <v>6731</v>
      </c>
      <c r="N197" s="159">
        <v>220</v>
      </c>
      <c r="O197" s="159">
        <v>0</v>
      </c>
      <c r="P197" s="159">
        <v>3556</v>
      </c>
      <c r="Q197" s="159">
        <v>1500</v>
      </c>
      <c r="R197" s="159">
        <v>2000</v>
      </c>
      <c r="S197" s="159">
        <v>16103</v>
      </c>
      <c r="T197" s="159">
        <v>2030</v>
      </c>
      <c r="U197" s="159">
        <v>20540</v>
      </c>
      <c r="V197" s="159">
        <v>4500</v>
      </c>
      <c r="W197" s="159">
        <v>186</v>
      </c>
      <c r="X197" s="159">
        <v>0</v>
      </c>
      <c r="Y197" s="159">
        <v>1500</v>
      </c>
      <c r="Z197" s="159">
        <v>5679</v>
      </c>
      <c r="AA197" s="159">
        <v>0</v>
      </c>
      <c r="AB197" s="159">
        <v>0</v>
      </c>
      <c r="AC197" s="159">
        <v>0</v>
      </c>
      <c r="AD197" s="207">
        <v>64545</v>
      </c>
      <c r="AE197" s="200">
        <v>25.712355168270335</v>
      </c>
      <c r="AF197" s="200">
        <v>20.609616846699986</v>
      </c>
      <c r="AG197" s="200">
        <v>16.437026573880736</v>
      </c>
      <c r="AH197" s="200">
        <v>428</v>
      </c>
      <c r="AI197" s="200">
        <v>521</v>
      </c>
      <c r="AJ197" s="200">
        <v>649</v>
      </c>
      <c r="AL197" s="197">
        <f t="shared" si="27"/>
        <v>73992.175178745907</v>
      </c>
      <c r="AM197" s="197" t="str">
        <f t="shared" si="28"/>
        <v>Box Medium 4</v>
      </c>
      <c r="AN197" s="3">
        <f t="shared" si="29"/>
        <v>6.7665580156477096</v>
      </c>
      <c r="AO197" s="3">
        <f t="shared" si="30"/>
        <v>2.6118524269463563</v>
      </c>
      <c r="AP197" s="3">
        <f t="shared" si="31"/>
        <v>19.119017733977905</v>
      </c>
      <c r="AQ197" s="3">
        <f t="shared" si="32"/>
        <v>0.68828463842320464</v>
      </c>
      <c r="AR197" s="3">
        <f t="shared" si="33"/>
        <v>3.3001370653695608</v>
      </c>
      <c r="AS197" s="81">
        <f t="shared" si="34"/>
        <v>0.79143756008021204</v>
      </c>
      <c r="AT197" s="81">
        <f t="shared" si="35"/>
        <v>0.20856243991978804</v>
      </c>
    </row>
    <row r="198" spans="1:46" x14ac:dyDescent="0.25">
      <c r="A198" t="s">
        <v>230</v>
      </c>
      <c r="B198">
        <v>2025</v>
      </c>
      <c r="C198" t="s">
        <v>680</v>
      </c>
      <c r="D198" t="s">
        <v>829</v>
      </c>
      <c r="E198" t="s">
        <v>1028</v>
      </c>
      <c r="F198">
        <v>3</v>
      </c>
      <c r="G198" t="s">
        <v>1933</v>
      </c>
      <c r="H198" s="460">
        <v>3276.0428539597633</v>
      </c>
      <c r="I198">
        <v>1200</v>
      </c>
      <c r="J198">
        <v>150.00000001001371</v>
      </c>
      <c r="K198" s="67">
        <v>106.7475</v>
      </c>
      <c r="L198" s="159">
        <v>0</v>
      </c>
      <c r="M198" s="159">
        <v>0</v>
      </c>
      <c r="N198" s="159">
        <v>0</v>
      </c>
      <c r="O198" s="159">
        <v>0</v>
      </c>
      <c r="P198" s="159">
        <v>0</v>
      </c>
      <c r="Q198" s="159">
        <v>1500</v>
      </c>
      <c r="R198" s="159">
        <v>2000</v>
      </c>
      <c r="S198" s="159">
        <v>16103</v>
      </c>
      <c r="T198" s="159">
        <v>0</v>
      </c>
      <c r="U198" s="159">
        <v>29889</v>
      </c>
      <c r="V198" s="159">
        <v>4500</v>
      </c>
      <c r="W198" s="159">
        <v>186</v>
      </c>
      <c r="X198" s="159">
        <v>0</v>
      </c>
      <c r="Y198" s="159">
        <v>1500</v>
      </c>
      <c r="Z198" s="159">
        <v>7047</v>
      </c>
      <c r="AA198" s="159">
        <v>0</v>
      </c>
      <c r="AB198" s="159">
        <v>0</v>
      </c>
      <c r="AC198" s="159">
        <v>0</v>
      </c>
      <c r="AD198" s="207">
        <v>62725</v>
      </c>
      <c r="AE198" s="200">
        <v>0</v>
      </c>
      <c r="AF198" s="200">
        <v>0</v>
      </c>
      <c r="AG198" s="200">
        <v>0</v>
      </c>
      <c r="AH198" s="200">
        <v>405</v>
      </c>
      <c r="AI198" s="200">
        <v>611</v>
      </c>
      <c r="AJ198" s="200">
        <v>789</v>
      </c>
      <c r="AL198" s="197">
        <f t="shared" si="27"/>
        <v>71905.789574511378</v>
      </c>
      <c r="AM198" s="197" t="str">
        <f t="shared" si="28"/>
        <v>Box Medium 4</v>
      </c>
      <c r="AN198" s="3">
        <f t="shared" si="29"/>
        <v>0</v>
      </c>
      <c r="AO198" s="3">
        <f t="shared" si="30"/>
        <v>0</v>
      </c>
      <c r="AP198" s="3">
        <f t="shared" si="31"/>
        <v>45.644798488821507</v>
      </c>
      <c r="AQ198" s="3">
        <f t="shared" si="32"/>
        <v>1.6432127455975742</v>
      </c>
      <c r="AR198" s="3">
        <f t="shared" si="33"/>
        <v>1.6432127455975742</v>
      </c>
      <c r="AS198" s="81">
        <f t="shared" si="34"/>
        <v>0</v>
      </c>
      <c r="AT198" s="81">
        <f t="shared" si="35"/>
        <v>1</v>
      </c>
    </row>
    <row r="199" spans="1:46" x14ac:dyDescent="0.25">
      <c r="A199" t="s">
        <v>496</v>
      </c>
      <c r="B199">
        <v>2025</v>
      </c>
      <c r="C199" t="s">
        <v>680</v>
      </c>
      <c r="D199" t="s">
        <v>829</v>
      </c>
      <c r="E199" t="s">
        <v>1028</v>
      </c>
      <c r="F199">
        <v>3</v>
      </c>
      <c r="G199" t="s">
        <v>1934</v>
      </c>
      <c r="H199" s="460">
        <v>3016.5278854740973</v>
      </c>
      <c r="I199">
        <v>1200</v>
      </c>
      <c r="J199">
        <v>150.00000001001371</v>
      </c>
      <c r="K199" s="67">
        <v>3.0888000000000004</v>
      </c>
      <c r="L199" s="159">
        <v>0</v>
      </c>
      <c r="M199" s="159">
        <v>0</v>
      </c>
      <c r="N199" s="159">
        <v>0</v>
      </c>
      <c r="O199" s="159">
        <v>0</v>
      </c>
      <c r="P199" s="159">
        <v>0</v>
      </c>
      <c r="Q199" s="159">
        <v>1500</v>
      </c>
      <c r="R199" s="159">
        <v>2000</v>
      </c>
      <c r="S199" s="159">
        <v>16103</v>
      </c>
      <c r="T199" s="159">
        <v>0</v>
      </c>
      <c r="U199" s="159">
        <v>1459</v>
      </c>
      <c r="V199" s="159">
        <v>4500</v>
      </c>
      <c r="W199" s="159">
        <v>186</v>
      </c>
      <c r="X199" s="159">
        <v>0</v>
      </c>
      <c r="Y199" s="159">
        <v>1500</v>
      </c>
      <c r="Z199" s="159">
        <v>6813</v>
      </c>
      <c r="AA199" s="159">
        <v>28226</v>
      </c>
      <c r="AB199" s="159">
        <v>4630</v>
      </c>
      <c r="AC199" s="159">
        <v>0</v>
      </c>
      <c r="AD199" s="207">
        <v>66917</v>
      </c>
      <c r="AE199" s="200">
        <v>46.580239774396411</v>
      </c>
      <c r="AF199" s="200">
        <v>38.070028257108831</v>
      </c>
      <c r="AG199" s="200">
        <v>29.180209916571879</v>
      </c>
      <c r="AH199" s="200">
        <v>0</v>
      </c>
      <c r="AI199" s="200">
        <v>0</v>
      </c>
      <c r="AJ199" s="200">
        <v>0</v>
      </c>
      <c r="AL199" s="197">
        <f t="shared" si="27"/>
        <v>76711.354658550466</v>
      </c>
      <c r="AM199" s="197" t="str">
        <f t="shared" si="28"/>
        <v>Box Medium 4</v>
      </c>
      <c r="AN199" s="3">
        <f t="shared" si="29"/>
        <v>7.5902594009391597</v>
      </c>
      <c r="AO199" s="3">
        <f t="shared" si="30"/>
        <v>2.9297964181568732</v>
      </c>
      <c r="AP199" s="3">
        <f t="shared" si="31"/>
        <v>0</v>
      </c>
      <c r="AQ199" s="3">
        <f t="shared" si="32"/>
        <v>0</v>
      </c>
      <c r="AR199" s="3">
        <f t="shared" si="33"/>
        <v>2.9297964181568732</v>
      </c>
      <c r="AS199" s="81">
        <f t="shared" si="34"/>
        <v>1</v>
      </c>
      <c r="AT199" s="81">
        <f t="shared" si="35"/>
        <v>0</v>
      </c>
    </row>
    <row r="200" spans="1:46" x14ac:dyDescent="0.25">
      <c r="A200" t="s">
        <v>828</v>
      </c>
      <c r="B200">
        <v>2025</v>
      </c>
      <c r="C200" t="s">
        <v>680</v>
      </c>
      <c r="D200" t="s">
        <v>829</v>
      </c>
      <c r="E200" t="s">
        <v>1028</v>
      </c>
      <c r="F200">
        <v>3</v>
      </c>
      <c r="G200" t="s">
        <v>1935</v>
      </c>
      <c r="H200" s="460">
        <v>2966.0647652117023</v>
      </c>
      <c r="I200">
        <v>1200</v>
      </c>
      <c r="J200">
        <v>150.00000001001371</v>
      </c>
      <c r="K200" s="67">
        <v>34.506750000000004</v>
      </c>
      <c r="L200" s="159">
        <v>0</v>
      </c>
      <c r="M200" s="159">
        <v>0</v>
      </c>
      <c r="N200" s="159">
        <v>0</v>
      </c>
      <c r="O200" s="159">
        <v>0</v>
      </c>
      <c r="P200" s="159">
        <v>0</v>
      </c>
      <c r="Q200" s="159">
        <v>1500</v>
      </c>
      <c r="R200" s="159">
        <v>2000</v>
      </c>
      <c r="S200" s="159">
        <v>16103</v>
      </c>
      <c r="T200" s="159">
        <v>0</v>
      </c>
      <c r="U200" s="159">
        <v>9662</v>
      </c>
      <c r="V200" s="159">
        <v>4500</v>
      </c>
      <c r="W200" s="159">
        <v>186</v>
      </c>
      <c r="X200" s="159">
        <v>0</v>
      </c>
      <c r="Y200" s="159">
        <v>1500</v>
      </c>
      <c r="Z200" s="159">
        <v>7682</v>
      </c>
      <c r="AA200" s="159">
        <v>7667</v>
      </c>
      <c r="AB200" s="159">
        <v>3201</v>
      </c>
      <c r="AC200" s="159">
        <v>0</v>
      </c>
      <c r="AD200" s="207">
        <v>54001</v>
      </c>
      <c r="AE200" s="200">
        <v>52.343274269764983</v>
      </c>
      <c r="AF200" s="200">
        <v>34.811900851801482</v>
      </c>
      <c r="AG200" s="200">
        <v>26.253409058388524</v>
      </c>
      <c r="AH200" s="200">
        <v>0</v>
      </c>
      <c r="AI200" s="200">
        <v>0</v>
      </c>
      <c r="AJ200" s="200">
        <v>0</v>
      </c>
      <c r="AL200" s="197">
        <f t="shared" si="27"/>
        <v>61904.895062784999</v>
      </c>
      <c r="AM200" s="197" t="str">
        <f t="shared" si="28"/>
        <v>Box Medium 4</v>
      </c>
      <c r="AN200" s="3">
        <f t="shared" si="29"/>
        <v>8.3146013480637055</v>
      </c>
      <c r="AO200" s="3">
        <f t="shared" si="30"/>
        <v>3.2093882384237387</v>
      </c>
      <c r="AP200" s="3">
        <f t="shared" si="31"/>
        <v>0</v>
      </c>
      <c r="AQ200" s="3">
        <f t="shared" si="32"/>
        <v>0</v>
      </c>
      <c r="AR200" s="3">
        <f t="shared" si="33"/>
        <v>3.2093882384237387</v>
      </c>
      <c r="AS200" s="81">
        <f t="shared" si="34"/>
        <v>1</v>
      </c>
      <c r="AT200" s="81">
        <f t="shared" si="35"/>
        <v>0</v>
      </c>
    </row>
    <row r="201" spans="1:46" x14ac:dyDescent="0.25">
      <c r="A201" t="s">
        <v>805</v>
      </c>
      <c r="B201">
        <v>2030</v>
      </c>
      <c r="C201" t="s">
        <v>680</v>
      </c>
      <c r="D201" t="s">
        <v>829</v>
      </c>
      <c r="E201" t="s">
        <v>1028</v>
      </c>
      <c r="F201">
        <v>3</v>
      </c>
      <c r="G201" t="s">
        <v>1936</v>
      </c>
      <c r="H201" s="460">
        <v>3379.550901624898</v>
      </c>
      <c r="I201">
        <v>1200</v>
      </c>
      <c r="J201">
        <v>0</v>
      </c>
      <c r="K201" s="67">
        <v>0</v>
      </c>
      <c r="L201" s="159">
        <v>150</v>
      </c>
      <c r="M201" s="159">
        <v>35122</v>
      </c>
      <c r="N201" s="159">
        <v>1920</v>
      </c>
      <c r="O201" s="159">
        <v>506</v>
      </c>
      <c r="P201" s="159">
        <v>7784</v>
      </c>
      <c r="Q201" s="159">
        <v>1500</v>
      </c>
      <c r="R201" s="159">
        <v>2000</v>
      </c>
      <c r="S201" s="159">
        <v>16219</v>
      </c>
      <c r="T201" s="159">
        <v>73</v>
      </c>
      <c r="U201" s="159">
        <v>120</v>
      </c>
      <c r="V201" s="159">
        <v>0</v>
      </c>
      <c r="W201" s="159">
        <v>186</v>
      </c>
      <c r="X201" s="159">
        <v>0</v>
      </c>
      <c r="Y201" s="159">
        <v>0</v>
      </c>
      <c r="Z201" s="159">
        <v>0</v>
      </c>
      <c r="AA201" s="159">
        <v>0</v>
      </c>
      <c r="AB201" s="159">
        <v>0</v>
      </c>
      <c r="AC201" s="159">
        <v>0</v>
      </c>
      <c r="AD201" s="207">
        <v>65580</v>
      </c>
      <c r="AE201" s="200">
        <v>11.240415865166018</v>
      </c>
      <c r="AF201" s="200">
        <v>19.966479372307361</v>
      </c>
      <c r="AG201" s="200">
        <v>17.619392506349339</v>
      </c>
      <c r="AH201" s="200">
        <v>0</v>
      </c>
      <c r="AI201" s="200">
        <v>0</v>
      </c>
      <c r="AJ201" s="200">
        <v>0</v>
      </c>
      <c r="AL201" s="197">
        <f t="shared" si="27"/>
        <v>75178.663695439711</v>
      </c>
      <c r="AM201" s="197" t="str">
        <f t="shared" si="28"/>
        <v>Box Medium 4</v>
      </c>
      <c r="AN201" s="3">
        <f t="shared" si="29"/>
        <v>13.966155473188252</v>
      </c>
      <c r="AO201" s="3">
        <f t="shared" si="30"/>
        <v>5.3908555846860873</v>
      </c>
      <c r="AP201" s="3">
        <f t="shared" si="31"/>
        <v>0</v>
      </c>
      <c r="AQ201" s="3">
        <f t="shared" si="32"/>
        <v>0</v>
      </c>
      <c r="AR201" s="3">
        <f t="shared" si="33"/>
        <v>5.3908555846860873</v>
      </c>
      <c r="AS201" s="81">
        <f t="shared" si="34"/>
        <v>1</v>
      </c>
      <c r="AT201" s="81">
        <f t="shared" si="35"/>
        <v>0</v>
      </c>
    </row>
    <row r="202" spans="1:46" x14ac:dyDescent="0.25">
      <c r="A202" t="s">
        <v>805</v>
      </c>
      <c r="B202">
        <v>2030</v>
      </c>
      <c r="C202" t="s">
        <v>680</v>
      </c>
      <c r="D202" t="s">
        <v>829</v>
      </c>
      <c r="E202" t="s">
        <v>1028</v>
      </c>
      <c r="F202">
        <v>3</v>
      </c>
      <c r="G202" t="s">
        <v>1937</v>
      </c>
      <c r="H202" s="460">
        <v>2898.1892543188924</v>
      </c>
      <c r="I202">
        <v>1200</v>
      </c>
      <c r="J202">
        <v>0</v>
      </c>
      <c r="K202" s="67">
        <v>0</v>
      </c>
      <c r="L202" s="159">
        <v>150</v>
      </c>
      <c r="M202" s="159">
        <v>33159</v>
      </c>
      <c r="N202" s="159">
        <v>1920</v>
      </c>
      <c r="O202" s="159">
        <v>506</v>
      </c>
      <c r="P202" s="159">
        <v>4657</v>
      </c>
      <c r="Q202" s="159">
        <v>1500</v>
      </c>
      <c r="R202" s="159">
        <v>2000</v>
      </c>
      <c r="S202" s="159">
        <v>16219</v>
      </c>
      <c r="T202" s="159">
        <v>73</v>
      </c>
      <c r="U202" s="159">
        <v>120</v>
      </c>
      <c r="V202" s="159">
        <v>0</v>
      </c>
      <c r="W202" s="159">
        <v>186</v>
      </c>
      <c r="X202" s="159">
        <v>0</v>
      </c>
      <c r="Y202" s="159">
        <v>0</v>
      </c>
      <c r="Z202" s="159">
        <v>0</v>
      </c>
      <c r="AA202" s="159">
        <v>0</v>
      </c>
      <c r="AB202" s="159">
        <v>0</v>
      </c>
      <c r="AC202" s="159">
        <v>0</v>
      </c>
      <c r="AD202" s="207">
        <v>60490</v>
      </c>
      <c r="AE202" s="200">
        <v>7.7093937940061448</v>
      </c>
      <c r="AF202" s="200">
        <v>13.96711559150568</v>
      </c>
      <c r="AG202" s="200">
        <v>14.19624255473413</v>
      </c>
      <c r="AH202" s="200">
        <v>0</v>
      </c>
      <c r="AI202" s="200">
        <v>0</v>
      </c>
      <c r="AJ202" s="200">
        <v>0</v>
      </c>
      <c r="AL202" s="197">
        <f t="shared" si="27"/>
        <v>69343.662197882717</v>
      </c>
      <c r="AM202" s="197" t="str">
        <f t="shared" si="28"/>
        <v>Box Medium 4</v>
      </c>
      <c r="AN202" s="3">
        <f t="shared" si="29"/>
        <v>17.987428660878052</v>
      </c>
      <c r="AO202" s="3">
        <f t="shared" si="30"/>
        <v>6.9430438775217844</v>
      </c>
      <c r="AP202" s="3">
        <f t="shared" si="31"/>
        <v>0</v>
      </c>
      <c r="AQ202" s="3">
        <f t="shared" si="32"/>
        <v>0</v>
      </c>
      <c r="AR202" s="3">
        <f t="shared" si="33"/>
        <v>6.9430438775217844</v>
      </c>
      <c r="AS202" s="81">
        <f t="shared" si="34"/>
        <v>1</v>
      </c>
      <c r="AT202" s="81">
        <f t="shared" si="35"/>
        <v>0</v>
      </c>
    </row>
    <row r="203" spans="1:46" x14ac:dyDescent="0.25">
      <c r="A203" t="s">
        <v>807</v>
      </c>
      <c r="B203">
        <v>2030</v>
      </c>
      <c r="C203" t="s">
        <v>680</v>
      </c>
      <c r="D203" t="s">
        <v>829</v>
      </c>
      <c r="E203" t="s">
        <v>1028</v>
      </c>
      <c r="F203">
        <v>3</v>
      </c>
      <c r="G203" t="s">
        <v>1938</v>
      </c>
      <c r="H203" s="460">
        <v>3056.857461757787</v>
      </c>
      <c r="I203">
        <v>1200</v>
      </c>
      <c r="J203">
        <v>0</v>
      </c>
      <c r="K203" s="67">
        <v>2.5660800000000004</v>
      </c>
      <c r="L203" s="159">
        <v>150</v>
      </c>
      <c r="M203" s="159">
        <v>16677</v>
      </c>
      <c r="N203" s="159">
        <v>220</v>
      </c>
      <c r="O203" s="159">
        <v>392</v>
      </c>
      <c r="P203" s="159">
        <v>4704</v>
      </c>
      <c r="Q203" s="159">
        <v>1500</v>
      </c>
      <c r="R203" s="159">
        <v>2000</v>
      </c>
      <c r="S203" s="159">
        <v>16219</v>
      </c>
      <c r="T203" s="159">
        <v>0</v>
      </c>
      <c r="U203" s="159">
        <v>921</v>
      </c>
      <c r="V203" s="159">
        <v>4500</v>
      </c>
      <c r="W203" s="159">
        <v>186</v>
      </c>
      <c r="X203" s="159">
        <v>120</v>
      </c>
      <c r="Y203" s="159">
        <v>1500</v>
      </c>
      <c r="Z203" s="159">
        <v>1539</v>
      </c>
      <c r="AA203" s="159">
        <v>0</v>
      </c>
      <c r="AB203" s="159">
        <v>0</v>
      </c>
      <c r="AC203" s="159">
        <v>0</v>
      </c>
      <c r="AD203" s="207">
        <v>50628</v>
      </c>
      <c r="AE203" s="200">
        <v>27.519582497492138</v>
      </c>
      <c r="AF203" s="200">
        <v>30.042835338901437</v>
      </c>
      <c r="AG203" s="200">
        <v>23.790448966170771</v>
      </c>
      <c r="AH203" s="200">
        <v>0</v>
      </c>
      <c r="AI203" s="200">
        <v>0</v>
      </c>
      <c r="AJ203" s="200">
        <v>0</v>
      </c>
      <c r="AL203" s="197">
        <f t="shared" si="27"/>
        <v>58038.203500651449</v>
      </c>
      <c r="AM203" s="197" t="str">
        <f t="shared" si="28"/>
        <v>Box Medium 4</v>
      </c>
      <c r="AN203" s="3">
        <f t="shared" si="29"/>
        <v>9.5677925721104202</v>
      </c>
      <c r="AO203" s="3">
        <f t="shared" si="30"/>
        <v>3.6931128340579007</v>
      </c>
      <c r="AP203" s="3">
        <f t="shared" si="31"/>
        <v>0</v>
      </c>
      <c r="AQ203" s="3">
        <f t="shared" si="32"/>
        <v>0</v>
      </c>
      <c r="AR203" s="3">
        <f t="shared" si="33"/>
        <v>3.6931128340579007</v>
      </c>
      <c r="AS203" s="81">
        <f t="shared" si="34"/>
        <v>1</v>
      </c>
      <c r="AT203" s="81">
        <f t="shared" si="35"/>
        <v>0</v>
      </c>
    </row>
    <row r="204" spans="1:46" x14ac:dyDescent="0.25">
      <c r="A204" t="s">
        <v>807</v>
      </c>
      <c r="B204">
        <v>2030</v>
      </c>
      <c r="C204" t="s">
        <v>680</v>
      </c>
      <c r="D204" t="s">
        <v>829</v>
      </c>
      <c r="E204" t="s">
        <v>1028</v>
      </c>
      <c r="F204">
        <v>3</v>
      </c>
      <c r="G204" t="s">
        <v>1939</v>
      </c>
      <c r="H204" s="460">
        <v>2834.4750043305785</v>
      </c>
      <c r="I204">
        <v>1200</v>
      </c>
      <c r="J204">
        <v>0</v>
      </c>
      <c r="K204" s="67">
        <v>2.2968000000000002</v>
      </c>
      <c r="L204" s="159">
        <v>150</v>
      </c>
      <c r="M204" s="159">
        <v>16131</v>
      </c>
      <c r="N204" s="159">
        <v>220</v>
      </c>
      <c r="O204" s="159">
        <v>392</v>
      </c>
      <c r="P204" s="159">
        <v>3013</v>
      </c>
      <c r="Q204" s="159">
        <v>1500</v>
      </c>
      <c r="R204" s="159">
        <v>2000</v>
      </c>
      <c r="S204" s="159">
        <v>16219</v>
      </c>
      <c r="T204" s="159">
        <v>0</v>
      </c>
      <c r="U204" s="159">
        <v>825</v>
      </c>
      <c r="V204" s="159">
        <v>4500</v>
      </c>
      <c r="W204" s="159">
        <v>186</v>
      </c>
      <c r="X204" s="159">
        <v>120</v>
      </c>
      <c r="Y204" s="159">
        <v>1500</v>
      </c>
      <c r="Z204" s="159">
        <v>1666</v>
      </c>
      <c r="AA204" s="159">
        <v>0</v>
      </c>
      <c r="AB204" s="159">
        <v>0</v>
      </c>
      <c r="AC204" s="159">
        <v>0</v>
      </c>
      <c r="AD204" s="207">
        <v>48422</v>
      </c>
      <c r="AE204" s="200">
        <v>11.272175399040139</v>
      </c>
      <c r="AF204" s="200">
        <v>21.922612314783144</v>
      </c>
      <c r="AG204" s="200">
        <v>10.062489239023169</v>
      </c>
      <c r="AH204" s="200">
        <v>0</v>
      </c>
      <c r="AI204" s="200">
        <v>0</v>
      </c>
      <c r="AJ204" s="200">
        <v>0</v>
      </c>
      <c r="AL204" s="197">
        <f t="shared" si="27"/>
        <v>55509.320729804545</v>
      </c>
      <c r="AM204" s="197" t="str">
        <f t="shared" si="28"/>
        <v>Box Medium 4</v>
      </c>
      <c r="AN204" s="3">
        <f t="shared" si="29"/>
        <v>21.986435185502938</v>
      </c>
      <c r="AO204" s="3">
        <f t="shared" si="30"/>
        <v>8.4866373666431532</v>
      </c>
      <c r="AP204" s="3">
        <f t="shared" si="31"/>
        <v>0</v>
      </c>
      <c r="AQ204" s="3">
        <f t="shared" si="32"/>
        <v>0</v>
      </c>
      <c r="AR204" s="3">
        <f t="shared" si="33"/>
        <v>8.4866373666431532</v>
      </c>
      <c r="AS204" s="81">
        <f t="shared" si="34"/>
        <v>1</v>
      </c>
      <c r="AT204" s="81">
        <f t="shared" si="35"/>
        <v>0</v>
      </c>
    </row>
    <row r="205" spans="1:46" x14ac:dyDescent="0.25">
      <c r="A205" t="s">
        <v>808</v>
      </c>
      <c r="B205">
        <v>2030</v>
      </c>
      <c r="C205" t="s">
        <v>680</v>
      </c>
      <c r="D205" t="s">
        <v>829</v>
      </c>
      <c r="E205" t="s">
        <v>1028</v>
      </c>
      <c r="F205">
        <v>3</v>
      </c>
      <c r="G205" t="s">
        <v>1940</v>
      </c>
      <c r="H205" s="460">
        <v>3351.2753056623342</v>
      </c>
      <c r="I205">
        <v>1200</v>
      </c>
      <c r="J205">
        <v>119.99999997072871</v>
      </c>
      <c r="K205" s="67">
        <v>76.957499999999996</v>
      </c>
      <c r="L205" s="159">
        <v>0</v>
      </c>
      <c r="M205" s="159">
        <v>10692</v>
      </c>
      <c r="N205" s="159">
        <v>220</v>
      </c>
      <c r="O205" s="159">
        <v>0</v>
      </c>
      <c r="P205" s="159">
        <v>0</v>
      </c>
      <c r="Q205" s="159">
        <v>1500</v>
      </c>
      <c r="R205" s="159">
        <v>2000</v>
      </c>
      <c r="S205" s="159">
        <v>16219</v>
      </c>
      <c r="T205" s="159">
        <v>2165</v>
      </c>
      <c r="U205" s="159">
        <v>15392</v>
      </c>
      <c r="V205" s="159">
        <v>4500</v>
      </c>
      <c r="W205" s="159">
        <v>186</v>
      </c>
      <c r="X205" s="159">
        <v>0</v>
      </c>
      <c r="Y205" s="159">
        <v>1500</v>
      </c>
      <c r="Z205" s="159">
        <v>5415</v>
      </c>
      <c r="AA205" s="159">
        <v>0</v>
      </c>
      <c r="AB205" s="159">
        <v>0</v>
      </c>
      <c r="AC205" s="159">
        <v>0</v>
      </c>
      <c r="AD205" s="207">
        <v>59789</v>
      </c>
      <c r="AE205" s="200">
        <v>87.521500463011094</v>
      </c>
      <c r="AF205" s="200">
        <v>47.164489955980571</v>
      </c>
      <c r="AG205" s="200">
        <v>29.840691339295546</v>
      </c>
      <c r="AH205" s="200">
        <v>396</v>
      </c>
      <c r="AI205" s="200">
        <v>583</v>
      </c>
      <c r="AJ205" s="200">
        <v>754</v>
      </c>
      <c r="AL205" s="197">
        <f t="shared" si="27"/>
        <v>68540.059830537444</v>
      </c>
      <c r="AM205" s="197" t="str">
        <f t="shared" si="28"/>
        <v>Box Medium 4</v>
      </c>
      <c r="AN205" s="3">
        <f t="shared" si="29"/>
        <v>3.5511526062208363</v>
      </c>
      <c r="AO205" s="3">
        <f t="shared" si="30"/>
        <v>1.3707244557079195</v>
      </c>
      <c r="AP205" s="3">
        <f t="shared" si="31"/>
        <v>21.835348652242537</v>
      </c>
      <c r="AQ205" s="3">
        <f t="shared" si="32"/>
        <v>0.78607255148073141</v>
      </c>
      <c r="AR205" s="3">
        <f t="shared" si="33"/>
        <v>2.1567970071886506</v>
      </c>
      <c r="AS205" s="81">
        <f t="shared" si="34"/>
        <v>0.63553707239914814</v>
      </c>
      <c r="AT205" s="81">
        <f t="shared" si="35"/>
        <v>0.36446292760085197</v>
      </c>
    </row>
    <row r="206" spans="1:46" x14ac:dyDescent="0.25">
      <c r="A206" t="s">
        <v>808</v>
      </c>
      <c r="B206">
        <v>2030</v>
      </c>
      <c r="C206" t="s">
        <v>680</v>
      </c>
      <c r="D206" t="s">
        <v>829</v>
      </c>
      <c r="E206" t="s">
        <v>1028</v>
      </c>
      <c r="F206">
        <v>3</v>
      </c>
      <c r="G206" t="s">
        <v>1941</v>
      </c>
      <c r="H206" s="460">
        <v>3239.7589910865336</v>
      </c>
      <c r="I206">
        <v>1200</v>
      </c>
      <c r="J206">
        <v>119.99999997072871</v>
      </c>
      <c r="K206" s="67">
        <v>68.889375000000001</v>
      </c>
      <c r="L206" s="159">
        <v>0</v>
      </c>
      <c r="M206" s="159">
        <v>6922</v>
      </c>
      <c r="N206" s="159">
        <v>220</v>
      </c>
      <c r="O206" s="159">
        <v>0</v>
      </c>
      <c r="P206" s="159">
        <v>3528</v>
      </c>
      <c r="Q206" s="159">
        <v>1500</v>
      </c>
      <c r="R206" s="159">
        <v>2000</v>
      </c>
      <c r="S206" s="159">
        <v>16219</v>
      </c>
      <c r="T206" s="159">
        <v>1483</v>
      </c>
      <c r="U206" s="159">
        <v>13778</v>
      </c>
      <c r="V206" s="159">
        <v>4500</v>
      </c>
      <c r="W206" s="159">
        <v>186</v>
      </c>
      <c r="X206" s="159">
        <v>0</v>
      </c>
      <c r="Y206" s="159">
        <v>1500</v>
      </c>
      <c r="Z206" s="159">
        <v>4467</v>
      </c>
      <c r="AA206" s="159">
        <v>0</v>
      </c>
      <c r="AB206" s="159">
        <v>0</v>
      </c>
      <c r="AC206" s="159">
        <v>0</v>
      </c>
      <c r="AD206" s="207">
        <v>56303</v>
      </c>
      <c r="AE206" s="200">
        <v>28.861532320559881</v>
      </c>
      <c r="AF206" s="200">
        <v>23.359129975954065</v>
      </c>
      <c r="AG206" s="200">
        <v>18.811653296208291</v>
      </c>
      <c r="AH206" s="200">
        <v>403</v>
      </c>
      <c r="AI206" s="200">
        <v>481</v>
      </c>
      <c r="AJ206" s="200">
        <v>599</v>
      </c>
      <c r="AL206" s="197">
        <f t="shared" si="27"/>
        <v>64543.828942426691</v>
      </c>
      <c r="AM206" s="197" t="str">
        <f t="shared" si="28"/>
        <v>Box Medium 4</v>
      </c>
      <c r="AN206" s="3">
        <f t="shared" si="29"/>
        <v>5.9246124283372037</v>
      </c>
      <c r="AO206" s="3">
        <f t="shared" si="30"/>
        <v>2.2868662788207605</v>
      </c>
      <c r="AP206" s="3">
        <f t="shared" si="31"/>
        <v>17.671219257583857</v>
      </c>
      <c r="AQ206" s="3">
        <f t="shared" si="32"/>
        <v>0.63616389327301892</v>
      </c>
      <c r="AR206" s="3">
        <f t="shared" si="33"/>
        <v>2.9230301720937795</v>
      </c>
      <c r="AS206" s="81">
        <f t="shared" si="34"/>
        <v>0.78236150302296337</v>
      </c>
      <c r="AT206" s="81">
        <f t="shared" si="35"/>
        <v>0.21763849697703663</v>
      </c>
    </row>
    <row r="207" spans="1:46" x14ac:dyDescent="0.25">
      <c r="A207" t="s">
        <v>230</v>
      </c>
      <c r="B207">
        <v>2030</v>
      </c>
      <c r="C207" t="s">
        <v>680</v>
      </c>
      <c r="D207" t="s">
        <v>829</v>
      </c>
      <c r="E207" t="s">
        <v>1028</v>
      </c>
      <c r="F207">
        <v>3</v>
      </c>
      <c r="G207" t="s">
        <v>1942</v>
      </c>
      <c r="H207" s="460">
        <v>3041.4295098752355</v>
      </c>
      <c r="I207">
        <v>1200</v>
      </c>
      <c r="J207">
        <v>150.00000001001371</v>
      </c>
      <c r="K207" s="67">
        <v>100.54125000000001</v>
      </c>
      <c r="L207" s="159">
        <v>0</v>
      </c>
      <c r="M207" s="159">
        <v>0</v>
      </c>
      <c r="N207" s="159">
        <v>0</v>
      </c>
      <c r="O207" s="159">
        <v>0</v>
      </c>
      <c r="P207" s="159">
        <v>0</v>
      </c>
      <c r="Q207" s="159">
        <v>1500</v>
      </c>
      <c r="R207" s="159">
        <v>2000</v>
      </c>
      <c r="S207" s="159">
        <v>16219</v>
      </c>
      <c r="T207" s="159">
        <v>0</v>
      </c>
      <c r="U207" s="159">
        <v>20108</v>
      </c>
      <c r="V207" s="159">
        <v>4500</v>
      </c>
      <c r="W207" s="159">
        <v>186</v>
      </c>
      <c r="X207" s="159">
        <v>0</v>
      </c>
      <c r="Y207" s="159">
        <v>1500</v>
      </c>
      <c r="Z207" s="159">
        <v>5559</v>
      </c>
      <c r="AA207" s="159">
        <v>0</v>
      </c>
      <c r="AB207" s="159">
        <v>0</v>
      </c>
      <c r="AC207" s="159">
        <v>0</v>
      </c>
      <c r="AD207" s="207">
        <v>51572</v>
      </c>
      <c r="AE207" s="200">
        <v>0</v>
      </c>
      <c r="AF207" s="200">
        <v>0</v>
      </c>
      <c r="AG207" s="200">
        <v>0</v>
      </c>
      <c r="AH207" s="200">
        <v>377</v>
      </c>
      <c r="AI207" s="200">
        <v>563</v>
      </c>
      <c r="AJ207" s="200">
        <v>728</v>
      </c>
      <c r="AL207" s="197">
        <f t="shared" si="27"/>
        <v>59120.372737133534</v>
      </c>
      <c r="AM207" s="197" t="str">
        <f t="shared" si="28"/>
        <v>Box Medium 4</v>
      </c>
      <c r="AN207" s="3">
        <f t="shared" si="29"/>
        <v>0</v>
      </c>
      <c r="AO207" s="3">
        <f t="shared" si="30"/>
        <v>0</v>
      </c>
      <c r="AP207" s="3">
        <f t="shared" si="31"/>
        <v>42.132178408540149</v>
      </c>
      <c r="AQ207" s="3">
        <f t="shared" si="32"/>
        <v>1.5167584227074453</v>
      </c>
      <c r="AR207" s="3">
        <f t="shared" si="33"/>
        <v>1.5167584227074453</v>
      </c>
      <c r="AS207" s="81">
        <f t="shared" si="34"/>
        <v>0</v>
      </c>
      <c r="AT207" s="81">
        <f t="shared" si="35"/>
        <v>1</v>
      </c>
    </row>
    <row r="208" spans="1:46" x14ac:dyDescent="0.25">
      <c r="A208" t="s">
        <v>496</v>
      </c>
      <c r="B208">
        <v>2030</v>
      </c>
      <c r="C208" t="s">
        <v>680</v>
      </c>
      <c r="D208" t="s">
        <v>829</v>
      </c>
      <c r="E208" t="s">
        <v>1028</v>
      </c>
      <c r="F208">
        <v>3</v>
      </c>
      <c r="G208" t="s">
        <v>1943</v>
      </c>
      <c r="H208" s="460">
        <v>2860.5746979419205</v>
      </c>
      <c r="I208">
        <v>1200</v>
      </c>
      <c r="J208">
        <v>150.00000001001371</v>
      </c>
      <c r="K208" s="67">
        <v>3.1046400000000003</v>
      </c>
      <c r="L208" s="159">
        <v>0</v>
      </c>
      <c r="M208" s="159">
        <v>0</v>
      </c>
      <c r="N208" s="159">
        <v>0</v>
      </c>
      <c r="O208" s="159">
        <v>0</v>
      </c>
      <c r="P208" s="159">
        <v>0</v>
      </c>
      <c r="Q208" s="159">
        <v>1500</v>
      </c>
      <c r="R208" s="159">
        <v>2000</v>
      </c>
      <c r="S208" s="159">
        <v>16219</v>
      </c>
      <c r="T208" s="159">
        <v>0</v>
      </c>
      <c r="U208" s="159">
        <v>1115</v>
      </c>
      <c r="V208" s="159">
        <v>4500</v>
      </c>
      <c r="W208" s="159">
        <v>186</v>
      </c>
      <c r="X208" s="159">
        <v>0</v>
      </c>
      <c r="Y208" s="159">
        <v>1500</v>
      </c>
      <c r="Z208" s="159">
        <v>5374</v>
      </c>
      <c r="AA208" s="159">
        <v>24368</v>
      </c>
      <c r="AB208" s="159">
        <v>3759</v>
      </c>
      <c r="AC208" s="159">
        <v>0</v>
      </c>
      <c r="AD208" s="207">
        <v>60521</v>
      </c>
      <c r="AE208" s="200">
        <v>49.665943070702987</v>
      </c>
      <c r="AF208" s="200">
        <v>41.812015271089088</v>
      </c>
      <c r="AG208" s="200">
        <v>32.078118874124371</v>
      </c>
      <c r="AH208" s="200">
        <v>0</v>
      </c>
      <c r="AI208" s="200">
        <v>0</v>
      </c>
      <c r="AJ208" s="200">
        <v>0</v>
      </c>
      <c r="AL208" s="197">
        <f t="shared" si="27"/>
        <v>69379.199535097694</v>
      </c>
      <c r="AM208" s="197" t="str">
        <f t="shared" si="28"/>
        <v>Box Medium 4</v>
      </c>
      <c r="AN208" s="3">
        <f t="shared" si="29"/>
        <v>6.91927628610068</v>
      </c>
      <c r="AO208" s="3">
        <f t="shared" si="30"/>
        <v>2.6708007998708521</v>
      </c>
      <c r="AP208" s="3">
        <f t="shared" si="31"/>
        <v>0</v>
      </c>
      <c r="AQ208" s="3">
        <f t="shared" si="32"/>
        <v>0</v>
      </c>
      <c r="AR208" s="3">
        <f t="shared" si="33"/>
        <v>2.6708007998708521</v>
      </c>
      <c r="AS208" s="81">
        <f t="shared" si="34"/>
        <v>1</v>
      </c>
      <c r="AT208" s="81">
        <f t="shared" si="35"/>
        <v>0</v>
      </c>
    </row>
    <row r="209" spans="1:46" x14ac:dyDescent="0.25">
      <c r="A209" t="s">
        <v>828</v>
      </c>
      <c r="B209">
        <v>2030</v>
      </c>
      <c r="C209" t="s">
        <v>680</v>
      </c>
      <c r="D209" t="s">
        <v>829</v>
      </c>
      <c r="E209" t="s">
        <v>1028</v>
      </c>
      <c r="F209">
        <v>3</v>
      </c>
      <c r="G209" t="s">
        <v>1944</v>
      </c>
      <c r="H209" s="460">
        <v>2792.6352262501837</v>
      </c>
      <c r="I209">
        <v>1200</v>
      </c>
      <c r="J209">
        <v>150.00000001001371</v>
      </c>
      <c r="K209" s="67">
        <v>33.762</v>
      </c>
      <c r="L209" s="159">
        <v>0</v>
      </c>
      <c r="M209" s="159">
        <v>0</v>
      </c>
      <c r="N209" s="159">
        <v>0</v>
      </c>
      <c r="O209" s="159">
        <v>0</v>
      </c>
      <c r="P209" s="159">
        <v>0</v>
      </c>
      <c r="Q209" s="159">
        <v>1500</v>
      </c>
      <c r="R209" s="159">
        <v>2000</v>
      </c>
      <c r="S209" s="159">
        <v>16219</v>
      </c>
      <c r="T209" s="159">
        <v>0</v>
      </c>
      <c r="U209" s="159">
        <v>6752</v>
      </c>
      <c r="V209" s="159">
        <v>4500</v>
      </c>
      <c r="W209" s="159">
        <v>186</v>
      </c>
      <c r="X209" s="159">
        <v>0</v>
      </c>
      <c r="Y209" s="159">
        <v>1500</v>
      </c>
      <c r="Z209" s="159">
        <v>6002</v>
      </c>
      <c r="AA209" s="159">
        <v>6625</v>
      </c>
      <c r="AB209" s="159">
        <v>2561</v>
      </c>
      <c r="AC209" s="159">
        <v>0</v>
      </c>
      <c r="AD209" s="207">
        <v>47845</v>
      </c>
      <c r="AE209" s="200">
        <v>56.545185681985657</v>
      </c>
      <c r="AF209" s="200">
        <v>38.531150191501865</v>
      </c>
      <c r="AG209" s="200">
        <v>28.921117862195533</v>
      </c>
      <c r="AH209" s="200">
        <v>0</v>
      </c>
      <c r="AI209" s="200">
        <v>0</v>
      </c>
      <c r="AJ209" s="200">
        <v>0</v>
      </c>
      <c r="AL209" s="197">
        <f t="shared" si="27"/>
        <v>54847.867711319202</v>
      </c>
      <c r="AM209" s="197" t="str">
        <f t="shared" si="28"/>
        <v>Box Medium 4</v>
      </c>
      <c r="AN209" s="3">
        <f t="shared" si="29"/>
        <v>7.5531069624099114</v>
      </c>
      <c r="AO209" s="3">
        <f t="shared" si="30"/>
        <v>2.9154557908371643</v>
      </c>
      <c r="AP209" s="3">
        <f t="shared" si="31"/>
        <v>0</v>
      </c>
      <c r="AQ209" s="3">
        <f t="shared" si="32"/>
        <v>0</v>
      </c>
      <c r="AR209" s="3">
        <f t="shared" si="33"/>
        <v>2.9154557908371643</v>
      </c>
      <c r="AS209" s="81">
        <f t="shared" si="34"/>
        <v>1</v>
      </c>
      <c r="AT209" s="81">
        <f t="shared" si="35"/>
        <v>0</v>
      </c>
    </row>
    <row r="210" spans="1:46" x14ac:dyDescent="0.25">
      <c r="A210" t="s">
        <v>805</v>
      </c>
      <c r="B210">
        <v>2035</v>
      </c>
      <c r="C210" t="s">
        <v>680</v>
      </c>
      <c r="D210" t="s">
        <v>829</v>
      </c>
      <c r="E210" t="s">
        <v>1028</v>
      </c>
      <c r="F210">
        <v>3</v>
      </c>
      <c r="G210" t="s">
        <v>1945</v>
      </c>
      <c r="H210" s="460">
        <v>3375.5155515513907</v>
      </c>
      <c r="I210">
        <v>1200</v>
      </c>
      <c r="J210">
        <v>0</v>
      </c>
      <c r="K210" s="67">
        <v>0</v>
      </c>
      <c r="L210" s="159">
        <v>150</v>
      </c>
      <c r="M210" s="159">
        <v>34900</v>
      </c>
      <c r="N210" s="159">
        <v>1920</v>
      </c>
      <c r="O210" s="159">
        <v>506</v>
      </c>
      <c r="P210" s="159">
        <v>7748</v>
      </c>
      <c r="Q210" s="159">
        <v>1500</v>
      </c>
      <c r="R210" s="159">
        <v>2000</v>
      </c>
      <c r="S210" s="159">
        <v>16219</v>
      </c>
      <c r="T210" s="159">
        <v>63</v>
      </c>
      <c r="U210" s="159">
        <v>120</v>
      </c>
      <c r="V210" s="159">
        <v>0</v>
      </c>
      <c r="W210" s="159">
        <v>186</v>
      </c>
      <c r="X210" s="159">
        <v>0</v>
      </c>
      <c r="Y210" s="159">
        <v>0</v>
      </c>
      <c r="Z210" s="159">
        <v>0</v>
      </c>
      <c r="AA210" s="159">
        <v>0</v>
      </c>
      <c r="AB210" s="159">
        <v>0</v>
      </c>
      <c r="AC210" s="159">
        <v>0</v>
      </c>
      <c r="AD210" s="207">
        <v>65312</v>
      </c>
      <c r="AE210" s="200">
        <v>11.69384712845936</v>
      </c>
      <c r="AF210" s="200">
        <v>21.2678171027374</v>
      </c>
      <c r="AG210" s="200">
        <v>18.883978669795571</v>
      </c>
      <c r="AH210" s="200">
        <v>0</v>
      </c>
      <c r="AI210" s="200">
        <v>0</v>
      </c>
      <c r="AJ210" s="200">
        <v>0</v>
      </c>
      <c r="AL210" s="197">
        <f t="shared" si="27"/>
        <v>74871.437683387601</v>
      </c>
      <c r="AM210" s="197" t="str">
        <f t="shared" si="28"/>
        <v>Box Medium 4</v>
      </c>
      <c r="AN210" s="3">
        <f t="shared" si="29"/>
        <v>13.096014541982514</v>
      </c>
      <c r="AO210" s="3">
        <f t="shared" si="30"/>
        <v>5.0549861961876097</v>
      </c>
      <c r="AP210" s="3">
        <f t="shared" si="31"/>
        <v>0</v>
      </c>
      <c r="AQ210" s="3">
        <f t="shared" si="32"/>
        <v>0</v>
      </c>
      <c r="AR210" s="3">
        <f t="shared" si="33"/>
        <v>5.0549861961876097</v>
      </c>
      <c r="AS210" s="81">
        <f t="shared" si="34"/>
        <v>1</v>
      </c>
      <c r="AT210" s="81">
        <f t="shared" si="35"/>
        <v>0</v>
      </c>
    </row>
    <row r="211" spans="1:46" x14ac:dyDescent="0.25">
      <c r="A211" t="s">
        <v>805</v>
      </c>
      <c r="B211">
        <v>2035</v>
      </c>
      <c r="C211" t="s">
        <v>680</v>
      </c>
      <c r="D211" t="s">
        <v>829</v>
      </c>
      <c r="E211" t="s">
        <v>1028</v>
      </c>
      <c r="F211">
        <v>3</v>
      </c>
      <c r="G211" t="s">
        <v>1946</v>
      </c>
      <c r="H211" s="460">
        <v>2897.3357212884466</v>
      </c>
      <c r="I211">
        <v>1200</v>
      </c>
      <c r="J211">
        <v>0</v>
      </c>
      <c r="K211" s="67">
        <v>0</v>
      </c>
      <c r="L211" s="159">
        <v>150</v>
      </c>
      <c r="M211" s="159">
        <v>33511</v>
      </c>
      <c r="N211" s="159">
        <v>1920</v>
      </c>
      <c r="O211" s="159">
        <v>506</v>
      </c>
      <c r="P211" s="159">
        <v>4645</v>
      </c>
      <c r="Q211" s="159">
        <v>1500</v>
      </c>
      <c r="R211" s="159">
        <v>2000</v>
      </c>
      <c r="S211" s="159">
        <v>16219</v>
      </c>
      <c r="T211" s="159">
        <v>63</v>
      </c>
      <c r="U211" s="159">
        <v>120</v>
      </c>
      <c r="V211" s="159">
        <v>0</v>
      </c>
      <c r="W211" s="159">
        <v>186</v>
      </c>
      <c r="X211" s="159">
        <v>0</v>
      </c>
      <c r="Y211" s="159">
        <v>0</v>
      </c>
      <c r="Z211" s="159">
        <v>0</v>
      </c>
      <c r="AA211" s="159">
        <v>0</v>
      </c>
      <c r="AB211" s="159">
        <v>0</v>
      </c>
      <c r="AC211" s="159">
        <v>0</v>
      </c>
      <c r="AD211" s="207">
        <v>60820</v>
      </c>
      <c r="AE211" s="200">
        <v>8.1771636247225707</v>
      </c>
      <c r="AF211" s="200">
        <v>15.020574105505952</v>
      </c>
      <c r="AG211" s="200">
        <v>15.413948318008684</v>
      </c>
      <c r="AH211" s="200">
        <v>0</v>
      </c>
      <c r="AI211" s="200">
        <v>0</v>
      </c>
      <c r="AJ211" s="200">
        <v>0</v>
      </c>
      <c r="AL211" s="197">
        <f t="shared" si="27"/>
        <v>69721.962884364795</v>
      </c>
      <c r="AM211" s="197" t="str">
        <f t="shared" si="28"/>
        <v>Box Medium 4</v>
      </c>
      <c r="AN211" s="3">
        <f t="shared" si="29"/>
        <v>16.64635447301491</v>
      </c>
      <c r="AO211" s="3">
        <f t="shared" si="30"/>
        <v>6.4253969639528066</v>
      </c>
      <c r="AP211" s="3">
        <f t="shared" si="31"/>
        <v>0</v>
      </c>
      <c r="AQ211" s="3">
        <f t="shared" si="32"/>
        <v>0</v>
      </c>
      <c r="AR211" s="3">
        <f t="shared" si="33"/>
        <v>6.4253969639528066</v>
      </c>
      <c r="AS211" s="81">
        <f t="shared" si="34"/>
        <v>1</v>
      </c>
      <c r="AT211" s="81">
        <f t="shared" si="35"/>
        <v>0</v>
      </c>
    </row>
    <row r="212" spans="1:46" x14ac:dyDescent="0.25">
      <c r="A212" t="s">
        <v>807</v>
      </c>
      <c r="B212">
        <v>2035</v>
      </c>
      <c r="C212" t="s">
        <v>680</v>
      </c>
      <c r="D212" t="s">
        <v>829</v>
      </c>
      <c r="E212" t="s">
        <v>1028</v>
      </c>
      <c r="F212">
        <v>3</v>
      </c>
      <c r="G212" t="s">
        <v>1947</v>
      </c>
      <c r="H212" s="460">
        <v>3052.7084813453721</v>
      </c>
      <c r="I212">
        <v>1200</v>
      </c>
      <c r="J212">
        <v>0</v>
      </c>
      <c r="K212" s="67">
        <v>2.7720000000000007</v>
      </c>
      <c r="L212" s="159">
        <v>150</v>
      </c>
      <c r="M212" s="159">
        <v>16463</v>
      </c>
      <c r="N212" s="159">
        <v>220</v>
      </c>
      <c r="O212" s="159">
        <v>392</v>
      </c>
      <c r="P212" s="159">
        <v>4657</v>
      </c>
      <c r="Q212" s="159">
        <v>1500</v>
      </c>
      <c r="R212" s="159">
        <v>2000</v>
      </c>
      <c r="S212" s="159">
        <v>16219</v>
      </c>
      <c r="T212" s="159">
        <v>0</v>
      </c>
      <c r="U212" s="159">
        <v>943</v>
      </c>
      <c r="V212" s="159">
        <v>4500</v>
      </c>
      <c r="W212" s="159">
        <v>186</v>
      </c>
      <c r="X212" s="159">
        <v>120</v>
      </c>
      <c r="Y212" s="159">
        <v>1500</v>
      </c>
      <c r="Z212" s="159">
        <v>1283</v>
      </c>
      <c r="AA212" s="159">
        <v>0</v>
      </c>
      <c r="AB212" s="159">
        <v>0</v>
      </c>
      <c r="AC212" s="159">
        <v>0</v>
      </c>
      <c r="AD212" s="207">
        <v>50133</v>
      </c>
      <c r="AE212" s="200">
        <v>30.197079112964555</v>
      </c>
      <c r="AF212" s="200">
        <v>32.868848193564126</v>
      </c>
      <c r="AG212" s="200">
        <v>26.092269430358421</v>
      </c>
      <c r="AH212" s="200">
        <v>0</v>
      </c>
      <c r="AI212" s="200">
        <v>0</v>
      </c>
      <c r="AJ212" s="200">
        <v>0</v>
      </c>
      <c r="AL212" s="197">
        <f t="shared" si="27"/>
        <v>57470.752470928324</v>
      </c>
      <c r="AM212" s="197" t="str">
        <f t="shared" si="28"/>
        <v>Box Medium 4</v>
      </c>
      <c r="AN212" s="3">
        <f t="shared" si="29"/>
        <v>8.7249311231258613</v>
      </c>
      <c r="AO212" s="3">
        <f t="shared" si="30"/>
        <v>3.3677731686003636</v>
      </c>
      <c r="AP212" s="3">
        <f t="shared" si="31"/>
        <v>0</v>
      </c>
      <c r="AQ212" s="3">
        <f t="shared" si="32"/>
        <v>0</v>
      </c>
      <c r="AR212" s="3">
        <f t="shared" si="33"/>
        <v>3.3677731686003636</v>
      </c>
      <c r="AS212" s="81">
        <f t="shared" si="34"/>
        <v>1</v>
      </c>
      <c r="AT212" s="81">
        <f t="shared" si="35"/>
        <v>0</v>
      </c>
    </row>
    <row r="213" spans="1:46" x14ac:dyDescent="0.25">
      <c r="A213" t="s">
        <v>807</v>
      </c>
      <c r="B213">
        <v>2035</v>
      </c>
      <c r="C213" t="s">
        <v>680</v>
      </c>
      <c r="D213" t="s">
        <v>829</v>
      </c>
      <c r="E213" t="s">
        <v>1028</v>
      </c>
      <c r="F213">
        <v>3</v>
      </c>
      <c r="G213" t="s">
        <v>1948</v>
      </c>
      <c r="H213" s="460">
        <v>2831.0398977649916</v>
      </c>
      <c r="I213">
        <v>1200</v>
      </c>
      <c r="J213">
        <v>0</v>
      </c>
      <c r="K213" s="67">
        <v>3.1680000000000006</v>
      </c>
      <c r="L213" s="159">
        <v>150</v>
      </c>
      <c r="M213" s="159">
        <v>15049</v>
      </c>
      <c r="N213" s="159">
        <v>220</v>
      </c>
      <c r="O213" s="159">
        <v>392</v>
      </c>
      <c r="P213" s="159">
        <v>2918</v>
      </c>
      <c r="Q213" s="159">
        <v>1500</v>
      </c>
      <c r="R213" s="159">
        <v>2000</v>
      </c>
      <c r="S213" s="159">
        <v>16219</v>
      </c>
      <c r="T213" s="159">
        <v>0</v>
      </c>
      <c r="U213" s="159">
        <v>1078</v>
      </c>
      <c r="V213" s="159">
        <v>4500</v>
      </c>
      <c r="W213" s="159">
        <v>186</v>
      </c>
      <c r="X213" s="159">
        <v>120</v>
      </c>
      <c r="Y213" s="159">
        <v>1500</v>
      </c>
      <c r="Z213" s="159">
        <v>1386</v>
      </c>
      <c r="AA213" s="159">
        <v>0</v>
      </c>
      <c r="AB213" s="159">
        <v>0</v>
      </c>
      <c r="AC213" s="159">
        <v>0</v>
      </c>
      <c r="AD213" s="207">
        <v>47218</v>
      </c>
      <c r="AE213" s="200">
        <v>24.779889705204312</v>
      </c>
      <c r="AF213" s="200">
        <v>24.839629126472719</v>
      </c>
      <c r="AG213" s="200">
        <v>11.245898585273569</v>
      </c>
      <c r="AH213" s="200">
        <v>0</v>
      </c>
      <c r="AI213" s="200">
        <v>0</v>
      </c>
      <c r="AJ213" s="200">
        <v>0</v>
      </c>
      <c r="AL213" s="197">
        <f t="shared" si="27"/>
        <v>54129.096407003242</v>
      </c>
      <c r="AM213" s="197" t="str">
        <f t="shared" si="28"/>
        <v>Box Medium 4</v>
      </c>
      <c r="AN213" s="3">
        <f t="shared" si="29"/>
        <v>18.7431242100314</v>
      </c>
      <c r="AO213" s="3">
        <f t="shared" si="30"/>
        <v>7.2347380076133883</v>
      </c>
      <c r="AP213" s="3">
        <f t="shared" si="31"/>
        <v>0</v>
      </c>
      <c r="AQ213" s="3">
        <f t="shared" si="32"/>
        <v>0</v>
      </c>
      <c r="AR213" s="3">
        <f t="shared" si="33"/>
        <v>7.2347380076133883</v>
      </c>
      <c r="AS213" s="81">
        <f t="shared" si="34"/>
        <v>1</v>
      </c>
      <c r="AT213" s="81">
        <f t="shared" si="35"/>
        <v>0</v>
      </c>
    </row>
    <row r="214" spans="1:46" x14ac:dyDescent="0.25">
      <c r="A214" t="s">
        <v>808</v>
      </c>
      <c r="B214">
        <v>2035</v>
      </c>
      <c r="C214" t="s">
        <v>680</v>
      </c>
      <c r="D214" t="s">
        <v>829</v>
      </c>
      <c r="E214" t="s">
        <v>1028</v>
      </c>
      <c r="F214">
        <v>3</v>
      </c>
      <c r="G214" t="s">
        <v>1949</v>
      </c>
      <c r="H214" s="460">
        <v>3212.1551136141443</v>
      </c>
      <c r="I214">
        <v>1200</v>
      </c>
      <c r="J214">
        <v>119.99999997072871</v>
      </c>
      <c r="K214" s="67">
        <v>70.006500000000003</v>
      </c>
      <c r="L214" s="159">
        <v>0</v>
      </c>
      <c r="M214" s="159">
        <v>10354</v>
      </c>
      <c r="N214" s="159">
        <v>220</v>
      </c>
      <c r="O214" s="159">
        <v>0</v>
      </c>
      <c r="P214" s="159">
        <v>0</v>
      </c>
      <c r="Q214" s="159">
        <v>1500</v>
      </c>
      <c r="R214" s="159">
        <v>2000</v>
      </c>
      <c r="S214" s="159">
        <v>16219</v>
      </c>
      <c r="T214" s="159">
        <v>1705</v>
      </c>
      <c r="U214" s="159">
        <v>11201</v>
      </c>
      <c r="V214" s="159">
        <v>4500</v>
      </c>
      <c r="W214" s="159">
        <v>186</v>
      </c>
      <c r="X214" s="159">
        <v>0</v>
      </c>
      <c r="Y214" s="159">
        <v>1500</v>
      </c>
      <c r="Z214" s="159">
        <v>4413</v>
      </c>
      <c r="AA214" s="159">
        <v>0</v>
      </c>
      <c r="AB214" s="159">
        <v>0</v>
      </c>
      <c r="AC214" s="159">
        <v>0</v>
      </c>
      <c r="AD214" s="207">
        <v>53798</v>
      </c>
      <c r="AE214" s="200">
        <v>93.707632016277955</v>
      </c>
      <c r="AF214" s="200">
        <v>52.546720179136507</v>
      </c>
      <c r="AG214" s="200">
        <v>33.680956280102848</v>
      </c>
      <c r="AH214" s="200">
        <v>371</v>
      </c>
      <c r="AI214" s="200">
        <v>535</v>
      </c>
      <c r="AJ214" s="200">
        <v>692</v>
      </c>
      <c r="AL214" s="197">
        <f t="shared" si="27"/>
        <v>61672.182822312687</v>
      </c>
      <c r="AM214" s="197" t="str">
        <f t="shared" si="28"/>
        <v>Box Medium 4</v>
      </c>
      <c r="AN214" s="3">
        <f t="shared" si="29"/>
        <v>3.1553060192869316</v>
      </c>
      <c r="AO214" s="3">
        <f t="shared" si="30"/>
        <v>1.2179299527433598</v>
      </c>
      <c r="AP214" s="3">
        <f t="shared" si="31"/>
        <v>20.063193607317288</v>
      </c>
      <c r="AQ214" s="3">
        <f t="shared" si="32"/>
        <v>0.72227496986342243</v>
      </c>
      <c r="AR214" s="3">
        <f t="shared" si="33"/>
        <v>1.9402049226067821</v>
      </c>
      <c r="AS214" s="81">
        <f t="shared" si="34"/>
        <v>0.62773263718298244</v>
      </c>
      <c r="AT214" s="81">
        <f t="shared" si="35"/>
        <v>0.37226736281701756</v>
      </c>
    </row>
    <row r="215" spans="1:46" x14ac:dyDescent="0.25">
      <c r="A215" t="s">
        <v>808</v>
      </c>
      <c r="B215">
        <v>2035</v>
      </c>
      <c r="C215" t="s">
        <v>680</v>
      </c>
      <c r="D215" t="s">
        <v>829</v>
      </c>
      <c r="E215" t="s">
        <v>1028</v>
      </c>
      <c r="F215">
        <v>3</v>
      </c>
      <c r="G215" t="s">
        <v>1950</v>
      </c>
      <c r="H215" s="460">
        <v>3123.7817212003329</v>
      </c>
      <c r="I215">
        <v>1200</v>
      </c>
      <c r="J215">
        <v>119.99999997072871</v>
      </c>
      <c r="K215" s="67">
        <v>62.559000000000005</v>
      </c>
      <c r="L215" s="159">
        <v>0</v>
      </c>
      <c r="M215" s="159">
        <v>7152</v>
      </c>
      <c r="N215" s="159">
        <v>220</v>
      </c>
      <c r="O215" s="159">
        <v>0</v>
      </c>
      <c r="P215" s="159">
        <v>3511</v>
      </c>
      <c r="Q215" s="159">
        <v>1500</v>
      </c>
      <c r="R215" s="159">
        <v>2000</v>
      </c>
      <c r="S215" s="159">
        <v>16219</v>
      </c>
      <c r="T215" s="159">
        <v>1178</v>
      </c>
      <c r="U215" s="159">
        <v>10009</v>
      </c>
      <c r="V215" s="159">
        <v>4500</v>
      </c>
      <c r="W215" s="159">
        <v>186</v>
      </c>
      <c r="X215" s="159">
        <v>0</v>
      </c>
      <c r="Y215" s="159">
        <v>1500</v>
      </c>
      <c r="Z215" s="159">
        <v>3642</v>
      </c>
      <c r="AA215" s="159">
        <v>0</v>
      </c>
      <c r="AB215" s="159">
        <v>0</v>
      </c>
      <c r="AC215" s="159">
        <v>0</v>
      </c>
      <c r="AD215" s="207">
        <v>51617</v>
      </c>
      <c r="AE215" s="200">
        <v>32.587112776899083</v>
      </c>
      <c r="AF215" s="200">
        <v>26.768253097432204</v>
      </c>
      <c r="AG215" s="200">
        <v>21.681486951093024</v>
      </c>
      <c r="AH215" s="200">
        <v>378</v>
      </c>
      <c r="AI215" s="200">
        <v>442</v>
      </c>
      <c r="AJ215" s="200">
        <v>548</v>
      </c>
      <c r="AL215" s="197">
        <f t="shared" si="27"/>
        <v>59171.959194381088</v>
      </c>
      <c r="AM215" s="197" t="str">
        <f t="shared" si="28"/>
        <v>Box Medium 4</v>
      </c>
      <c r="AN215" s="3">
        <f t="shared" si="29"/>
        <v>5.1500292514991886</v>
      </c>
      <c r="AO215" s="3">
        <f t="shared" si="30"/>
        <v>1.9878816332124969</v>
      </c>
      <c r="AP215" s="3">
        <f t="shared" si="31"/>
        <v>16.201051362670412</v>
      </c>
      <c r="AQ215" s="3">
        <f t="shared" si="32"/>
        <v>0.58323784905613485</v>
      </c>
      <c r="AR215" s="3">
        <f t="shared" si="33"/>
        <v>2.5711194822686316</v>
      </c>
      <c r="AS215" s="81">
        <f t="shared" si="34"/>
        <v>0.77315801421195962</v>
      </c>
      <c r="AT215" s="81">
        <f t="shared" si="35"/>
        <v>0.22684198578804043</v>
      </c>
    </row>
    <row r="216" spans="1:46" x14ac:dyDescent="0.25">
      <c r="A216" t="s">
        <v>230</v>
      </c>
      <c r="B216">
        <v>2035</v>
      </c>
      <c r="C216" t="s">
        <v>680</v>
      </c>
      <c r="D216" t="s">
        <v>829</v>
      </c>
      <c r="E216" t="s">
        <v>1028</v>
      </c>
      <c r="F216">
        <v>3</v>
      </c>
      <c r="G216" t="s">
        <v>1951</v>
      </c>
      <c r="H216" s="460">
        <v>2914.6344933383925</v>
      </c>
      <c r="I216">
        <v>1200</v>
      </c>
      <c r="J216">
        <v>150.00000001001371</v>
      </c>
      <c r="K216" s="67">
        <v>97.314000000000007</v>
      </c>
      <c r="L216" s="159">
        <v>0</v>
      </c>
      <c r="M216" s="159">
        <v>0</v>
      </c>
      <c r="N216" s="159">
        <v>0</v>
      </c>
      <c r="O216" s="159">
        <v>0</v>
      </c>
      <c r="P216" s="159">
        <v>0</v>
      </c>
      <c r="Q216" s="159">
        <v>1500</v>
      </c>
      <c r="R216" s="159">
        <v>2000</v>
      </c>
      <c r="S216" s="159">
        <v>16219</v>
      </c>
      <c r="T216" s="159">
        <v>0</v>
      </c>
      <c r="U216" s="159">
        <v>15570</v>
      </c>
      <c r="V216" s="159">
        <v>4500</v>
      </c>
      <c r="W216" s="159">
        <v>186</v>
      </c>
      <c r="X216" s="159">
        <v>0</v>
      </c>
      <c r="Y216" s="159">
        <v>1500</v>
      </c>
      <c r="Z216" s="159">
        <v>4525</v>
      </c>
      <c r="AA216" s="159">
        <v>0</v>
      </c>
      <c r="AB216" s="159">
        <v>0</v>
      </c>
      <c r="AC216" s="159">
        <v>0</v>
      </c>
      <c r="AD216" s="207">
        <v>46000</v>
      </c>
      <c r="AE216" s="200">
        <v>0</v>
      </c>
      <c r="AF216" s="200">
        <v>0</v>
      </c>
      <c r="AG216" s="200">
        <v>0</v>
      </c>
      <c r="AH216" s="200">
        <v>350</v>
      </c>
      <c r="AI216" s="200">
        <v>516</v>
      </c>
      <c r="AJ216" s="200">
        <v>667</v>
      </c>
      <c r="AL216" s="197">
        <f t="shared" si="27"/>
        <v>52732.822964169369</v>
      </c>
      <c r="AM216" s="197" t="str">
        <f t="shared" si="28"/>
        <v>Box Medium 4</v>
      </c>
      <c r="AN216" s="3">
        <f t="shared" si="29"/>
        <v>0</v>
      </c>
      <c r="AO216" s="3">
        <f t="shared" si="30"/>
        <v>0</v>
      </c>
      <c r="AP216" s="3">
        <f t="shared" si="31"/>
        <v>38.631364410255138</v>
      </c>
      <c r="AQ216" s="3">
        <f t="shared" si="32"/>
        <v>1.390729118769185</v>
      </c>
      <c r="AR216" s="3">
        <f t="shared" si="33"/>
        <v>1.390729118769185</v>
      </c>
      <c r="AS216" s="81">
        <f t="shared" si="34"/>
        <v>0</v>
      </c>
      <c r="AT216" s="81">
        <f t="shared" si="35"/>
        <v>1</v>
      </c>
    </row>
    <row r="217" spans="1:46" x14ac:dyDescent="0.25">
      <c r="A217" t="s">
        <v>496</v>
      </c>
      <c r="B217">
        <v>2035</v>
      </c>
      <c r="C217" t="s">
        <v>680</v>
      </c>
      <c r="D217" t="s">
        <v>829</v>
      </c>
      <c r="E217" t="s">
        <v>1028</v>
      </c>
      <c r="F217">
        <v>3</v>
      </c>
      <c r="G217" t="s">
        <v>1952</v>
      </c>
      <c r="H217" s="460">
        <v>2798.5189307868832</v>
      </c>
      <c r="I217">
        <v>1200</v>
      </c>
      <c r="J217">
        <v>150.00000001001371</v>
      </c>
      <c r="K217" s="67">
        <v>3.1680000000000006</v>
      </c>
      <c r="L217" s="159">
        <v>0</v>
      </c>
      <c r="M217" s="159">
        <v>0</v>
      </c>
      <c r="N217" s="159">
        <v>0</v>
      </c>
      <c r="O217" s="159">
        <v>0</v>
      </c>
      <c r="P217" s="159">
        <v>0</v>
      </c>
      <c r="Q217" s="159">
        <v>1500</v>
      </c>
      <c r="R217" s="159">
        <v>2000</v>
      </c>
      <c r="S217" s="159">
        <v>16219</v>
      </c>
      <c r="T217" s="159">
        <v>0</v>
      </c>
      <c r="U217" s="159">
        <v>1078</v>
      </c>
      <c r="V217" s="159">
        <v>4500</v>
      </c>
      <c r="W217" s="159">
        <v>186</v>
      </c>
      <c r="X217" s="159">
        <v>0</v>
      </c>
      <c r="Y217" s="159">
        <v>1500</v>
      </c>
      <c r="Z217" s="159">
        <v>4375</v>
      </c>
      <c r="AA217" s="159">
        <v>20880</v>
      </c>
      <c r="AB217" s="159">
        <v>3034</v>
      </c>
      <c r="AC217" s="159">
        <v>0</v>
      </c>
      <c r="AD217" s="207">
        <v>55272</v>
      </c>
      <c r="AE217" s="200">
        <v>51.955010445649002</v>
      </c>
      <c r="AF217" s="200">
        <v>45.365865030260423</v>
      </c>
      <c r="AG217" s="200">
        <v>34.950005390804925</v>
      </c>
      <c r="AH217" s="200">
        <v>0</v>
      </c>
      <c r="AI217" s="200">
        <v>0</v>
      </c>
      <c r="AJ217" s="200">
        <v>0</v>
      </c>
      <c r="AL217" s="197">
        <f t="shared" si="27"/>
        <v>63361.925888599333</v>
      </c>
      <c r="AM217" s="197" t="str">
        <f t="shared" si="28"/>
        <v>Box Medium 4</v>
      </c>
      <c r="AN217" s="3">
        <f t="shared" si="29"/>
        <v>6.3707014769920285</v>
      </c>
      <c r="AO217" s="3">
        <f t="shared" si="30"/>
        <v>2.4590540826745002</v>
      </c>
      <c r="AP217" s="3">
        <f t="shared" si="31"/>
        <v>0</v>
      </c>
      <c r="AQ217" s="3">
        <f t="shared" si="32"/>
        <v>0</v>
      </c>
      <c r="AR217" s="3">
        <f t="shared" si="33"/>
        <v>2.4590540826745002</v>
      </c>
      <c r="AS217" s="81">
        <f t="shared" si="34"/>
        <v>1</v>
      </c>
      <c r="AT217" s="81">
        <f t="shared" si="35"/>
        <v>0</v>
      </c>
    </row>
    <row r="218" spans="1:46" x14ac:dyDescent="0.25">
      <c r="A218" t="s">
        <v>828</v>
      </c>
      <c r="B218">
        <v>2035</v>
      </c>
      <c r="C218" t="s">
        <v>680</v>
      </c>
      <c r="D218" t="s">
        <v>829</v>
      </c>
      <c r="E218" t="s">
        <v>1028</v>
      </c>
      <c r="F218">
        <v>3</v>
      </c>
      <c r="G218" t="s">
        <v>1953</v>
      </c>
      <c r="H218" s="460">
        <v>2708.469876547244</v>
      </c>
      <c r="I218">
        <v>1200</v>
      </c>
      <c r="J218">
        <v>150.00000001001371</v>
      </c>
      <c r="K218" s="67">
        <v>33.017250000000004</v>
      </c>
      <c r="L218" s="159">
        <v>0</v>
      </c>
      <c r="M218" s="159">
        <v>0</v>
      </c>
      <c r="N218" s="159">
        <v>0</v>
      </c>
      <c r="O218" s="159">
        <v>0</v>
      </c>
      <c r="P218" s="159">
        <v>0</v>
      </c>
      <c r="Q218" s="159">
        <v>1500</v>
      </c>
      <c r="R218" s="159">
        <v>2000</v>
      </c>
      <c r="S218" s="159">
        <v>16219</v>
      </c>
      <c r="T218" s="159">
        <v>0</v>
      </c>
      <c r="U218" s="159">
        <v>5283</v>
      </c>
      <c r="V218" s="159">
        <v>4500</v>
      </c>
      <c r="W218" s="159">
        <v>186</v>
      </c>
      <c r="X218" s="159">
        <v>0</v>
      </c>
      <c r="Y218" s="159">
        <v>1500</v>
      </c>
      <c r="Z218" s="159">
        <v>4845</v>
      </c>
      <c r="AA218" s="159">
        <v>5365</v>
      </c>
      <c r="AB218" s="159">
        <v>1968</v>
      </c>
      <c r="AC218" s="159">
        <v>0</v>
      </c>
      <c r="AD218" s="207">
        <v>43366</v>
      </c>
      <c r="AE218" s="200">
        <v>60.07555718379475</v>
      </c>
      <c r="AF218" s="200">
        <v>41.966366774457406</v>
      </c>
      <c r="AG218" s="200">
        <v>31.621755224622071</v>
      </c>
      <c r="AH218" s="200">
        <v>0</v>
      </c>
      <c r="AI218" s="200">
        <v>0</v>
      </c>
      <c r="AJ218" s="200">
        <v>0</v>
      </c>
      <c r="AL218" s="197">
        <f t="shared" si="27"/>
        <v>49713.295666612365</v>
      </c>
      <c r="AM218" s="197" t="str">
        <f t="shared" si="28"/>
        <v>Box Medium 4</v>
      </c>
      <c r="AN218" s="3">
        <f t="shared" si="29"/>
        <v>6.9210687844915668</v>
      </c>
      <c r="AO218" s="3">
        <f t="shared" si="30"/>
        <v>2.6714926939271373</v>
      </c>
      <c r="AP218" s="3">
        <f t="shared" si="31"/>
        <v>0</v>
      </c>
      <c r="AQ218" s="3">
        <f t="shared" si="32"/>
        <v>0</v>
      </c>
      <c r="AR218" s="3">
        <f t="shared" si="33"/>
        <v>2.6714926939271373</v>
      </c>
      <c r="AS218" s="81">
        <f t="shared" si="34"/>
        <v>1</v>
      </c>
      <c r="AT218" s="81">
        <f t="shared" si="35"/>
        <v>0</v>
      </c>
    </row>
    <row r="219" spans="1:46" x14ac:dyDescent="0.25">
      <c r="A219" t="s">
        <v>805</v>
      </c>
      <c r="B219">
        <v>2050</v>
      </c>
      <c r="C219" t="s">
        <v>680</v>
      </c>
      <c r="D219" t="s">
        <v>829</v>
      </c>
      <c r="E219" t="s">
        <v>1028</v>
      </c>
      <c r="F219">
        <v>3</v>
      </c>
      <c r="G219" t="s">
        <v>1954</v>
      </c>
      <c r="H219" s="460">
        <v>3356.2410974118302</v>
      </c>
      <c r="I219">
        <v>1200</v>
      </c>
      <c r="J219">
        <v>0</v>
      </c>
      <c r="K219" s="67">
        <v>0</v>
      </c>
      <c r="L219" s="159">
        <v>150</v>
      </c>
      <c r="M219" s="159">
        <v>34851</v>
      </c>
      <c r="N219" s="159">
        <v>1920</v>
      </c>
      <c r="O219" s="159">
        <v>506</v>
      </c>
      <c r="P219" s="159">
        <v>7700</v>
      </c>
      <c r="Q219" s="159">
        <v>1500</v>
      </c>
      <c r="R219" s="159">
        <v>2000</v>
      </c>
      <c r="S219" s="159">
        <v>16284</v>
      </c>
      <c r="T219" s="159">
        <v>44</v>
      </c>
      <c r="U219" s="159">
        <v>120</v>
      </c>
      <c r="V219" s="159">
        <v>0</v>
      </c>
      <c r="W219" s="159">
        <v>186</v>
      </c>
      <c r="X219" s="159">
        <v>0</v>
      </c>
      <c r="Y219" s="159">
        <v>0</v>
      </c>
      <c r="Z219" s="159">
        <v>0</v>
      </c>
      <c r="AA219" s="159">
        <v>0</v>
      </c>
      <c r="AB219" s="159">
        <v>0</v>
      </c>
      <c r="AC219" s="159">
        <v>0</v>
      </c>
      <c r="AD219" s="207">
        <v>65261</v>
      </c>
      <c r="AE219" s="200">
        <v>12.438331206884788</v>
      </c>
      <c r="AF219" s="200">
        <v>23.10258383490552</v>
      </c>
      <c r="AG219" s="200">
        <v>20.591831740245343</v>
      </c>
      <c r="AH219" s="200">
        <v>0</v>
      </c>
      <c r="AI219" s="200">
        <v>0</v>
      </c>
      <c r="AJ219" s="200">
        <v>0</v>
      </c>
      <c r="AL219" s="197">
        <f t="shared" si="27"/>
        <v>74812.973031840374</v>
      </c>
      <c r="AM219" s="197" t="str">
        <f t="shared" si="28"/>
        <v>Box Medium 4</v>
      </c>
      <c r="AN219" s="3">
        <f t="shared" si="29"/>
        <v>12.059789085826518</v>
      </c>
      <c r="AO219" s="3">
        <f t="shared" si="30"/>
        <v>4.6550091375019518</v>
      </c>
      <c r="AP219" s="3">
        <f t="shared" si="31"/>
        <v>0</v>
      </c>
      <c r="AQ219" s="3">
        <f t="shared" si="32"/>
        <v>0</v>
      </c>
      <c r="AR219" s="3">
        <f t="shared" si="33"/>
        <v>4.6550091375019518</v>
      </c>
      <c r="AS219" s="81">
        <f t="shared" si="34"/>
        <v>1</v>
      </c>
      <c r="AT219" s="81">
        <f t="shared" si="35"/>
        <v>0</v>
      </c>
    </row>
    <row r="220" spans="1:46" x14ac:dyDescent="0.25">
      <c r="A220" t="s">
        <v>805</v>
      </c>
      <c r="B220">
        <v>2050</v>
      </c>
      <c r="C220" t="s">
        <v>680</v>
      </c>
      <c r="D220" t="s">
        <v>829</v>
      </c>
      <c r="E220" t="s">
        <v>1028</v>
      </c>
      <c r="F220">
        <v>3</v>
      </c>
      <c r="G220" t="s">
        <v>1955</v>
      </c>
      <c r="H220" s="460">
        <v>2883.3505224633509</v>
      </c>
      <c r="I220">
        <v>1200</v>
      </c>
      <c r="J220">
        <v>0</v>
      </c>
      <c r="K220" s="67">
        <v>0</v>
      </c>
      <c r="L220" s="159">
        <v>150</v>
      </c>
      <c r="M220" s="159">
        <v>33855</v>
      </c>
      <c r="N220" s="159">
        <v>1920</v>
      </c>
      <c r="O220" s="159">
        <v>506</v>
      </c>
      <c r="P220" s="159">
        <v>4629</v>
      </c>
      <c r="Q220" s="159">
        <v>1500</v>
      </c>
      <c r="R220" s="159">
        <v>2000</v>
      </c>
      <c r="S220" s="159">
        <v>16284</v>
      </c>
      <c r="T220" s="159">
        <v>44</v>
      </c>
      <c r="U220" s="159">
        <v>120</v>
      </c>
      <c r="V220" s="159">
        <v>0</v>
      </c>
      <c r="W220" s="159">
        <v>186</v>
      </c>
      <c r="X220" s="159">
        <v>0</v>
      </c>
      <c r="Y220" s="159">
        <v>0</v>
      </c>
      <c r="Z220" s="159">
        <v>0</v>
      </c>
      <c r="AA220" s="159">
        <v>0</v>
      </c>
      <c r="AB220" s="159">
        <v>0</v>
      </c>
      <c r="AC220" s="159">
        <v>0</v>
      </c>
      <c r="AD220" s="207">
        <v>61194</v>
      </c>
      <c r="AE220" s="200">
        <v>8.6898360883290717</v>
      </c>
      <c r="AF220" s="200">
        <v>16.129512767963817</v>
      </c>
      <c r="AG220" s="200">
        <v>16.680343964361128</v>
      </c>
      <c r="AH220" s="200">
        <v>0</v>
      </c>
      <c r="AI220" s="200">
        <v>0</v>
      </c>
      <c r="AJ220" s="200">
        <v>0</v>
      </c>
      <c r="AL220" s="197">
        <f t="shared" si="27"/>
        <v>70150.703662377826</v>
      </c>
      <c r="AM220" s="197" t="str">
        <f t="shared" si="28"/>
        <v>Box Medium 4</v>
      </c>
      <c r="AN220" s="3">
        <f t="shared" si="29"/>
        <v>15.441326971234005</v>
      </c>
      <c r="AO220" s="3">
        <f t="shared" si="30"/>
        <v>5.9602632877491466</v>
      </c>
      <c r="AP220" s="3">
        <f t="shared" si="31"/>
        <v>0</v>
      </c>
      <c r="AQ220" s="3">
        <f t="shared" si="32"/>
        <v>0</v>
      </c>
      <c r="AR220" s="3">
        <f t="shared" si="33"/>
        <v>5.9602632877491466</v>
      </c>
      <c r="AS220" s="81">
        <f t="shared" si="34"/>
        <v>1</v>
      </c>
      <c r="AT220" s="81">
        <f t="shared" si="35"/>
        <v>0</v>
      </c>
    </row>
    <row r="221" spans="1:46" x14ac:dyDescent="0.25">
      <c r="A221" t="s">
        <v>807</v>
      </c>
      <c r="B221">
        <v>2050</v>
      </c>
      <c r="C221" t="s">
        <v>680</v>
      </c>
      <c r="D221" t="s">
        <v>829</v>
      </c>
      <c r="E221" t="s">
        <v>1028</v>
      </c>
      <c r="F221">
        <v>3</v>
      </c>
      <c r="G221" t="s">
        <v>1956</v>
      </c>
      <c r="H221" s="460">
        <v>3035.6136791803019</v>
      </c>
      <c r="I221">
        <v>1200</v>
      </c>
      <c r="J221">
        <v>0</v>
      </c>
      <c r="K221" s="67">
        <v>2.7086400000000004</v>
      </c>
      <c r="L221" s="159">
        <v>150</v>
      </c>
      <c r="M221" s="159">
        <v>16540</v>
      </c>
      <c r="N221" s="159">
        <v>220</v>
      </c>
      <c r="O221" s="159">
        <v>392</v>
      </c>
      <c r="P221" s="159">
        <v>4633</v>
      </c>
      <c r="Q221" s="159">
        <v>1500</v>
      </c>
      <c r="R221" s="159">
        <v>2000</v>
      </c>
      <c r="S221" s="159">
        <v>16284</v>
      </c>
      <c r="T221" s="159">
        <v>0</v>
      </c>
      <c r="U221" s="159">
        <v>870</v>
      </c>
      <c r="V221" s="159">
        <v>4500</v>
      </c>
      <c r="W221" s="159">
        <v>186</v>
      </c>
      <c r="X221" s="159">
        <v>120</v>
      </c>
      <c r="Y221" s="159">
        <v>1500</v>
      </c>
      <c r="Z221" s="159">
        <v>940</v>
      </c>
      <c r="AA221" s="159">
        <v>0</v>
      </c>
      <c r="AB221" s="159">
        <v>0</v>
      </c>
      <c r="AC221" s="159">
        <v>0</v>
      </c>
      <c r="AD221" s="207">
        <v>49835</v>
      </c>
      <c r="AE221" s="200">
        <v>33.200025331342353</v>
      </c>
      <c r="AF221" s="200">
        <v>36.900598021050456</v>
      </c>
      <c r="AG221" s="200">
        <v>29.14793517824949</v>
      </c>
      <c r="AH221" s="200">
        <v>0</v>
      </c>
      <c r="AI221" s="200">
        <v>0</v>
      </c>
      <c r="AJ221" s="200">
        <v>0</v>
      </c>
      <c r="AL221" s="197">
        <f t="shared" si="27"/>
        <v>57129.135487377833</v>
      </c>
      <c r="AM221" s="197" t="str">
        <f t="shared" si="28"/>
        <v>Box Medium 4</v>
      </c>
      <c r="AN221" s="3">
        <f t="shared" si="29"/>
        <v>7.818622592485907</v>
      </c>
      <c r="AO221" s="3">
        <f t="shared" si="30"/>
        <v>3.0179432950013911</v>
      </c>
      <c r="AP221" s="3">
        <f t="shared" si="31"/>
        <v>0</v>
      </c>
      <c r="AQ221" s="3">
        <f t="shared" si="32"/>
        <v>0</v>
      </c>
      <c r="AR221" s="3">
        <f t="shared" si="33"/>
        <v>3.0179432950013911</v>
      </c>
      <c r="AS221" s="81">
        <f t="shared" si="34"/>
        <v>1</v>
      </c>
      <c r="AT221" s="81">
        <f t="shared" si="35"/>
        <v>0</v>
      </c>
    </row>
    <row r="222" spans="1:46" x14ac:dyDescent="0.25">
      <c r="A222" t="s">
        <v>807</v>
      </c>
      <c r="B222">
        <v>2050</v>
      </c>
      <c r="C222" t="s">
        <v>680</v>
      </c>
      <c r="D222" t="s">
        <v>829</v>
      </c>
      <c r="E222" t="s">
        <v>1028</v>
      </c>
      <c r="F222">
        <v>3</v>
      </c>
      <c r="G222" t="s">
        <v>1957</v>
      </c>
      <c r="H222" s="460">
        <v>2817.8063294072781</v>
      </c>
      <c r="I222">
        <v>1200</v>
      </c>
      <c r="J222">
        <v>0</v>
      </c>
      <c r="K222" s="67">
        <v>2.2809599999999999</v>
      </c>
      <c r="L222" s="159">
        <v>150</v>
      </c>
      <c r="M222" s="159">
        <v>16379</v>
      </c>
      <c r="N222" s="159">
        <v>220</v>
      </c>
      <c r="O222" s="159">
        <v>392</v>
      </c>
      <c r="P222" s="159">
        <v>2982</v>
      </c>
      <c r="Q222" s="159">
        <v>1500</v>
      </c>
      <c r="R222" s="159">
        <v>2000</v>
      </c>
      <c r="S222" s="159">
        <v>16284</v>
      </c>
      <c r="T222" s="159">
        <v>0</v>
      </c>
      <c r="U222" s="159">
        <v>733</v>
      </c>
      <c r="V222" s="159">
        <v>4500</v>
      </c>
      <c r="W222" s="159">
        <v>186</v>
      </c>
      <c r="X222" s="159">
        <v>120</v>
      </c>
      <c r="Y222" s="159">
        <v>1500</v>
      </c>
      <c r="Z222" s="159">
        <v>1016</v>
      </c>
      <c r="AA222" s="159">
        <v>0</v>
      </c>
      <c r="AB222" s="159">
        <v>0</v>
      </c>
      <c r="AC222" s="159">
        <v>0</v>
      </c>
      <c r="AD222" s="207">
        <v>47962</v>
      </c>
      <c r="AE222" s="200">
        <v>9.3998708461061824</v>
      </c>
      <c r="AF222" s="200">
        <v>27.41797900598155</v>
      </c>
      <c r="AG222" s="200">
        <v>11.085319809721444</v>
      </c>
      <c r="AH222" s="200">
        <v>0</v>
      </c>
      <c r="AI222" s="200">
        <v>0</v>
      </c>
      <c r="AJ222" s="200">
        <v>0</v>
      </c>
      <c r="AL222" s="197">
        <f t="shared" si="27"/>
        <v>54981.992500162851</v>
      </c>
      <c r="AM222" s="197" t="str">
        <f t="shared" si="28"/>
        <v>Box Medium 4</v>
      </c>
      <c r="AN222" s="3">
        <f t="shared" si="29"/>
        <v>20.461497794722142</v>
      </c>
      <c r="AO222" s="3">
        <f t="shared" si="30"/>
        <v>7.8980203155750095</v>
      </c>
      <c r="AP222" s="3">
        <f t="shared" si="31"/>
        <v>0</v>
      </c>
      <c r="AQ222" s="3">
        <f t="shared" si="32"/>
        <v>0</v>
      </c>
      <c r="AR222" s="3">
        <f t="shared" si="33"/>
        <v>7.8980203155750095</v>
      </c>
      <c r="AS222" s="81">
        <f t="shared" si="34"/>
        <v>1</v>
      </c>
      <c r="AT222" s="81">
        <f t="shared" si="35"/>
        <v>0</v>
      </c>
    </row>
    <row r="223" spans="1:46" x14ac:dyDescent="0.25">
      <c r="A223" t="s">
        <v>808</v>
      </c>
      <c r="B223">
        <v>2050</v>
      </c>
      <c r="C223" t="s">
        <v>680</v>
      </c>
      <c r="D223" t="s">
        <v>829</v>
      </c>
      <c r="E223" t="s">
        <v>1028</v>
      </c>
      <c r="F223">
        <v>3</v>
      </c>
      <c r="G223" t="s">
        <v>1958</v>
      </c>
      <c r="H223" s="460">
        <v>2997.2446103161765</v>
      </c>
      <c r="I223">
        <v>1200</v>
      </c>
      <c r="J223">
        <v>119.99999997072871</v>
      </c>
      <c r="K223" s="67">
        <v>62.559000000000005</v>
      </c>
      <c r="L223" s="159">
        <v>0</v>
      </c>
      <c r="M223" s="159">
        <v>10253</v>
      </c>
      <c r="N223" s="159">
        <v>220</v>
      </c>
      <c r="O223" s="159">
        <v>0</v>
      </c>
      <c r="P223" s="159">
        <v>0</v>
      </c>
      <c r="Q223" s="159">
        <v>1500</v>
      </c>
      <c r="R223" s="159">
        <v>2000</v>
      </c>
      <c r="S223" s="159">
        <v>16284</v>
      </c>
      <c r="T223" s="159">
        <v>1102</v>
      </c>
      <c r="U223" s="159">
        <v>5630</v>
      </c>
      <c r="V223" s="159">
        <v>4500</v>
      </c>
      <c r="W223" s="159">
        <v>186</v>
      </c>
      <c r="X223" s="159">
        <v>0</v>
      </c>
      <c r="Y223" s="159">
        <v>1500</v>
      </c>
      <c r="Z223" s="159">
        <v>3212</v>
      </c>
      <c r="AA223" s="159">
        <v>0</v>
      </c>
      <c r="AB223" s="159">
        <v>0</v>
      </c>
      <c r="AC223" s="159">
        <v>0</v>
      </c>
      <c r="AD223" s="207">
        <v>46387</v>
      </c>
      <c r="AE223" s="200">
        <v>106.19492208087044</v>
      </c>
      <c r="AF223" s="200">
        <v>60.211207108160515</v>
      </c>
      <c r="AG223" s="200">
        <v>38.56204605693889</v>
      </c>
      <c r="AH223" s="200">
        <v>327</v>
      </c>
      <c r="AI223" s="200">
        <v>480</v>
      </c>
      <c r="AJ223" s="200">
        <v>624</v>
      </c>
      <c r="AL223" s="197">
        <f t="shared" si="27"/>
        <v>53176.466496498353</v>
      </c>
      <c r="AM223" s="197" t="str">
        <f t="shared" si="28"/>
        <v>Box Medium 4</v>
      </c>
      <c r="AN223" s="3">
        <f t="shared" si="29"/>
        <v>2.7568990737459016</v>
      </c>
      <c r="AO223" s="3">
        <f t="shared" si="30"/>
        <v>1.0641471661009818</v>
      </c>
      <c r="AP223" s="3">
        <f t="shared" si="31"/>
        <v>18.061441336199934</v>
      </c>
      <c r="AQ223" s="3">
        <f t="shared" si="32"/>
        <v>0.65021188810319774</v>
      </c>
      <c r="AR223" s="3">
        <f t="shared" si="33"/>
        <v>1.7143590542041796</v>
      </c>
      <c r="AS223" s="81">
        <f t="shared" si="34"/>
        <v>0.62072595789740681</v>
      </c>
      <c r="AT223" s="81">
        <f t="shared" si="35"/>
        <v>0.37927404210259313</v>
      </c>
    </row>
    <row r="224" spans="1:46" x14ac:dyDescent="0.25">
      <c r="A224" t="s">
        <v>808</v>
      </c>
      <c r="B224">
        <v>2050</v>
      </c>
      <c r="C224" t="s">
        <v>680</v>
      </c>
      <c r="D224" t="s">
        <v>829</v>
      </c>
      <c r="E224" t="s">
        <v>1028</v>
      </c>
      <c r="F224">
        <v>3</v>
      </c>
      <c r="G224" t="s">
        <v>1959</v>
      </c>
      <c r="H224" s="460">
        <v>2938.5422491068821</v>
      </c>
      <c r="I224">
        <v>1200</v>
      </c>
      <c r="J224">
        <v>119.99999997072871</v>
      </c>
      <c r="K224" s="67">
        <v>55.483874999999998</v>
      </c>
      <c r="L224" s="159">
        <v>0</v>
      </c>
      <c r="M224" s="159">
        <v>7363</v>
      </c>
      <c r="N224" s="159">
        <v>220</v>
      </c>
      <c r="O224" s="159">
        <v>0</v>
      </c>
      <c r="P224" s="159">
        <v>3488</v>
      </c>
      <c r="Q224" s="159">
        <v>1500</v>
      </c>
      <c r="R224" s="159">
        <v>2000</v>
      </c>
      <c r="S224" s="159">
        <v>16284</v>
      </c>
      <c r="T224" s="159">
        <v>757</v>
      </c>
      <c r="U224" s="159">
        <v>4994</v>
      </c>
      <c r="V224" s="159">
        <v>4500</v>
      </c>
      <c r="W224" s="159">
        <v>186</v>
      </c>
      <c r="X224" s="159">
        <v>0</v>
      </c>
      <c r="Y224" s="159">
        <v>1500</v>
      </c>
      <c r="Z224" s="159">
        <v>2650</v>
      </c>
      <c r="AA224" s="159">
        <v>0</v>
      </c>
      <c r="AB224" s="159">
        <v>0</v>
      </c>
      <c r="AC224" s="159">
        <v>0</v>
      </c>
      <c r="AD224" s="207">
        <v>45442</v>
      </c>
      <c r="AE224" s="200">
        <v>38.68535820830683</v>
      </c>
      <c r="AF224" s="200">
        <v>31.428421141468029</v>
      </c>
      <c r="AG224" s="200">
        <v>25.299172601594272</v>
      </c>
      <c r="AH224" s="200">
        <v>336</v>
      </c>
      <c r="AI224" s="200">
        <v>397</v>
      </c>
      <c r="AJ224" s="200">
        <v>494</v>
      </c>
      <c r="AL224" s="197">
        <f t="shared" si="27"/>
        <v>52093.150894299659</v>
      </c>
      <c r="AM224" s="197" t="str">
        <f t="shared" si="28"/>
        <v>Box Medium 4</v>
      </c>
      <c r="AN224" s="3">
        <f t="shared" si="29"/>
        <v>4.4062218757960556</v>
      </c>
      <c r="AO224" s="3">
        <f t="shared" si="30"/>
        <v>1.7007762696113442</v>
      </c>
      <c r="AP224" s="3">
        <f t="shared" si="31"/>
        <v>14.585792933749239</v>
      </c>
      <c r="AQ224" s="3">
        <f t="shared" si="32"/>
        <v>0.52508854561497265</v>
      </c>
      <c r="AR224" s="3">
        <f t="shared" si="33"/>
        <v>2.2258648152263167</v>
      </c>
      <c r="AS224" s="81">
        <f t="shared" si="34"/>
        <v>0.76409683911483017</v>
      </c>
      <c r="AT224" s="81">
        <f t="shared" si="35"/>
        <v>0.23590316088516985</v>
      </c>
    </row>
    <row r="225" spans="1:46" x14ac:dyDescent="0.25">
      <c r="A225" t="s">
        <v>230</v>
      </c>
      <c r="B225">
        <v>2050</v>
      </c>
      <c r="C225" t="s">
        <v>680</v>
      </c>
      <c r="D225" t="s">
        <v>829</v>
      </c>
      <c r="E225" t="s">
        <v>1028</v>
      </c>
      <c r="F225">
        <v>3</v>
      </c>
      <c r="G225" t="s">
        <v>1960</v>
      </c>
      <c r="H225" s="460">
        <v>2654.1364826877566</v>
      </c>
      <c r="I225">
        <v>1200</v>
      </c>
      <c r="J225">
        <v>150.00000001001371</v>
      </c>
      <c r="K225" s="67">
        <v>84.405000000000001</v>
      </c>
      <c r="L225" s="159">
        <v>0</v>
      </c>
      <c r="M225" s="159">
        <v>0</v>
      </c>
      <c r="N225" s="159">
        <v>0</v>
      </c>
      <c r="O225" s="159">
        <v>0</v>
      </c>
      <c r="P225" s="159">
        <v>0</v>
      </c>
      <c r="Q225" s="159">
        <v>1500</v>
      </c>
      <c r="R225" s="159">
        <v>2000</v>
      </c>
      <c r="S225" s="159">
        <v>16284</v>
      </c>
      <c r="T225" s="159">
        <v>0</v>
      </c>
      <c r="U225" s="159">
        <v>7596</v>
      </c>
      <c r="V225" s="159">
        <v>4500</v>
      </c>
      <c r="W225" s="159">
        <v>186</v>
      </c>
      <c r="X225" s="159">
        <v>0</v>
      </c>
      <c r="Y225" s="159">
        <v>1500</v>
      </c>
      <c r="Z225" s="159">
        <v>3290</v>
      </c>
      <c r="AA225" s="159">
        <v>0</v>
      </c>
      <c r="AB225" s="159">
        <v>0</v>
      </c>
      <c r="AC225" s="159">
        <v>0</v>
      </c>
      <c r="AD225" s="207">
        <v>36856</v>
      </c>
      <c r="AE225" s="200">
        <v>0</v>
      </c>
      <c r="AF225" s="200">
        <v>0</v>
      </c>
      <c r="AG225" s="200">
        <v>0</v>
      </c>
      <c r="AH225" s="200">
        <v>307</v>
      </c>
      <c r="AI225" s="200">
        <v>461</v>
      </c>
      <c r="AJ225" s="200">
        <v>599</v>
      </c>
      <c r="AL225" s="197">
        <f t="shared" si="27"/>
        <v>42250.454851465787</v>
      </c>
      <c r="AM225" s="197" t="str">
        <f t="shared" si="28"/>
        <v>Box Medium 4</v>
      </c>
      <c r="AN225" s="3">
        <f t="shared" si="29"/>
        <v>0</v>
      </c>
      <c r="AO225" s="3">
        <f t="shared" si="30"/>
        <v>0</v>
      </c>
      <c r="AP225" s="3">
        <f t="shared" si="31"/>
        <v>34.63407359538693</v>
      </c>
      <c r="AQ225" s="3">
        <f t="shared" si="32"/>
        <v>1.2468266494339295</v>
      </c>
      <c r="AR225" s="3">
        <f t="shared" si="33"/>
        <v>1.2468266494339295</v>
      </c>
      <c r="AS225" s="81">
        <f t="shared" si="34"/>
        <v>0</v>
      </c>
      <c r="AT225" s="81">
        <f t="shared" si="35"/>
        <v>1</v>
      </c>
    </row>
    <row r="226" spans="1:46" x14ac:dyDescent="0.25">
      <c r="A226" t="s">
        <v>496</v>
      </c>
      <c r="B226">
        <v>2050</v>
      </c>
      <c r="C226" t="s">
        <v>680</v>
      </c>
      <c r="D226" t="s">
        <v>829</v>
      </c>
      <c r="E226" t="s">
        <v>1028</v>
      </c>
      <c r="F226">
        <v>3</v>
      </c>
      <c r="G226" t="s">
        <v>1961</v>
      </c>
      <c r="H226" s="460">
        <v>2664.0493759661645</v>
      </c>
      <c r="I226">
        <v>1200</v>
      </c>
      <c r="J226">
        <v>150.00000001001371</v>
      </c>
      <c r="K226" s="67">
        <v>3.1363200000000004</v>
      </c>
      <c r="L226" s="159">
        <v>0</v>
      </c>
      <c r="M226" s="159">
        <v>0</v>
      </c>
      <c r="N226" s="159">
        <v>0</v>
      </c>
      <c r="O226" s="159">
        <v>0</v>
      </c>
      <c r="P226" s="159">
        <v>0</v>
      </c>
      <c r="Q226" s="159">
        <v>1500</v>
      </c>
      <c r="R226" s="159">
        <v>2000</v>
      </c>
      <c r="S226" s="159">
        <v>16284</v>
      </c>
      <c r="T226" s="159">
        <v>0</v>
      </c>
      <c r="U226" s="159">
        <v>1008</v>
      </c>
      <c r="V226" s="159">
        <v>4500</v>
      </c>
      <c r="W226" s="159">
        <v>186</v>
      </c>
      <c r="X226" s="159">
        <v>0</v>
      </c>
      <c r="Y226" s="159">
        <v>1500</v>
      </c>
      <c r="Z226" s="159">
        <v>3246</v>
      </c>
      <c r="AA226" s="159">
        <v>17792</v>
      </c>
      <c r="AB226" s="159">
        <v>1859</v>
      </c>
      <c r="AC226" s="159">
        <v>0</v>
      </c>
      <c r="AD226" s="207">
        <v>49875</v>
      </c>
      <c r="AE226" s="200">
        <v>56.731239728137695</v>
      </c>
      <c r="AF226" s="200">
        <v>50.986730856517632</v>
      </c>
      <c r="AG226" s="200">
        <v>39.265639814833776</v>
      </c>
      <c r="AH226" s="200">
        <v>0</v>
      </c>
      <c r="AI226" s="200">
        <v>0</v>
      </c>
      <c r="AJ226" s="200">
        <v>0</v>
      </c>
      <c r="AL226" s="197">
        <f t="shared" si="27"/>
        <v>57174.990116042325</v>
      </c>
      <c r="AM226" s="197" t="str">
        <f t="shared" si="28"/>
        <v>Box Medium 4</v>
      </c>
      <c r="AN226" s="3">
        <f t="shared" si="29"/>
        <v>5.6819940694395124</v>
      </c>
      <c r="AO226" s="3">
        <f t="shared" si="30"/>
        <v>2.1932169894710971</v>
      </c>
      <c r="AP226" s="3">
        <f t="shared" si="31"/>
        <v>0</v>
      </c>
      <c r="AQ226" s="3">
        <f t="shared" si="32"/>
        <v>0</v>
      </c>
      <c r="AR226" s="3">
        <f t="shared" si="33"/>
        <v>2.1932169894710971</v>
      </c>
      <c r="AS226" s="81">
        <f t="shared" si="34"/>
        <v>1</v>
      </c>
      <c r="AT226" s="81">
        <f t="shared" si="35"/>
        <v>0</v>
      </c>
    </row>
    <row r="227" spans="1:46" x14ac:dyDescent="0.25">
      <c r="A227" t="s">
        <v>828</v>
      </c>
      <c r="B227">
        <v>2050</v>
      </c>
      <c r="C227" t="s">
        <v>680</v>
      </c>
      <c r="D227" t="s">
        <v>829</v>
      </c>
      <c r="E227" t="s">
        <v>1028</v>
      </c>
      <c r="F227">
        <v>3</v>
      </c>
      <c r="G227" t="s">
        <v>1962</v>
      </c>
      <c r="H227" s="460">
        <v>2541.4804793015251</v>
      </c>
      <c r="I227">
        <v>1200</v>
      </c>
      <c r="J227">
        <v>150.00000001001371</v>
      </c>
      <c r="K227" s="67">
        <v>31.527750000000001</v>
      </c>
      <c r="L227" s="159">
        <v>0</v>
      </c>
      <c r="M227" s="159">
        <v>0</v>
      </c>
      <c r="N227" s="159">
        <v>0</v>
      </c>
      <c r="O227" s="159">
        <v>0</v>
      </c>
      <c r="P227" s="159">
        <v>0</v>
      </c>
      <c r="Q227" s="159">
        <v>1500</v>
      </c>
      <c r="R227" s="159">
        <v>2000</v>
      </c>
      <c r="S227" s="159">
        <v>16284</v>
      </c>
      <c r="T227" s="159">
        <v>0</v>
      </c>
      <c r="U227" s="159">
        <v>2837</v>
      </c>
      <c r="V227" s="159">
        <v>4500</v>
      </c>
      <c r="W227" s="159">
        <v>186</v>
      </c>
      <c r="X227" s="159">
        <v>0</v>
      </c>
      <c r="Y227" s="159">
        <v>1500</v>
      </c>
      <c r="Z227" s="159">
        <v>3430</v>
      </c>
      <c r="AA227" s="159">
        <v>4112</v>
      </c>
      <c r="AB227" s="159">
        <v>1124</v>
      </c>
      <c r="AC227" s="159">
        <v>0</v>
      </c>
      <c r="AD227" s="207">
        <v>37473</v>
      </c>
      <c r="AE227" s="200">
        <v>68.032015042565419</v>
      </c>
      <c r="AF227" s="200">
        <v>47.457238498990741</v>
      </c>
      <c r="AG227" s="200">
        <v>35.687693524740006</v>
      </c>
      <c r="AH227" s="200">
        <v>0</v>
      </c>
      <c r="AI227" s="200">
        <v>0</v>
      </c>
      <c r="AJ227" s="200">
        <v>0</v>
      </c>
      <c r="AL227" s="197">
        <f t="shared" si="27"/>
        <v>42957.762498615622</v>
      </c>
      <c r="AM227" s="197" t="str">
        <f t="shared" si="28"/>
        <v>Box Medium 4</v>
      </c>
      <c r="AN227" s="3">
        <f t="shared" si="29"/>
        <v>6.1304681002997992</v>
      </c>
      <c r="AO227" s="3">
        <f t="shared" si="30"/>
        <v>2.3663253827215658</v>
      </c>
      <c r="AP227" s="3">
        <f t="shared" si="31"/>
        <v>0</v>
      </c>
      <c r="AQ227" s="3">
        <f t="shared" si="32"/>
        <v>0</v>
      </c>
      <c r="AR227" s="3">
        <f t="shared" si="33"/>
        <v>2.3663253827215658</v>
      </c>
      <c r="AS227" s="81">
        <f t="shared" si="34"/>
        <v>1</v>
      </c>
      <c r="AT227" s="81">
        <f t="shared" si="35"/>
        <v>0</v>
      </c>
    </row>
    <row r="228" spans="1:46" x14ac:dyDescent="0.25">
      <c r="A228" t="s">
        <v>805</v>
      </c>
      <c r="B228">
        <v>2023</v>
      </c>
      <c r="C228" t="s">
        <v>680</v>
      </c>
      <c r="D228" t="s">
        <v>806</v>
      </c>
      <c r="E228" t="s">
        <v>1028</v>
      </c>
      <c r="F228">
        <v>4</v>
      </c>
      <c r="G228" t="s">
        <v>1963</v>
      </c>
      <c r="H228" s="460">
        <v>3289.5006124624178</v>
      </c>
      <c r="I228">
        <v>1650</v>
      </c>
      <c r="J228">
        <v>0</v>
      </c>
      <c r="K228" s="67">
        <v>0</v>
      </c>
      <c r="L228" s="159">
        <v>150</v>
      </c>
      <c r="M228" s="159">
        <v>13483</v>
      </c>
      <c r="N228" s="159">
        <v>1920</v>
      </c>
      <c r="O228" s="159">
        <v>506</v>
      </c>
      <c r="P228" s="159">
        <v>3903</v>
      </c>
      <c r="Q228" s="159">
        <v>1500</v>
      </c>
      <c r="R228" s="159">
        <v>2000</v>
      </c>
      <c r="S228" s="159">
        <v>27000</v>
      </c>
      <c r="T228" s="159">
        <v>98</v>
      </c>
      <c r="U228" s="159">
        <v>120</v>
      </c>
      <c r="V228" s="159">
        <v>0</v>
      </c>
      <c r="W228" s="159">
        <v>186</v>
      </c>
      <c r="X228" s="159">
        <v>0</v>
      </c>
      <c r="Y228" s="159">
        <v>0</v>
      </c>
      <c r="Z228" s="159">
        <v>0</v>
      </c>
      <c r="AA228" s="159">
        <v>0</v>
      </c>
      <c r="AB228" s="159">
        <v>0</v>
      </c>
      <c r="AC228" s="159">
        <v>0</v>
      </c>
      <c r="AD228" s="207">
        <v>50866</v>
      </c>
      <c r="AE228" s="200">
        <v>14.038765666093147</v>
      </c>
      <c r="AF228" s="200">
        <v>15.240556102931109</v>
      </c>
      <c r="AG228" s="200">
        <v>13.249611883314106</v>
      </c>
      <c r="AH228" s="200">
        <v>0</v>
      </c>
      <c r="AI228" s="200">
        <v>0</v>
      </c>
      <c r="AJ228" s="200">
        <v>0</v>
      </c>
      <c r="AL228" s="197">
        <f t="shared" si="27"/>
        <v>58311.038541205198</v>
      </c>
      <c r="AM228" s="197" t="str">
        <f t="shared" si="28"/>
        <v>Box Medium 4</v>
      </c>
      <c r="AN228" s="3">
        <f t="shared" si="29"/>
        <v>17.444093268463547</v>
      </c>
      <c r="AO228" s="3">
        <f t="shared" si="30"/>
        <v>6.7333195449967427</v>
      </c>
      <c r="AP228" s="3">
        <f t="shared" si="31"/>
        <v>0</v>
      </c>
      <c r="AQ228" s="3">
        <f t="shared" si="32"/>
        <v>0</v>
      </c>
      <c r="AR228" s="3">
        <f t="shared" si="33"/>
        <v>6.7333195449967427</v>
      </c>
      <c r="AS228" s="81">
        <f t="shared" si="34"/>
        <v>1</v>
      </c>
      <c r="AT228" s="81">
        <f t="shared" si="35"/>
        <v>0</v>
      </c>
    </row>
    <row r="229" spans="1:46" x14ac:dyDescent="0.25">
      <c r="A229" t="s">
        <v>805</v>
      </c>
      <c r="B229">
        <v>2023</v>
      </c>
      <c r="C229" t="s">
        <v>680</v>
      </c>
      <c r="D229" t="s">
        <v>806</v>
      </c>
      <c r="E229" t="s">
        <v>1028</v>
      </c>
      <c r="F229">
        <v>4</v>
      </c>
      <c r="G229" t="s">
        <v>1964</v>
      </c>
      <c r="H229" s="460">
        <v>3153.0701858044749</v>
      </c>
      <c r="I229">
        <v>1650</v>
      </c>
      <c r="J229">
        <v>0</v>
      </c>
      <c r="K229" s="67">
        <v>0</v>
      </c>
      <c r="L229" s="159">
        <v>150</v>
      </c>
      <c r="M229" s="159">
        <v>16217</v>
      </c>
      <c r="N229" s="159">
        <v>1920</v>
      </c>
      <c r="O229" s="159">
        <v>506</v>
      </c>
      <c r="P229" s="159">
        <v>3067</v>
      </c>
      <c r="Q229" s="159">
        <v>1500</v>
      </c>
      <c r="R229" s="159">
        <v>2000</v>
      </c>
      <c r="S229" s="159">
        <v>27000</v>
      </c>
      <c r="T229" s="159">
        <v>98</v>
      </c>
      <c r="U229" s="159">
        <v>120</v>
      </c>
      <c r="V229" s="159">
        <v>0</v>
      </c>
      <c r="W229" s="159">
        <v>186</v>
      </c>
      <c r="X229" s="159">
        <v>0</v>
      </c>
      <c r="Y229" s="159">
        <v>0</v>
      </c>
      <c r="Z229" s="159">
        <v>0</v>
      </c>
      <c r="AA229" s="159">
        <v>0</v>
      </c>
      <c r="AB229" s="159">
        <v>0</v>
      </c>
      <c r="AC229" s="159">
        <v>0</v>
      </c>
      <c r="AD229" s="207">
        <v>52764</v>
      </c>
      <c r="AE229" s="200">
        <v>9.4621810469509491</v>
      </c>
      <c r="AF229" s="200">
        <v>10.934257675388483</v>
      </c>
      <c r="AG229" s="200">
        <v>10.568708827870758</v>
      </c>
      <c r="AH229" s="200">
        <v>0</v>
      </c>
      <c r="AI229" s="200">
        <v>0</v>
      </c>
      <c r="AJ229" s="200">
        <v>0</v>
      </c>
      <c r="AL229" s="197">
        <f t="shared" si="27"/>
        <v>60486.840671335485</v>
      </c>
      <c r="AM229" s="197" t="str">
        <f t="shared" si="28"/>
        <v>Box Medium 4</v>
      </c>
      <c r="AN229" s="3">
        <f t="shared" si="29"/>
        <v>22.449104744165936</v>
      </c>
      <c r="AO229" s="3">
        <f t="shared" si="30"/>
        <v>8.6652251518765997</v>
      </c>
      <c r="AP229" s="3">
        <f t="shared" si="31"/>
        <v>0</v>
      </c>
      <c r="AQ229" s="3">
        <f t="shared" si="32"/>
        <v>0</v>
      </c>
      <c r="AR229" s="3">
        <f t="shared" si="33"/>
        <v>8.6652251518765997</v>
      </c>
      <c r="AS229" s="81">
        <f t="shared" si="34"/>
        <v>1</v>
      </c>
      <c r="AT229" s="81">
        <f t="shared" si="35"/>
        <v>0</v>
      </c>
    </row>
    <row r="230" spans="1:46" x14ac:dyDescent="0.25">
      <c r="A230" t="s">
        <v>807</v>
      </c>
      <c r="B230">
        <v>2023</v>
      </c>
      <c r="C230" t="s">
        <v>680</v>
      </c>
      <c r="D230" t="s">
        <v>806</v>
      </c>
      <c r="E230" t="s">
        <v>1028</v>
      </c>
      <c r="F230">
        <v>4</v>
      </c>
      <c r="G230" t="s">
        <v>1965</v>
      </c>
      <c r="H230" s="460">
        <v>3341.3726964397592</v>
      </c>
      <c r="I230">
        <v>1650</v>
      </c>
      <c r="J230">
        <v>0</v>
      </c>
      <c r="K230" s="67">
        <v>2.9779200000000006</v>
      </c>
      <c r="L230" s="159">
        <v>150</v>
      </c>
      <c r="M230" s="159">
        <v>13324</v>
      </c>
      <c r="N230" s="159">
        <v>220</v>
      </c>
      <c r="O230" s="159">
        <v>392</v>
      </c>
      <c r="P230" s="159">
        <v>3832</v>
      </c>
      <c r="Q230" s="159">
        <v>1500</v>
      </c>
      <c r="R230" s="159">
        <v>2000</v>
      </c>
      <c r="S230" s="159">
        <v>27000</v>
      </c>
      <c r="T230" s="159">
        <v>0</v>
      </c>
      <c r="U230" s="159">
        <v>2085</v>
      </c>
      <c r="V230" s="159">
        <v>4500</v>
      </c>
      <c r="W230" s="159">
        <v>186</v>
      </c>
      <c r="X230" s="159">
        <v>120</v>
      </c>
      <c r="Y230" s="159">
        <v>1500</v>
      </c>
      <c r="Z230" s="159">
        <v>2571</v>
      </c>
      <c r="AA230" s="159">
        <v>0</v>
      </c>
      <c r="AB230" s="159">
        <v>0</v>
      </c>
      <c r="AC230" s="159">
        <v>0</v>
      </c>
      <c r="AD230" s="207">
        <v>59380</v>
      </c>
      <c r="AE230" s="200">
        <v>20.349846321357919</v>
      </c>
      <c r="AF230" s="200">
        <v>17.331242266990593</v>
      </c>
      <c r="AG230" s="200">
        <v>13.576390690768315</v>
      </c>
      <c r="AH230" s="200">
        <v>0</v>
      </c>
      <c r="AI230" s="200">
        <v>0</v>
      </c>
      <c r="AJ230" s="200">
        <v>0</v>
      </c>
      <c r="AL230" s="197">
        <f t="shared" si="27"/>
        <v>68071.196252442984</v>
      </c>
      <c r="AM230" s="197" t="str">
        <f t="shared" si="28"/>
        <v>Box Medium 4</v>
      </c>
      <c r="AN230" s="3">
        <f t="shared" si="29"/>
        <v>16.410811238382852</v>
      </c>
      <c r="AO230" s="3">
        <f t="shared" si="30"/>
        <v>6.3344786318256201</v>
      </c>
      <c r="AP230" s="3">
        <f t="shared" si="31"/>
        <v>0</v>
      </c>
      <c r="AQ230" s="3">
        <f t="shared" si="32"/>
        <v>0</v>
      </c>
      <c r="AR230" s="3">
        <f t="shared" si="33"/>
        <v>6.3344786318256201</v>
      </c>
      <c r="AS230" s="81">
        <f t="shared" si="34"/>
        <v>1</v>
      </c>
      <c r="AT230" s="81">
        <f t="shared" si="35"/>
        <v>0</v>
      </c>
    </row>
    <row r="231" spans="1:46" x14ac:dyDescent="0.25">
      <c r="A231" t="s">
        <v>807</v>
      </c>
      <c r="B231">
        <v>2023</v>
      </c>
      <c r="C231" t="s">
        <v>680</v>
      </c>
      <c r="D231" t="s">
        <v>806</v>
      </c>
      <c r="E231" t="s">
        <v>1028</v>
      </c>
      <c r="F231">
        <v>4</v>
      </c>
      <c r="G231" t="s">
        <v>1966</v>
      </c>
      <c r="H231" s="460">
        <v>3172.4971700493843</v>
      </c>
      <c r="I231">
        <v>1650</v>
      </c>
      <c r="J231">
        <v>0</v>
      </c>
      <c r="K231" s="67">
        <v>3.7224000000000008</v>
      </c>
      <c r="L231" s="159">
        <v>150</v>
      </c>
      <c r="M231" s="159">
        <v>10618</v>
      </c>
      <c r="N231" s="159">
        <v>220</v>
      </c>
      <c r="O231" s="159">
        <v>392</v>
      </c>
      <c r="P231" s="159">
        <v>2416</v>
      </c>
      <c r="Q231" s="159">
        <v>1500</v>
      </c>
      <c r="R231" s="159">
        <v>2000</v>
      </c>
      <c r="S231" s="159">
        <v>27000</v>
      </c>
      <c r="T231" s="159">
        <v>0</v>
      </c>
      <c r="U231" s="159">
        <v>2606</v>
      </c>
      <c r="V231" s="159">
        <v>4500</v>
      </c>
      <c r="W231" s="159">
        <v>186</v>
      </c>
      <c r="X231" s="159">
        <v>120</v>
      </c>
      <c r="Y231" s="159">
        <v>1500</v>
      </c>
      <c r="Z231" s="159">
        <v>2569</v>
      </c>
      <c r="AA231" s="159">
        <v>0</v>
      </c>
      <c r="AB231" s="159">
        <v>0</v>
      </c>
      <c r="AC231" s="159">
        <v>0</v>
      </c>
      <c r="AD231" s="207">
        <v>55777</v>
      </c>
      <c r="AE231" s="200">
        <v>9.1290529655321233</v>
      </c>
      <c r="AF231" s="200">
        <v>13.532551555512367</v>
      </c>
      <c r="AG231" s="200">
        <v>10.883693281367099</v>
      </c>
      <c r="AH231" s="200">
        <v>0</v>
      </c>
      <c r="AI231" s="200">
        <v>0</v>
      </c>
      <c r="AJ231" s="200">
        <v>0</v>
      </c>
      <c r="AL231" s="197">
        <f t="shared" si="27"/>
        <v>63940.840575488583</v>
      </c>
      <c r="AM231" s="197" t="str">
        <f t="shared" si="28"/>
        <v>Box Medium 4</v>
      </c>
      <c r="AN231" s="3">
        <f t="shared" si="29"/>
        <v>21.646361759930087</v>
      </c>
      <c r="AO231" s="3">
        <f t="shared" si="30"/>
        <v>8.355370982778803</v>
      </c>
      <c r="AP231" s="3">
        <f t="shared" si="31"/>
        <v>0</v>
      </c>
      <c r="AQ231" s="3">
        <f t="shared" si="32"/>
        <v>0</v>
      </c>
      <c r="AR231" s="3">
        <f t="shared" si="33"/>
        <v>8.355370982778803</v>
      </c>
      <c r="AS231" s="81">
        <f t="shared" si="34"/>
        <v>1</v>
      </c>
      <c r="AT231" s="81">
        <f t="shared" si="35"/>
        <v>0</v>
      </c>
    </row>
    <row r="232" spans="1:46" x14ac:dyDescent="0.25">
      <c r="A232" t="s">
        <v>808</v>
      </c>
      <c r="B232">
        <v>2023</v>
      </c>
      <c r="C232" t="s">
        <v>680</v>
      </c>
      <c r="D232" t="s">
        <v>806</v>
      </c>
      <c r="E232" t="s">
        <v>1028</v>
      </c>
      <c r="F232">
        <v>4</v>
      </c>
      <c r="G232" t="s">
        <v>1967</v>
      </c>
      <c r="H232" s="460">
        <v>4347.4992691200932</v>
      </c>
      <c r="I232">
        <v>1650</v>
      </c>
      <c r="J232">
        <v>119.99999997072871</v>
      </c>
      <c r="K232" s="67">
        <v>131.82075</v>
      </c>
      <c r="L232" s="159">
        <v>0</v>
      </c>
      <c r="M232" s="159">
        <v>9972</v>
      </c>
      <c r="N232" s="159">
        <v>220</v>
      </c>
      <c r="O232" s="159">
        <v>0</v>
      </c>
      <c r="P232" s="159">
        <v>0</v>
      </c>
      <c r="Q232" s="159">
        <v>1500</v>
      </c>
      <c r="R232" s="159">
        <v>2000</v>
      </c>
      <c r="S232" s="159">
        <v>27000</v>
      </c>
      <c r="T232" s="159">
        <v>2838</v>
      </c>
      <c r="U232" s="159">
        <v>46137</v>
      </c>
      <c r="V232" s="159">
        <v>4500</v>
      </c>
      <c r="W232" s="159">
        <v>186</v>
      </c>
      <c r="X232" s="159">
        <v>0</v>
      </c>
      <c r="Y232" s="159">
        <v>1500</v>
      </c>
      <c r="Z232" s="159">
        <v>6555</v>
      </c>
      <c r="AA232" s="159">
        <v>0</v>
      </c>
      <c r="AB232" s="159">
        <v>0</v>
      </c>
      <c r="AC232" s="159">
        <v>0</v>
      </c>
      <c r="AD232" s="207">
        <v>102408</v>
      </c>
      <c r="AE232" s="200">
        <v>55.811951122553523</v>
      </c>
      <c r="AF232" s="200">
        <v>25.687736096137943</v>
      </c>
      <c r="AG232" s="200">
        <v>18.065010457401577</v>
      </c>
      <c r="AH232" s="200">
        <v>615</v>
      </c>
      <c r="AI232" s="200">
        <v>1020</v>
      </c>
      <c r="AJ232" s="200">
        <v>1301</v>
      </c>
      <c r="AL232" s="197">
        <f t="shared" si="27"/>
        <v>117397.02030684035</v>
      </c>
      <c r="AM232" s="197" t="str">
        <f t="shared" si="28"/>
        <v>Box Medium 4</v>
      </c>
      <c r="AN232" s="3">
        <f t="shared" si="29"/>
        <v>5.8960676665897225</v>
      </c>
      <c r="AO232" s="3">
        <f t="shared" si="30"/>
        <v>2.2758481651691294</v>
      </c>
      <c r="AP232" s="3">
        <f t="shared" si="31"/>
        <v>37.503262206867419</v>
      </c>
      <c r="AQ232" s="3">
        <f t="shared" si="32"/>
        <v>1.3501174394472273</v>
      </c>
      <c r="AR232" s="3">
        <f t="shared" si="33"/>
        <v>3.6259656046163569</v>
      </c>
      <c r="AS232" s="81">
        <f t="shared" si="34"/>
        <v>0.62765299325279289</v>
      </c>
      <c r="AT232" s="81">
        <f t="shared" si="35"/>
        <v>0.37234700674720705</v>
      </c>
    </row>
    <row r="233" spans="1:46" x14ac:dyDescent="0.25">
      <c r="A233" t="s">
        <v>808</v>
      </c>
      <c r="B233">
        <v>2023</v>
      </c>
      <c r="C233" t="s">
        <v>680</v>
      </c>
      <c r="D233" t="s">
        <v>806</v>
      </c>
      <c r="E233" t="s">
        <v>1028</v>
      </c>
      <c r="F233">
        <v>4</v>
      </c>
      <c r="G233" t="s">
        <v>1968</v>
      </c>
      <c r="H233" s="460">
        <v>4159.536113311623</v>
      </c>
      <c r="I233">
        <v>1650</v>
      </c>
      <c r="J233">
        <v>119.99999997072871</v>
      </c>
      <c r="K233" s="67">
        <v>124.37325</v>
      </c>
      <c r="L233" s="159">
        <v>0</v>
      </c>
      <c r="M233" s="159">
        <v>6170</v>
      </c>
      <c r="N233" s="159">
        <v>220</v>
      </c>
      <c r="O233" s="159">
        <v>0</v>
      </c>
      <c r="P233" s="159">
        <v>2786</v>
      </c>
      <c r="Q233" s="159">
        <v>1500</v>
      </c>
      <c r="R233" s="159">
        <v>2000</v>
      </c>
      <c r="S233" s="159">
        <v>27000</v>
      </c>
      <c r="T233" s="159">
        <v>2061</v>
      </c>
      <c r="U233" s="159">
        <v>43531</v>
      </c>
      <c r="V233" s="159">
        <v>4500</v>
      </c>
      <c r="W233" s="159">
        <v>186</v>
      </c>
      <c r="X233" s="159">
        <v>0</v>
      </c>
      <c r="Y233" s="159">
        <v>1500</v>
      </c>
      <c r="Z233" s="159">
        <v>4886</v>
      </c>
      <c r="AA233" s="159">
        <v>0</v>
      </c>
      <c r="AB233" s="159">
        <v>0</v>
      </c>
      <c r="AC233" s="159">
        <v>0</v>
      </c>
      <c r="AD233" s="207">
        <v>96340</v>
      </c>
      <c r="AE233" s="200">
        <v>16.149437327262326</v>
      </c>
      <c r="AF233" s="200">
        <v>11.488265109563383</v>
      </c>
      <c r="AG233" s="200">
        <v>11.435695170212414</v>
      </c>
      <c r="AH233" s="200">
        <v>623</v>
      </c>
      <c r="AI233" s="200">
        <v>898</v>
      </c>
      <c r="AJ233" s="200">
        <v>1169</v>
      </c>
      <c r="AL233" s="197">
        <f t="shared" si="27"/>
        <v>110440.87313843645</v>
      </c>
      <c r="AM233" s="197" t="str">
        <f t="shared" si="28"/>
        <v>Box Medium 4</v>
      </c>
      <c r="AN233" s="3">
        <f t="shared" si="29"/>
        <v>9.979836029292116</v>
      </c>
      <c r="AO233" s="3">
        <f t="shared" si="30"/>
        <v>3.8521592356639562</v>
      </c>
      <c r="AP233" s="3">
        <f t="shared" si="31"/>
        <v>33.865124833782794</v>
      </c>
      <c r="AQ233" s="3">
        <f t="shared" si="32"/>
        <v>1.2191444940161806</v>
      </c>
      <c r="AR233" s="3">
        <f t="shared" si="33"/>
        <v>5.0713037296801371</v>
      </c>
      <c r="AS233" s="81">
        <f t="shared" si="34"/>
        <v>0.75959939317358216</v>
      </c>
      <c r="AT233" s="81">
        <f t="shared" si="35"/>
        <v>0.24040060682641776</v>
      </c>
    </row>
    <row r="234" spans="1:46" x14ac:dyDescent="0.25">
      <c r="A234" t="s">
        <v>230</v>
      </c>
      <c r="B234">
        <v>2023</v>
      </c>
      <c r="C234" t="s">
        <v>680</v>
      </c>
      <c r="D234" t="s">
        <v>806</v>
      </c>
      <c r="E234" t="s">
        <v>1028</v>
      </c>
      <c r="F234">
        <v>4</v>
      </c>
      <c r="G234" t="s">
        <v>1969</v>
      </c>
      <c r="H234" s="460">
        <v>4107.4504769308005</v>
      </c>
      <c r="I234">
        <v>1650</v>
      </c>
      <c r="J234">
        <v>150.00000001001371</v>
      </c>
      <c r="K234" s="67">
        <v>167.69287500000002</v>
      </c>
      <c r="L234" s="159">
        <v>0</v>
      </c>
      <c r="M234" s="159">
        <v>0</v>
      </c>
      <c r="N234" s="159">
        <v>0</v>
      </c>
      <c r="O234" s="159">
        <v>0</v>
      </c>
      <c r="P234" s="159">
        <v>0</v>
      </c>
      <c r="Q234" s="159">
        <v>1500</v>
      </c>
      <c r="R234" s="159">
        <v>2000</v>
      </c>
      <c r="S234" s="159">
        <v>27000</v>
      </c>
      <c r="T234" s="159">
        <v>0</v>
      </c>
      <c r="U234" s="159">
        <v>58693</v>
      </c>
      <c r="V234" s="159">
        <v>4500</v>
      </c>
      <c r="W234" s="159">
        <v>186</v>
      </c>
      <c r="X234" s="159">
        <v>0</v>
      </c>
      <c r="Y234" s="159">
        <v>1500</v>
      </c>
      <c r="Z234" s="159">
        <v>5655</v>
      </c>
      <c r="AA234" s="159">
        <v>0</v>
      </c>
      <c r="AB234" s="159">
        <v>0</v>
      </c>
      <c r="AC234" s="159">
        <v>0</v>
      </c>
      <c r="AD234" s="207">
        <v>101034</v>
      </c>
      <c r="AE234" s="200">
        <v>0</v>
      </c>
      <c r="AF234" s="200">
        <v>0</v>
      </c>
      <c r="AG234" s="200">
        <v>0</v>
      </c>
      <c r="AH234" s="200">
        <v>593</v>
      </c>
      <c r="AI234" s="200">
        <v>980</v>
      </c>
      <c r="AJ234" s="200">
        <v>1256</v>
      </c>
      <c r="AL234" s="197">
        <f t="shared" si="27"/>
        <v>115821.91381221495</v>
      </c>
      <c r="AM234" s="197" t="str">
        <f t="shared" si="28"/>
        <v>Box Medium 4</v>
      </c>
      <c r="AN234" s="3">
        <f t="shared" si="29"/>
        <v>0</v>
      </c>
      <c r="AO234" s="3">
        <f t="shared" si="30"/>
        <v>0</v>
      </c>
      <c r="AP234" s="3">
        <f t="shared" si="31"/>
        <v>72.381224601389405</v>
      </c>
      <c r="AQ234" s="3">
        <f t="shared" si="32"/>
        <v>2.6057240856500186</v>
      </c>
      <c r="AR234" s="3">
        <f t="shared" si="33"/>
        <v>2.6057240856500186</v>
      </c>
      <c r="AS234" s="81">
        <f t="shared" si="34"/>
        <v>0</v>
      </c>
      <c r="AT234" s="81">
        <f t="shared" si="35"/>
        <v>1</v>
      </c>
    </row>
    <row r="235" spans="1:46" x14ac:dyDescent="0.25">
      <c r="A235" t="s">
        <v>496</v>
      </c>
      <c r="B235">
        <v>2023</v>
      </c>
      <c r="C235" t="s">
        <v>680</v>
      </c>
      <c r="D235" t="s">
        <v>806</v>
      </c>
      <c r="E235" t="s">
        <v>1028</v>
      </c>
      <c r="F235">
        <v>4</v>
      </c>
      <c r="G235" t="s">
        <v>1970</v>
      </c>
      <c r="H235" s="460">
        <v>3374.6789399845247</v>
      </c>
      <c r="I235">
        <v>1650</v>
      </c>
      <c r="J235">
        <v>150.00000001001371</v>
      </c>
      <c r="K235" s="67">
        <v>3.6432000000000002</v>
      </c>
      <c r="L235" s="159">
        <v>0</v>
      </c>
      <c r="M235" s="159">
        <v>0</v>
      </c>
      <c r="N235" s="159">
        <v>0</v>
      </c>
      <c r="O235" s="159">
        <v>0</v>
      </c>
      <c r="P235" s="159">
        <v>0</v>
      </c>
      <c r="Q235" s="159">
        <v>1500</v>
      </c>
      <c r="R235" s="159">
        <v>2000</v>
      </c>
      <c r="S235" s="159">
        <v>27000</v>
      </c>
      <c r="T235" s="159">
        <v>0</v>
      </c>
      <c r="U235" s="159">
        <v>2550</v>
      </c>
      <c r="V235" s="159">
        <v>4500</v>
      </c>
      <c r="W235" s="159">
        <v>186</v>
      </c>
      <c r="X235" s="159">
        <v>0</v>
      </c>
      <c r="Y235" s="159">
        <v>1500</v>
      </c>
      <c r="Z235" s="159">
        <v>5669</v>
      </c>
      <c r="AA235" s="159">
        <v>26367</v>
      </c>
      <c r="AB235" s="159">
        <v>9006</v>
      </c>
      <c r="AC235" s="159">
        <v>0</v>
      </c>
      <c r="AD235" s="207">
        <v>80278</v>
      </c>
      <c r="AE235" s="200">
        <v>36.524280527229806</v>
      </c>
      <c r="AF235" s="200">
        <v>23.076451918568875</v>
      </c>
      <c r="AG235" s="200">
        <v>17.368644108478076</v>
      </c>
      <c r="AH235" s="200">
        <v>0</v>
      </c>
      <c r="AI235" s="200">
        <v>0</v>
      </c>
      <c r="AJ235" s="200">
        <v>0</v>
      </c>
      <c r="AL235" s="197">
        <f t="shared" si="27"/>
        <v>92027.946998208441</v>
      </c>
      <c r="AM235" s="197" t="str">
        <f t="shared" si="28"/>
        <v>Box Medium 4</v>
      </c>
      <c r="AN235" s="3">
        <f t="shared" si="29"/>
        <v>12.530791236991133</v>
      </c>
      <c r="AO235" s="3">
        <f t="shared" si="30"/>
        <v>4.8368132554554872</v>
      </c>
      <c r="AP235" s="3">
        <f t="shared" si="31"/>
        <v>0</v>
      </c>
      <c r="AQ235" s="3">
        <f t="shared" si="32"/>
        <v>0</v>
      </c>
      <c r="AR235" s="3">
        <f t="shared" si="33"/>
        <v>4.8368132554554872</v>
      </c>
      <c r="AS235" s="81">
        <f t="shared" si="34"/>
        <v>1</v>
      </c>
      <c r="AT235" s="81">
        <f t="shared" si="35"/>
        <v>0</v>
      </c>
    </row>
    <row r="236" spans="1:46" x14ac:dyDescent="0.25">
      <c r="A236" t="s">
        <v>828</v>
      </c>
      <c r="B236">
        <v>2023</v>
      </c>
      <c r="C236" t="s">
        <v>680</v>
      </c>
      <c r="D236" t="s">
        <v>806</v>
      </c>
      <c r="E236" t="s">
        <v>1028</v>
      </c>
      <c r="F236">
        <v>4</v>
      </c>
      <c r="G236" t="s">
        <v>1971</v>
      </c>
      <c r="H236" s="460">
        <v>3451.2197858910222</v>
      </c>
      <c r="I236">
        <v>1650</v>
      </c>
      <c r="J236">
        <v>150.00000001001371</v>
      </c>
      <c r="K236" s="67">
        <v>32.024250000000002</v>
      </c>
      <c r="L236" s="159">
        <v>0</v>
      </c>
      <c r="M236" s="159">
        <v>0</v>
      </c>
      <c r="N236" s="159">
        <v>0</v>
      </c>
      <c r="O236" s="159">
        <v>0</v>
      </c>
      <c r="P236" s="159">
        <v>0</v>
      </c>
      <c r="Q236" s="159">
        <v>1500</v>
      </c>
      <c r="R236" s="159">
        <v>2000</v>
      </c>
      <c r="S236" s="159">
        <v>27000</v>
      </c>
      <c r="T236" s="159">
        <v>0</v>
      </c>
      <c r="U236" s="159">
        <v>11208</v>
      </c>
      <c r="V236" s="159">
        <v>4500</v>
      </c>
      <c r="W236" s="159">
        <v>186</v>
      </c>
      <c r="X236" s="159">
        <v>0</v>
      </c>
      <c r="Y236" s="159">
        <v>1500</v>
      </c>
      <c r="Z236" s="159">
        <v>7103</v>
      </c>
      <c r="AA236" s="159">
        <v>10344</v>
      </c>
      <c r="AB236" s="159">
        <v>7262</v>
      </c>
      <c r="AC236" s="159">
        <v>0</v>
      </c>
      <c r="AD236" s="207">
        <v>72603</v>
      </c>
      <c r="AE236" s="200">
        <v>36.360344690474257</v>
      </c>
      <c r="AF236" s="200">
        <v>20.85895661489284</v>
      </c>
      <c r="AG236" s="200">
        <v>17.945510623116132</v>
      </c>
      <c r="AH236" s="200">
        <v>0</v>
      </c>
      <c r="AI236" s="200">
        <v>0</v>
      </c>
      <c r="AJ236" s="200">
        <v>394.408022578589</v>
      </c>
      <c r="AL236" s="197">
        <f t="shared" si="27"/>
        <v>83229.590123208443</v>
      </c>
      <c r="AM236" s="197" t="str">
        <f t="shared" si="28"/>
        <v>Box Medium 4</v>
      </c>
      <c r="AN236" s="3">
        <f t="shared" si="29"/>
        <v>12.278600701222752</v>
      </c>
      <c r="AO236" s="3">
        <f t="shared" si="30"/>
        <v>4.7394691609577624</v>
      </c>
      <c r="AP236" s="3">
        <f t="shared" si="31"/>
        <v>19.851025780050026</v>
      </c>
      <c r="AQ236" s="3">
        <f t="shared" si="32"/>
        <v>0.71463692808180102</v>
      </c>
      <c r="AR236" s="3">
        <f t="shared" si="33"/>
        <v>5.4541060890395636</v>
      </c>
      <c r="AS236" s="81">
        <f t="shared" si="34"/>
        <v>0.86897267555577662</v>
      </c>
      <c r="AT236" s="81">
        <f t="shared" si="35"/>
        <v>0.13102732444422335</v>
      </c>
    </row>
    <row r="237" spans="1:46" x14ac:dyDescent="0.25">
      <c r="A237" t="s">
        <v>805</v>
      </c>
      <c r="B237">
        <v>2025</v>
      </c>
      <c r="C237" t="s">
        <v>680</v>
      </c>
      <c r="D237" t="s">
        <v>806</v>
      </c>
      <c r="E237" t="s">
        <v>1028</v>
      </c>
      <c r="F237">
        <v>4</v>
      </c>
      <c r="G237" t="s">
        <v>1972</v>
      </c>
      <c r="H237" s="460">
        <v>3261.6418322472409</v>
      </c>
      <c r="I237">
        <v>1650</v>
      </c>
      <c r="J237">
        <v>0</v>
      </c>
      <c r="K237" s="67">
        <v>0</v>
      </c>
      <c r="L237" s="159">
        <v>150</v>
      </c>
      <c r="M237" s="159">
        <v>13773</v>
      </c>
      <c r="N237" s="159">
        <v>1920</v>
      </c>
      <c r="O237" s="159">
        <v>506</v>
      </c>
      <c r="P237" s="159">
        <v>3862</v>
      </c>
      <c r="Q237" s="159">
        <v>1500</v>
      </c>
      <c r="R237" s="159">
        <v>2000</v>
      </c>
      <c r="S237" s="159">
        <v>27118</v>
      </c>
      <c r="T237" s="159">
        <v>92</v>
      </c>
      <c r="U237" s="159">
        <v>120</v>
      </c>
      <c r="V237" s="159">
        <v>0</v>
      </c>
      <c r="W237" s="159">
        <v>186</v>
      </c>
      <c r="X237" s="159">
        <v>0</v>
      </c>
      <c r="Y237" s="159">
        <v>0</v>
      </c>
      <c r="Z237" s="159">
        <v>0</v>
      </c>
      <c r="AA237" s="159">
        <v>0</v>
      </c>
      <c r="AB237" s="159">
        <v>0</v>
      </c>
      <c r="AC237" s="159">
        <v>0</v>
      </c>
      <c r="AD237" s="207">
        <v>51227</v>
      </c>
      <c r="AE237" s="200">
        <v>15.134696664887461</v>
      </c>
      <c r="AF237" s="200">
        <v>16.853845419373517</v>
      </c>
      <c r="AG237" s="200">
        <v>14.854794338743938</v>
      </c>
      <c r="AH237" s="200">
        <v>0</v>
      </c>
      <c r="AI237" s="200">
        <v>0</v>
      </c>
      <c r="AJ237" s="200">
        <v>0</v>
      </c>
      <c r="AL237" s="197">
        <f t="shared" si="27"/>
        <v>58724.876564902261</v>
      </c>
      <c r="AM237" s="197" t="str">
        <f t="shared" si="28"/>
        <v>Box Medium 4</v>
      </c>
      <c r="AN237" s="3">
        <f t="shared" si="29"/>
        <v>15.635974931484128</v>
      </c>
      <c r="AO237" s="3">
        <f t="shared" si="30"/>
        <v>6.0353962794716418</v>
      </c>
      <c r="AP237" s="3">
        <f t="shared" si="31"/>
        <v>0</v>
      </c>
      <c r="AQ237" s="3">
        <f t="shared" si="32"/>
        <v>0</v>
      </c>
      <c r="AR237" s="3">
        <f t="shared" si="33"/>
        <v>6.0353962794716418</v>
      </c>
      <c r="AS237" s="81">
        <f t="shared" si="34"/>
        <v>1</v>
      </c>
      <c r="AT237" s="81">
        <f t="shared" si="35"/>
        <v>0</v>
      </c>
    </row>
    <row r="238" spans="1:46" x14ac:dyDescent="0.25">
      <c r="A238" t="s">
        <v>805</v>
      </c>
      <c r="B238">
        <v>2025</v>
      </c>
      <c r="C238" t="s">
        <v>680</v>
      </c>
      <c r="D238" t="s">
        <v>806</v>
      </c>
      <c r="E238" t="s">
        <v>1028</v>
      </c>
      <c r="F238">
        <v>4</v>
      </c>
      <c r="G238" t="s">
        <v>1973</v>
      </c>
      <c r="H238" s="460">
        <v>3127.0559742891974</v>
      </c>
      <c r="I238">
        <v>1650</v>
      </c>
      <c r="J238">
        <v>0</v>
      </c>
      <c r="K238" s="67">
        <v>0</v>
      </c>
      <c r="L238" s="159">
        <v>150</v>
      </c>
      <c r="M238" s="159">
        <v>16081</v>
      </c>
      <c r="N238" s="159">
        <v>1920</v>
      </c>
      <c r="O238" s="159">
        <v>506</v>
      </c>
      <c r="P238" s="159">
        <v>3032</v>
      </c>
      <c r="Q238" s="159">
        <v>1500</v>
      </c>
      <c r="R238" s="159">
        <v>2000</v>
      </c>
      <c r="S238" s="159">
        <v>27118</v>
      </c>
      <c r="T238" s="159">
        <v>92</v>
      </c>
      <c r="U238" s="159">
        <v>120</v>
      </c>
      <c r="V238" s="159">
        <v>0</v>
      </c>
      <c r="W238" s="159">
        <v>186</v>
      </c>
      <c r="X238" s="159">
        <v>0</v>
      </c>
      <c r="Y238" s="159">
        <v>0</v>
      </c>
      <c r="Z238" s="159">
        <v>0</v>
      </c>
      <c r="AA238" s="159">
        <v>0</v>
      </c>
      <c r="AB238" s="159">
        <v>0</v>
      </c>
      <c r="AC238" s="159">
        <v>0</v>
      </c>
      <c r="AD238" s="207">
        <v>52705</v>
      </c>
      <c r="AE238" s="200">
        <v>10.268013805704056</v>
      </c>
      <c r="AF238" s="200">
        <v>12.201302602429713</v>
      </c>
      <c r="AG238" s="200">
        <v>11.943342652582091</v>
      </c>
      <c r="AH238" s="200">
        <v>0</v>
      </c>
      <c r="AI238" s="200">
        <v>0</v>
      </c>
      <c r="AJ238" s="200">
        <v>0</v>
      </c>
      <c r="AL238" s="197">
        <f t="shared" si="27"/>
        <v>60419.20509405536</v>
      </c>
      <c r="AM238" s="197" t="str">
        <f t="shared" si="28"/>
        <v>Box Medium 4</v>
      </c>
      <c r="AN238" s="3">
        <f t="shared" si="29"/>
        <v>19.978102677869082</v>
      </c>
      <c r="AO238" s="3">
        <f t="shared" si="30"/>
        <v>7.7114325842340516</v>
      </c>
      <c r="AP238" s="3">
        <f t="shared" si="31"/>
        <v>0</v>
      </c>
      <c r="AQ238" s="3">
        <f t="shared" si="32"/>
        <v>0</v>
      </c>
      <c r="AR238" s="3">
        <f t="shared" si="33"/>
        <v>7.7114325842340516</v>
      </c>
      <c r="AS238" s="81">
        <f t="shared" si="34"/>
        <v>1</v>
      </c>
      <c r="AT238" s="81">
        <f t="shared" si="35"/>
        <v>0</v>
      </c>
    </row>
    <row r="239" spans="1:46" x14ac:dyDescent="0.25">
      <c r="A239" t="s">
        <v>807</v>
      </c>
      <c r="B239">
        <v>2025</v>
      </c>
      <c r="C239" t="s">
        <v>680</v>
      </c>
      <c r="D239" t="s">
        <v>806</v>
      </c>
      <c r="E239" t="s">
        <v>1028</v>
      </c>
      <c r="F239">
        <v>4</v>
      </c>
      <c r="G239" t="s">
        <v>1974</v>
      </c>
      <c r="H239" s="460">
        <v>3317.2357986155976</v>
      </c>
      <c r="I239">
        <v>1650</v>
      </c>
      <c r="J239">
        <v>0</v>
      </c>
      <c r="K239" s="67">
        <v>3.0096000000000003</v>
      </c>
      <c r="L239" s="159">
        <v>150</v>
      </c>
      <c r="M239" s="159">
        <v>13706</v>
      </c>
      <c r="N239" s="159">
        <v>220</v>
      </c>
      <c r="O239" s="159">
        <v>392</v>
      </c>
      <c r="P239" s="159">
        <v>3832</v>
      </c>
      <c r="Q239" s="159">
        <v>1500</v>
      </c>
      <c r="R239" s="159">
        <v>2000</v>
      </c>
      <c r="S239" s="159">
        <v>27118</v>
      </c>
      <c r="T239" s="159">
        <v>0</v>
      </c>
      <c r="U239" s="159">
        <v>1422</v>
      </c>
      <c r="V239" s="159">
        <v>4500</v>
      </c>
      <c r="W239" s="159">
        <v>186</v>
      </c>
      <c r="X239" s="159">
        <v>120</v>
      </c>
      <c r="Y239" s="159">
        <v>1500</v>
      </c>
      <c r="Z239" s="159">
        <v>2206</v>
      </c>
      <c r="AA239" s="159">
        <v>0</v>
      </c>
      <c r="AB239" s="159">
        <v>0</v>
      </c>
      <c r="AC239" s="159">
        <v>0</v>
      </c>
      <c r="AD239" s="207">
        <v>58852</v>
      </c>
      <c r="AE239" s="200">
        <v>22.314938213054827</v>
      </c>
      <c r="AF239" s="200">
        <v>19.385834769793195</v>
      </c>
      <c r="AG239" s="200">
        <v>15.316304148404898</v>
      </c>
      <c r="AH239" s="200">
        <v>0</v>
      </c>
      <c r="AI239" s="200">
        <v>0</v>
      </c>
      <c r="AJ239" s="200">
        <v>0</v>
      </c>
      <c r="AL239" s="197">
        <f t="shared" si="27"/>
        <v>67465.915154071641</v>
      </c>
      <c r="AM239" s="197" t="str">
        <f t="shared" si="28"/>
        <v>Box Medium 4</v>
      </c>
      <c r="AN239" s="3">
        <f t="shared" si="29"/>
        <v>14.585381155861796</v>
      </c>
      <c r="AO239" s="3">
        <f t="shared" si="30"/>
        <v>5.6298731322159146</v>
      </c>
      <c r="AP239" s="3">
        <f t="shared" si="31"/>
        <v>0</v>
      </c>
      <c r="AQ239" s="3">
        <f t="shared" si="32"/>
        <v>0</v>
      </c>
      <c r="AR239" s="3">
        <f t="shared" si="33"/>
        <v>5.6298731322159146</v>
      </c>
      <c r="AS239" s="81">
        <f t="shared" si="34"/>
        <v>1</v>
      </c>
      <c r="AT239" s="81">
        <f t="shared" si="35"/>
        <v>0</v>
      </c>
    </row>
    <row r="240" spans="1:46" x14ac:dyDescent="0.25">
      <c r="A240" t="s">
        <v>807</v>
      </c>
      <c r="B240">
        <v>2025</v>
      </c>
      <c r="C240" t="s">
        <v>680</v>
      </c>
      <c r="D240" t="s">
        <v>806</v>
      </c>
      <c r="E240" t="s">
        <v>1028</v>
      </c>
      <c r="F240">
        <v>4</v>
      </c>
      <c r="G240" t="s">
        <v>1975</v>
      </c>
      <c r="H240" s="460">
        <v>3136.4607290987797</v>
      </c>
      <c r="I240">
        <v>1650</v>
      </c>
      <c r="J240">
        <v>0</v>
      </c>
      <c r="K240" s="67">
        <v>2.6928000000000001</v>
      </c>
      <c r="L240" s="159">
        <v>150</v>
      </c>
      <c r="M240" s="159">
        <v>10733</v>
      </c>
      <c r="N240" s="159">
        <v>220</v>
      </c>
      <c r="O240" s="159">
        <v>392</v>
      </c>
      <c r="P240" s="159">
        <v>2355</v>
      </c>
      <c r="Q240" s="159">
        <v>1500</v>
      </c>
      <c r="R240" s="159">
        <v>2000</v>
      </c>
      <c r="S240" s="159">
        <v>27118</v>
      </c>
      <c r="T240" s="159">
        <v>0</v>
      </c>
      <c r="U240" s="159">
        <v>1272</v>
      </c>
      <c r="V240" s="159">
        <v>4500</v>
      </c>
      <c r="W240" s="159">
        <v>186</v>
      </c>
      <c r="X240" s="159">
        <v>120</v>
      </c>
      <c r="Y240" s="159">
        <v>1500</v>
      </c>
      <c r="Z240" s="159">
        <v>2178</v>
      </c>
      <c r="AA240" s="159">
        <v>0</v>
      </c>
      <c r="AB240" s="159">
        <v>0</v>
      </c>
      <c r="AC240" s="159">
        <v>0</v>
      </c>
      <c r="AD240" s="207">
        <v>54224</v>
      </c>
      <c r="AE240" s="200">
        <v>10.921939770938531</v>
      </c>
      <c r="AF240" s="200">
        <v>15.381928976340115</v>
      </c>
      <c r="AG240" s="200">
        <v>11.906484149217619</v>
      </c>
      <c r="AH240" s="200">
        <v>0</v>
      </c>
      <c r="AI240" s="200">
        <v>0</v>
      </c>
      <c r="AJ240" s="200">
        <v>0</v>
      </c>
      <c r="AL240" s="197">
        <f t="shared" si="27"/>
        <v>62160.534617589561</v>
      </c>
      <c r="AM240" s="197" t="str">
        <f t="shared" si="28"/>
        <v>Box Medium 4</v>
      </c>
      <c r="AN240" s="3">
        <f t="shared" si="29"/>
        <v>19.531572584889737</v>
      </c>
      <c r="AO240" s="3">
        <f t="shared" si="30"/>
        <v>7.5390745398109225</v>
      </c>
      <c r="AP240" s="3">
        <f t="shared" si="31"/>
        <v>0</v>
      </c>
      <c r="AQ240" s="3">
        <f t="shared" si="32"/>
        <v>0</v>
      </c>
      <c r="AR240" s="3">
        <f t="shared" si="33"/>
        <v>7.5390745398109225</v>
      </c>
      <c r="AS240" s="81">
        <f t="shared" si="34"/>
        <v>1</v>
      </c>
      <c r="AT240" s="81">
        <f t="shared" si="35"/>
        <v>0</v>
      </c>
    </row>
    <row r="241" spans="1:46" x14ac:dyDescent="0.25">
      <c r="A241" t="s">
        <v>808</v>
      </c>
      <c r="B241">
        <v>2025</v>
      </c>
      <c r="C241" t="s">
        <v>680</v>
      </c>
      <c r="D241" t="s">
        <v>806</v>
      </c>
      <c r="E241" t="s">
        <v>1028</v>
      </c>
      <c r="F241">
        <v>4</v>
      </c>
      <c r="G241" t="s">
        <v>1976</v>
      </c>
      <c r="H241" s="460">
        <v>4077.8526484556451</v>
      </c>
      <c r="I241">
        <v>1650</v>
      </c>
      <c r="J241">
        <v>119.99999997072871</v>
      </c>
      <c r="K241" s="67">
        <v>124.125</v>
      </c>
      <c r="L241" s="159">
        <v>0</v>
      </c>
      <c r="M241" s="159">
        <v>10154</v>
      </c>
      <c r="N241" s="159">
        <v>220</v>
      </c>
      <c r="O241" s="159">
        <v>0</v>
      </c>
      <c r="P241" s="159">
        <v>0</v>
      </c>
      <c r="Q241" s="159">
        <v>1500</v>
      </c>
      <c r="R241" s="159">
        <v>2000</v>
      </c>
      <c r="S241" s="159">
        <v>27118</v>
      </c>
      <c r="T241" s="159">
        <v>2500</v>
      </c>
      <c r="U241" s="159">
        <v>34755</v>
      </c>
      <c r="V241" s="159">
        <v>4500</v>
      </c>
      <c r="W241" s="159">
        <v>186</v>
      </c>
      <c r="X241" s="159">
        <v>0</v>
      </c>
      <c r="Y241" s="159">
        <v>1500</v>
      </c>
      <c r="Z241" s="159">
        <v>5479</v>
      </c>
      <c r="AA241" s="159">
        <v>0</v>
      </c>
      <c r="AB241" s="159">
        <v>0</v>
      </c>
      <c r="AC241" s="159">
        <v>0</v>
      </c>
      <c r="AD241" s="207">
        <v>89912</v>
      </c>
      <c r="AE241" s="200">
        <v>60.791385573078607</v>
      </c>
      <c r="AF241" s="200">
        <v>29.015131948815508</v>
      </c>
      <c r="AG241" s="200">
        <v>20.162170826689131</v>
      </c>
      <c r="AH241" s="200">
        <v>565</v>
      </c>
      <c r="AI241" s="200">
        <v>939</v>
      </c>
      <c r="AJ241" s="200">
        <v>1197</v>
      </c>
      <c r="AL241" s="197">
        <f t="shared" si="27"/>
        <v>103072.03431205208</v>
      </c>
      <c r="AM241" s="197" t="str">
        <f t="shared" si="28"/>
        <v>Box Medium 4</v>
      </c>
      <c r="AN241" s="3">
        <f t="shared" si="29"/>
        <v>5.2830544953597638</v>
      </c>
      <c r="AO241" s="3">
        <f t="shared" si="30"/>
        <v>2.0392286112800626</v>
      </c>
      <c r="AP241" s="3">
        <f t="shared" si="31"/>
        <v>34.504206693427122</v>
      </c>
      <c r="AQ241" s="3">
        <f t="shared" si="32"/>
        <v>1.2421514409633765</v>
      </c>
      <c r="AR241" s="3">
        <f t="shared" si="33"/>
        <v>3.2813800522434393</v>
      </c>
      <c r="AS241" s="81">
        <f t="shared" si="34"/>
        <v>0.62145456448602077</v>
      </c>
      <c r="AT241" s="81">
        <f t="shared" si="35"/>
        <v>0.37854543551397918</v>
      </c>
    </row>
    <row r="242" spans="1:46" x14ac:dyDescent="0.25">
      <c r="A242" t="s">
        <v>808</v>
      </c>
      <c r="B242">
        <v>2025</v>
      </c>
      <c r="C242" t="s">
        <v>680</v>
      </c>
      <c r="D242" t="s">
        <v>806</v>
      </c>
      <c r="E242" t="s">
        <v>1028</v>
      </c>
      <c r="F242">
        <v>4</v>
      </c>
      <c r="G242" t="s">
        <v>1977</v>
      </c>
      <c r="H242" s="460">
        <v>3918.5910637293646</v>
      </c>
      <c r="I242">
        <v>1650</v>
      </c>
      <c r="J242">
        <v>119.99999997072871</v>
      </c>
      <c r="K242" s="67">
        <v>114.815625</v>
      </c>
      <c r="L242" s="159">
        <v>0</v>
      </c>
      <c r="M242" s="159">
        <v>6478</v>
      </c>
      <c r="N242" s="159">
        <v>220</v>
      </c>
      <c r="O242" s="159">
        <v>0</v>
      </c>
      <c r="P242" s="159">
        <v>2759</v>
      </c>
      <c r="Q242" s="159">
        <v>1500</v>
      </c>
      <c r="R242" s="159">
        <v>2000</v>
      </c>
      <c r="S242" s="159">
        <v>27118</v>
      </c>
      <c r="T242" s="159">
        <v>1810</v>
      </c>
      <c r="U242" s="159">
        <v>32148</v>
      </c>
      <c r="V242" s="159">
        <v>4500</v>
      </c>
      <c r="W242" s="159">
        <v>186</v>
      </c>
      <c r="X242" s="159">
        <v>0</v>
      </c>
      <c r="Y242" s="159">
        <v>1500</v>
      </c>
      <c r="Z242" s="159">
        <v>4079</v>
      </c>
      <c r="AA242" s="159">
        <v>0</v>
      </c>
      <c r="AB242" s="159">
        <v>0</v>
      </c>
      <c r="AC242" s="159">
        <v>0</v>
      </c>
      <c r="AD242" s="207">
        <v>84298</v>
      </c>
      <c r="AE242" s="200">
        <v>18.74775401350152</v>
      </c>
      <c r="AF242" s="200">
        <v>13.138071564563926</v>
      </c>
      <c r="AG242" s="200">
        <v>12.985467472796907</v>
      </c>
      <c r="AH242" s="200">
        <v>575</v>
      </c>
      <c r="AI242" s="200">
        <v>823</v>
      </c>
      <c r="AJ242" s="200">
        <v>1069</v>
      </c>
      <c r="AL242" s="197">
        <f t="shared" si="27"/>
        <v>96636.337178990201</v>
      </c>
      <c r="AM242" s="197" t="str">
        <f t="shared" si="28"/>
        <v>Box Medium 4</v>
      </c>
      <c r="AN242" s="3">
        <f t="shared" si="29"/>
        <v>8.7690214474784192</v>
      </c>
      <c r="AO242" s="3">
        <f t="shared" si="30"/>
        <v>3.384791779894138</v>
      </c>
      <c r="AP242" s="3">
        <f t="shared" si="31"/>
        <v>30.989722494935819</v>
      </c>
      <c r="AQ242" s="3">
        <f t="shared" si="32"/>
        <v>1.1156300098176894</v>
      </c>
      <c r="AR242" s="3">
        <f t="shared" si="33"/>
        <v>4.5004217897118277</v>
      </c>
      <c r="AS242" s="81">
        <f t="shared" si="34"/>
        <v>0.75210545545573715</v>
      </c>
      <c r="AT242" s="81">
        <f t="shared" si="35"/>
        <v>0.24789454454426277</v>
      </c>
    </row>
    <row r="243" spans="1:46" x14ac:dyDescent="0.25">
      <c r="A243" t="s">
        <v>230</v>
      </c>
      <c r="B243">
        <v>2025</v>
      </c>
      <c r="C243" t="s">
        <v>680</v>
      </c>
      <c r="D243" t="s">
        <v>806</v>
      </c>
      <c r="E243" t="s">
        <v>1028</v>
      </c>
      <c r="F243">
        <v>4</v>
      </c>
      <c r="G243" t="s">
        <v>1978</v>
      </c>
      <c r="H243" s="460">
        <v>3827.8334280631807</v>
      </c>
      <c r="I243">
        <v>1650</v>
      </c>
      <c r="J243">
        <v>150.00000001001371</v>
      </c>
      <c r="K243" s="67">
        <v>157.26637500000001</v>
      </c>
      <c r="L243" s="159">
        <v>0</v>
      </c>
      <c r="M243" s="159">
        <v>0</v>
      </c>
      <c r="N243" s="159">
        <v>0</v>
      </c>
      <c r="O243" s="159">
        <v>0</v>
      </c>
      <c r="P243" s="159">
        <v>0</v>
      </c>
      <c r="Q243" s="159">
        <v>1500</v>
      </c>
      <c r="R243" s="159">
        <v>2000</v>
      </c>
      <c r="S243" s="159">
        <v>27118</v>
      </c>
      <c r="T243" s="159">
        <v>0</v>
      </c>
      <c r="U243" s="159">
        <v>44035</v>
      </c>
      <c r="V243" s="159">
        <v>4500</v>
      </c>
      <c r="W243" s="159">
        <v>186</v>
      </c>
      <c r="X243" s="159">
        <v>0</v>
      </c>
      <c r="Y243" s="159">
        <v>1500</v>
      </c>
      <c r="Z243" s="159">
        <v>4667</v>
      </c>
      <c r="AA243" s="159">
        <v>0</v>
      </c>
      <c r="AB243" s="159">
        <v>0</v>
      </c>
      <c r="AC243" s="159">
        <v>0</v>
      </c>
      <c r="AD243" s="207">
        <v>85506</v>
      </c>
      <c r="AE243" s="200">
        <v>0</v>
      </c>
      <c r="AF243" s="200">
        <v>0</v>
      </c>
      <c r="AG243" s="200">
        <v>0</v>
      </c>
      <c r="AH243" s="200">
        <v>542</v>
      </c>
      <c r="AI243" s="200">
        <v>899</v>
      </c>
      <c r="AJ243" s="200">
        <v>1149</v>
      </c>
      <c r="AL243" s="197">
        <f t="shared" si="27"/>
        <v>98021.14696465795</v>
      </c>
      <c r="AM243" s="197" t="str">
        <f t="shared" si="28"/>
        <v>Box Medium 4</v>
      </c>
      <c r="AN243" s="3">
        <f t="shared" si="29"/>
        <v>0</v>
      </c>
      <c r="AO243" s="3">
        <f t="shared" si="30"/>
        <v>0</v>
      </c>
      <c r="AP243" s="3">
        <f t="shared" si="31"/>
        <v>66.225906272136413</v>
      </c>
      <c r="AQ243" s="3">
        <f t="shared" si="32"/>
        <v>2.3841326257969109</v>
      </c>
      <c r="AR243" s="3">
        <f t="shared" si="33"/>
        <v>2.3841326257969109</v>
      </c>
      <c r="AS243" s="81">
        <f t="shared" si="34"/>
        <v>0</v>
      </c>
      <c r="AT243" s="81">
        <f t="shared" si="35"/>
        <v>1</v>
      </c>
    </row>
    <row r="244" spans="1:46" x14ac:dyDescent="0.25">
      <c r="A244" t="s">
        <v>496</v>
      </c>
      <c r="B244">
        <v>2025</v>
      </c>
      <c r="C244" t="s">
        <v>680</v>
      </c>
      <c r="D244" t="s">
        <v>806</v>
      </c>
      <c r="E244" t="s">
        <v>1028</v>
      </c>
      <c r="F244">
        <v>4</v>
      </c>
      <c r="G244" t="s">
        <v>1979</v>
      </c>
      <c r="H244" s="460">
        <v>3200.6630883339585</v>
      </c>
      <c r="I244">
        <v>1650</v>
      </c>
      <c r="J244">
        <v>150.00000001001371</v>
      </c>
      <c r="K244" s="67">
        <v>3.6115200000000005</v>
      </c>
      <c r="L244" s="159">
        <v>0</v>
      </c>
      <c r="M244" s="159">
        <v>0</v>
      </c>
      <c r="N244" s="159">
        <v>0</v>
      </c>
      <c r="O244" s="159">
        <v>0</v>
      </c>
      <c r="P244" s="159">
        <v>0</v>
      </c>
      <c r="Q244" s="159">
        <v>1500</v>
      </c>
      <c r="R244" s="159">
        <v>2000</v>
      </c>
      <c r="S244" s="159">
        <v>27118</v>
      </c>
      <c r="T244" s="159">
        <v>0</v>
      </c>
      <c r="U244" s="159">
        <v>1706</v>
      </c>
      <c r="V244" s="159">
        <v>4500</v>
      </c>
      <c r="W244" s="159">
        <v>186</v>
      </c>
      <c r="X244" s="159">
        <v>0</v>
      </c>
      <c r="Y244" s="159">
        <v>1500</v>
      </c>
      <c r="Z244" s="159">
        <v>4736</v>
      </c>
      <c r="AA244" s="159">
        <v>19239</v>
      </c>
      <c r="AB244" s="159">
        <v>6759</v>
      </c>
      <c r="AC244" s="159">
        <v>0</v>
      </c>
      <c r="AD244" s="207">
        <v>69244</v>
      </c>
      <c r="AE244" s="200">
        <v>39.225783884227702</v>
      </c>
      <c r="AF244" s="200">
        <v>25.178282028331918</v>
      </c>
      <c r="AG244" s="200">
        <v>19.036703659109364</v>
      </c>
      <c r="AH244" s="200">
        <v>0</v>
      </c>
      <c r="AI244" s="200">
        <v>0</v>
      </c>
      <c r="AJ244" s="200">
        <v>0</v>
      </c>
      <c r="AL244" s="197">
        <f t="shared" si="27"/>
        <v>79378.947681107471</v>
      </c>
      <c r="AM244" s="197" t="str">
        <f t="shared" si="28"/>
        <v>Box Medium 4</v>
      </c>
      <c r="AN244" s="3">
        <f t="shared" si="29"/>
        <v>11.448681010129384</v>
      </c>
      <c r="AO244" s="3">
        <f t="shared" si="30"/>
        <v>4.4191249395175367</v>
      </c>
      <c r="AP244" s="3">
        <f t="shared" si="31"/>
        <v>0</v>
      </c>
      <c r="AQ244" s="3">
        <f t="shared" si="32"/>
        <v>0</v>
      </c>
      <c r="AR244" s="3">
        <f t="shared" si="33"/>
        <v>4.4191249395175367</v>
      </c>
      <c r="AS244" s="81">
        <f t="shared" si="34"/>
        <v>1</v>
      </c>
      <c r="AT244" s="81">
        <f t="shared" si="35"/>
        <v>0</v>
      </c>
    </row>
    <row r="245" spans="1:46" x14ac:dyDescent="0.25">
      <c r="A245" t="s">
        <v>828</v>
      </c>
      <c r="B245">
        <v>2025</v>
      </c>
      <c r="C245" t="s">
        <v>680</v>
      </c>
      <c r="D245" t="s">
        <v>806</v>
      </c>
      <c r="E245" t="s">
        <v>1028</v>
      </c>
      <c r="F245">
        <v>4</v>
      </c>
      <c r="G245" t="s">
        <v>1980</v>
      </c>
      <c r="H245" s="460">
        <v>3247.6133226660504</v>
      </c>
      <c r="I245">
        <v>1650</v>
      </c>
      <c r="J245">
        <v>150.00000001001371</v>
      </c>
      <c r="K245" s="67">
        <v>32.272500000000001</v>
      </c>
      <c r="L245" s="159">
        <v>0</v>
      </c>
      <c r="M245" s="159">
        <v>0</v>
      </c>
      <c r="N245" s="159">
        <v>0</v>
      </c>
      <c r="O245" s="159">
        <v>0</v>
      </c>
      <c r="P245" s="159">
        <v>0</v>
      </c>
      <c r="Q245" s="159">
        <v>1500</v>
      </c>
      <c r="R245" s="159">
        <v>2000</v>
      </c>
      <c r="S245" s="159">
        <v>27118</v>
      </c>
      <c r="T245" s="159">
        <v>0</v>
      </c>
      <c r="U245" s="159">
        <v>9036</v>
      </c>
      <c r="V245" s="159">
        <v>4500</v>
      </c>
      <c r="W245" s="159">
        <v>186</v>
      </c>
      <c r="X245" s="159">
        <v>0</v>
      </c>
      <c r="Y245" s="159">
        <v>1500</v>
      </c>
      <c r="Z245" s="159">
        <v>5951</v>
      </c>
      <c r="AA245" s="159">
        <v>7136</v>
      </c>
      <c r="AB245" s="159">
        <v>5302</v>
      </c>
      <c r="AC245" s="159">
        <v>0</v>
      </c>
      <c r="AD245" s="207">
        <v>64229</v>
      </c>
      <c r="AE245" s="200">
        <v>39.346235118367161</v>
      </c>
      <c r="AF245" s="200">
        <v>22.630321034751169</v>
      </c>
      <c r="AG245" s="200">
        <v>19.382097572124518</v>
      </c>
      <c r="AH245" s="200">
        <v>0</v>
      </c>
      <c r="AI245" s="200">
        <v>0</v>
      </c>
      <c r="AJ245" s="200">
        <v>355.86337388509423</v>
      </c>
      <c r="AL245" s="197">
        <f t="shared" si="27"/>
        <v>73629.923612296392</v>
      </c>
      <c r="AM245" s="197" t="str">
        <f t="shared" si="28"/>
        <v>Box Medium 4</v>
      </c>
      <c r="AN245" s="3">
        <f t="shared" si="29"/>
        <v>11.363159351381725</v>
      </c>
      <c r="AO245" s="3">
        <f t="shared" si="30"/>
        <v>4.386114071741039</v>
      </c>
      <c r="AP245" s="3">
        <f t="shared" si="31"/>
        <v>17.911027678857565</v>
      </c>
      <c r="AQ245" s="3">
        <f t="shared" si="32"/>
        <v>0.64479699643887234</v>
      </c>
      <c r="AR245" s="3">
        <f t="shared" si="33"/>
        <v>5.0309110681799112</v>
      </c>
      <c r="AS245" s="81">
        <f t="shared" si="34"/>
        <v>0.87183295675466044</v>
      </c>
      <c r="AT245" s="81">
        <f t="shared" si="35"/>
        <v>0.12816704324533962</v>
      </c>
    </row>
    <row r="246" spans="1:46" x14ac:dyDescent="0.25">
      <c r="A246" t="s">
        <v>805</v>
      </c>
      <c r="B246">
        <v>2030</v>
      </c>
      <c r="C246" t="s">
        <v>680</v>
      </c>
      <c r="D246" t="s">
        <v>806</v>
      </c>
      <c r="E246" t="s">
        <v>1028</v>
      </c>
      <c r="F246">
        <v>4</v>
      </c>
      <c r="G246" t="s">
        <v>1981</v>
      </c>
      <c r="H246" s="460">
        <v>3230.9625335599212</v>
      </c>
      <c r="I246">
        <v>1650</v>
      </c>
      <c r="J246">
        <v>0</v>
      </c>
      <c r="K246" s="67">
        <v>0</v>
      </c>
      <c r="L246" s="159">
        <v>150</v>
      </c>
      <c r="M246" s="159">
        <v>13928</v>
      </c>
      <c r="N246" s="159">
        <v>1920</v>
      </c>
      <c r="O246" s="159">
        <v>506</v>
      </c>
      <c r="P246" s="159">
        <v>3819</v>
      </c>
      <c r="Q246" s="159">
        <v>1500</v>
      </c>
      <c r="R246" s="159">
        <v>2000</v>
      </c>
      <c r="S246" s="159">
        <v>27251</v>
      </c>
      <c r="T246" s="159">
        <v>73</v>
      </c>
      <c r="U246" s="159">
        <v>120</v>
      </c>
      <c r="V246" s="159">
        <v>0</v>
      </c>
      <c r="W246" s="159">
        <v>186</v>
      </c>
      <c r="X246" s="159">
        <v>0</v>
      </c>
      <c r="Y246" s="159">
        <v>0</v>
      </c>
      <c r="Z246" s="159">
        <v>0</v>
      </c>
      <c r="AA246" s="159">
        <v>0</v>
      </c>
      <c r="AB246" s="159">
        <v>0</v>
      </c>
      <c r="AC246" s="159">
        <v>0</v>
      </c>
      <c r="AD246" s="207">
        <v>51453</v>
      </c>
      <c r="AE246" s="200">
        <v>16.216442372292594</v>
      </c>
      <c r="AF246" s="200">
        <v>18.560530046924764</v>
      </c>
      <c r="AG246" s="200">
        <v>16.596605187698355</v>
      </c>
      <c r="AH246" s="200">
        <v>0</v>
      </c>
      <c r="AI246" s="200">
        <v>0</v>
      </c>
      <c r="AJ246" s="200">
        <v>0</v>
      </c>
      <c r="AL246" s="197">
        <f t="shared" si="27"/>
        <v>58983.955216856659</v>
      </c>
      <c r="AM246" s="197" t="str">
        <f t="shared" si="28"/>
        <v>Box Medium 4</v>
      </c>
      <c r="AN246" s="3">
        <f t="shared" si="29"/>
        <v>14.070742921466527</v>
      </c>
      <c r="AO246" s="3">
        <f t="shared" si="30"/>
        <v>5.4312257374257875</v>
      </c>
      <c r="AP246" s="3">
        <f t="shared" si="31"/>
        <v>0</v>
      </c>
      <c r="AQ246" s="3">
        <f t="shared" si="32"/>
        <v>0</v>
      </c>
      <c r="AR246" s="3">
        <f t="shared" si="33"/>
        <v>5.4312257374257875</v>
      </c>
      <c r="AS246" s="81">
        <f t="shared" si="34"/>
        <v>1</v>
      </c>
      <c r="AT246" s="81">
        <f t="shared" si="35"/>
        <v>0</v>
      </c>
    </row>
    <row r="247" spans="1:46" x14ac:dyDescent="0.25">
      <c r="A247" t="s">
        <v>805</v>
      </c>
      <c r="B247">
        <v>2030</v>
      </c>
      <c r="C247" t="s">
        <v>680</v>
      </c>
      <c r="D247" t="s">
        <v>806</v>
      </c>
      <c r="E247" t="s">
        <v>1028</v>
      </c>
      <c r="F247">
        <v>4</v>
      </c>
      <c r="G247" t="s">
        <v>1982</v>
      </c>
      <c r="H247" s="460">
        <v>3097.5362437406447</v>
      </c>
      <c r="I247">
        <v>1650</v>
      </c>
      <c r="J247">
        <v>0</v>
      </c>
      <c r="K247" s="67">
        <v>0</v>
      </c>
      <c r="L247" s="159">
        <v>150</v>
      </c>
      <c r="M247" s="159">
        <v>15708</v>
      </c>
      <c r="N247" s="159">
        <v>1920</v>
      </c>
      <c r="O247" s="159">
        <v>506</v>
      </c>
      <c r="P247" s="159">
        <v>2988</v>
      </c>
      <c r="Q247" s="159">
        <v>1500</v>
      </c>
      <c r="R247" s="159">
        <v>2000</v>
      </c>
      <c r="S247" s="159">
        <v>27251</v>
      </c>
      <c r="T247" s="159">
        <v>73</v>
      </c>
      <c r="U247" s="159">
        <v>120</v>
      </c>
      <c r="V247" s="159">
        <v>0</v>
      </c>
      <c r="W247" s="159">
        <v>186</v>
      </c>
      <c r="X247" s="159">
        <v>0</v>
      </c>
      <c r="Y247" s="159">
        <v>0</v>
      </c>
      <c r="Z247" s="159">
        <v>0</v>
      </c>
      <c r="AA247" s="159">
        <v>0</v>
      </c>
      <c r="AB247" s="159">
        <v>0</v>
      </c>
      <c r="AC247" s="159">
        <v>0</v>
      </c>
      <c r="AD247" s="207">
        <v>52402</v>
      </c>
      <c r="AE247" s="200">
        <v>11.0476017261874</v>
      </c>
      <c r="AF247" s="200">
        <v>13.510305287311162</v>
      </c>
      <c r="AG247" s="200">
        <v>13.400768386739681</v>
      </c>
      <c r="AH247" s="200">
        <v>0</v>
      </c>
      <c r="AI247" s="200">
        <v>0</v>
      </c>
      <c r="AJ247" s="200">
        <v>0</v>
      </c>
      <c r="AL247" s="197">
        <f t="shared" si="27"/>
        <v>60071.856281921806</v>
      </c>
      <c r="AM247" s="197" t="str">
        <f t="shared" si="28"/>
        <v>Box Medium 4</v>
      </c>
      <c r="AN247" s="3">
        <f t="shared" si="29"/>
        <v>17.91342249976497</v>
      </c>
      <c r="AO247" s="3">
        <f t="shared" si="30"/>
        <v>6.9144779255170574</v>
      </c>
      <c r="AP247" s="3">
        <f t="shared" si="31"/>
        <v>0</v>
      </c>
      <c r="AQ247" s="3">
        <f t="shared" si="32"/>
        <v>0</v>
      </c>
      <c r="AR247" s="3">
        <f t="shared" si="33"/>
        <v>6.9144779255170574</v>
      </c>
      <c r="AS247" s="81">
        <f t="shared" si="34"/>
        <v>1</v>
      </c>
      <c r="AT247" s="81">
        <f t="shared" si="35"/>
        <v>0</v>
      </c>
    </row>
    <row r="248" spans="1:46" x14ac:dyDescent="0.25">
      <c r="A248" t="s">
        <v>807</v>
      </c>
      <c r="B248">
        <v>2030</v>
      </c>
      <c r="C248" t="s">
        <v>680</v>
      </c>
      <c r="D248" t="s">
        <v>806</v>
      </c>
      <c r="E248" t="s">
        <v>1028</v>
      </c>
      <c r="F248">
        <v>4</v>
      </c>
      <c r="G248" t="s">
        <v>1983</v>
      </c>
      <c r="H248" s="460">
        <v>3287.1169744230565</v>
      </c>
      <c r="I248">
        <v>1650</v>
      </c>
      <c r="J248">
        <v>0</v>
      </c>
      <c r="K248" s="67">
        <v>2.9937600000000004</v>
      </c>
      <c r="L248" s="159">
        <v>150</v>
      </c>
      <c r="M248" s="159">
        <v>13955</v>
      </c>
      <c r="N248" s="159">
        <v>220</v>
      </c>
      <c r="O248" s="159">
        <v>392</v>
      </c>
      <c r="P248" s="159">
        <v>3832</v>
      </c>
      <c r="Q248" s="159">
        <v>1500</v>
      </c>
      <c r="R248" s="159">
        <v>2000</v>
      </c>
      <c r="S248" s="159">
        <v>27251</v>
      </c>
      <c r="T248" s="159">
        <v>0</v>
      </c>
      <c r="U248" s="159">
        <v>1075</v>
      </c>
      <c r="V248" s="159">
        <v>4500</v>
      </c>
      <c r="W248" s="159">
        <v>186</v>
      </c>
      <c r="X248" s="159">
        <v>120</v>
      </c>
      <c r="Y248" s="159">
        <v>1500</v>
      </c>
      <c r="Z248" s="159">
        <v>1786</v>
      </c>
      <c r="AA248" s="159">
        <v>0</v>
      </c>
      <c r="AB248" s="159">
        <v>0</v>
      </c>
      <c r="AC248" s="159">
        <v>0</v>
      </c>
      <c r="AD248" s="207">
        <v>58467</v>
      </c>
      <c r="AE248" s="200">
        <v>24.152242890976595</v>
      </c>
      <c r="AF248" s="200">
        <v>21.469391084553994</v>
      </c>
      <c r="AG248" s="200">
        <v>17.100167152377015</v>
      </c>
      <c r="AH248" s="200">
        <v>0</v>
      </c>
      <c r="AI248" s="200">
        <v>0</v>
      </c>
      <c r="AJ248" s="200">
        <v>0</v>
      </c>
      <c r="AL248" s="197">
        <f t="shared" si="27"/>
        <v>67024.564353175883</v>
      </c>
      <c r="AM248" s="197" t="str">
        <f t="shared" si="28"/>
        <v>Box Medium 4</v>
      </c>
      <c r="AN248" s="3">
        <f t="shared" si="29"/>
        <v>13.101570301960914</v>
      </c>
      <c r="AO248" s="3">
        <f t="shared" si="30"/>
        <v>5.0571306875448938</v>
      </c>
      <c r="AP248" s="3">
        <f t="shared" si="31"/>
        <v>0</v>
      </c>
      <c r="AQ248" s="3">
        <f t="shared" si="32"/>
        <v>0</v>
      </c>
      <c r="AR248" s="3">
        <f t="shared" si="33"/>
        <v>5.0571306875448938</v>
      </c>
      <c r="AS248" s="81">
        <f t="shared" si="34"/>
        <v>1</v>
      </c>
      <c r="AT248" s="81">
        <f t="shared" si="35"/>
        <v>0</v>
      </c>
    </row>
    <row r="249" spans="1:46" x14ac:dyDescent="0.25">
      <c r="A249" t="s">
        <v>807</v>
      </c>
      <c r="B249">
        <v>2030</v>
      </c>
      <c r="C249" t="s">
        <v>680</v>
      </c>
      <c r="D249" t="s">
        <v>806</v>
      </c>
      <c r="E249" t="s">
        <v>1028</v>
      </c>
      <c r="F249">
        <v>4</v>
      </c>
      <c r="G249" t="s">
        <v>1984</v>
      </c>
      <c r="H249" s="460">
        <v>3100.1775398328773</v>
      </c>
      <c r="I249">
        <v>1650</v>
      </c>
      <c r="J249">
        <v>0</v>
      </c>
      <c r="K249" s="67">
        <v>2.6611200000000004</v>
      </c>
      <c r="L249" s="159">
        <v>150</v>
      </c>
      <c r="M249" s="159">
        <v>10783</v>
      </c>
      <c r="N249" s="159">
        <v>220</v>
      </c>
      <c r="O249" s="159">
        <v>392</v>
      </c>
      <c r="P249" s="159">
        <v>2271</v>
      </c>
      <c r="Q249" s="159">
        <v>1500</v>
      </c>
      <c r="R249" s="159">
        <v>2000</v>
      </c>
      <c r="S249" s="159">
        <v>27251</v>
      </c>
      <c r="T249" s="159">
        <v>0</v>
      </c>
      <c r="U249" s="159">
        <v>956</v>
      </c>
      <c r="V249" s="159">
        <v>4500</v>
      </c>
      <c r="W249" s="159">
        <v>186</v>
      </c>
      <c r="X249" s="159">
        <v>120</v>
      </c>
      <c r="Y249" s="159">
        <v>1500</v>
      </c>
      <c r="Z249" s="159">
        <v>1736</v>
      </c>
      <c r="AA249" s="159">
        <v>0</v>
      </c>
      <c r="AB249" s="159">
        <v>0</v>
      </c>
      <c r="AC249" s="159">
        <v>0</v>
      </c>
      <c r="AD249" s="207">
        <v>53565</v>
      </c>
      <c r="AE249" s="200">
        <v>10.965530703790693</v>
      </c>
      <c r="AF249" s="200">
        <v>17.424530969504094</v>
      </c>
      <c r="AG249" s="200">
        <v>14.259924141841822</v>
      </c>
      <c r="AH249" s="200">
        <v>0</v>
      </c>
      <c r="AI249" s="200">
        <v>0</v>
      </c>
      <c r="AJ249" s="200">
        <v>0</v>
      </c>
      <c r="AL249" s="197">
        <f t="shared" si="27"/>
        <v>61405.079610342</v>
      </c>
      <c r="AM249" s="197" t="str">
        <f t="shared" si="28"/>
        <v>Box Medium 4</v>
      </c>
      <c r="AN249" s="3">
        <f t="shared" si="29"/>
        <v>16.720775692069964</v>
      </c>
      <c r="AO249" s="3">
        <f t="shared" si="30"/>
        <v>6.4541231259329077</v>
      </c>
      <c r="AP249" s="3">
        <f t="shared" si="31"/>
        <v>0</v>
      </c>
      <c r="AQ249" s="3">
        <f t="shared" si="32"/>
        <v>0</v>
      </c>
      <c r="AR249" s="3">
        <f t="shared" si="33"/>
        <v>6.4541231259329077</v>
      </c>
      <c r="AS249" s="81">
        <f t="shared" si="34"/>
        <v>1</v>
      </c>
      <c r="AT249" s="81">
        <f t="shared" si="35"/>
        <v>0</v>
      </c>
    </row>
    <row r="250" spans="1:46" x14ac:dyDescent="0.25">
      <c r="A250" t="s">
        <v>808</v>
      </c>
      <c r="B250">
        <v>2030</v>
      </c>
      <c r="C250" t="s">
        <v>680</v>
      </c>
      <c r="D250" t="s">
        <v>806</v>
      </c>
      <c r="E250" t="s">
        <v>1028</v>
      </c>
      <c r="F250">
        <v>4</v>
      </c>
      <c r="G250" t="s">
        <v>1985</v>
      </c>
      <c r="H250" s="460">
        <v>3815.1668436256632</v>
      </c>
      <c r="I250">
        <v>1650</v>
      </c>
      <c r="J250">
        <v>119.99999997072871</v>
      </c>
      <c r="K250" s="67">
        <v>114.815625</v>
      </c>
      <c r="L250" s="159">
        <v>0</v>
      </c>
      <c r="M250" s="159">
        <v>10127</v>
      </c>
      <c r="N250" s="159">
        <v>220</v>
      </c>
      <c r="O250" s="159">
        <v>0</v>
      </c>
      <c r="P250" s="159">
        <v>0</v>
      </c>
      <c r="Q250" s="159">
        <v>1500</v>
      </c>
      <c r="R250" s="159">
        <v>2000</v>
      </c>
      <c r="S250" s="159">
        <v>27251</v>
      </c>
      <c r="T250" s="159">
        <v>1821</v>
      </c>
      <c r="U250" s="159">
        <v>22963</v>
      </c>
      <c r="V250" s="159">
        <v>4500</v>
      </c>
      <c r="W250" s="159">
        <v>186</v>
      </c>
      <c r="X250" s="159">
        <v>0</v>
      </c>
      <c r="Y250" s="159">
        <v>1500</v>
      </c>
      <c r="Z250" s="159">
        <v>4290</v>
      </c>
      <c r="AA250" s="159">
        <v>0</v>
      </c>
      <c r="AB250" s="159">
        <v>0</v>
      </c>
      <c r="AC250" s="159">
        <v>0</v>
      </c>
      <c r="AD250" s="207">
        <v>76358</v>
      </c>
      <c r="AE250" s="200">
        <v>65.312546173071723</v>
      </c>
      <c r="AF250" s="200">
        <v>31.754619187401108</v>
      </c>
      <c r="AG250" s="200">
        <v>22.280329744405321</v>
      </c>
      <c r="AH250" s="200">
        <v>526</v>
      </c>
      <c r="AI250" s="200">
        <v>869</v>
      </c>
      <c r="AJ250" s="200">
        <v>1107</v>
      </c>
      <c r="AL250" s="197">
        <f t="shared" si="27"/>
        <v>87534.193389087915</v>
      </c>
      <c r="AM250" s="197" t="str">
        <f t="shared" si="28"/>
        <v>Box Medium 4</v>
      </c>
      <c r="AN250" s="3">
        <f t="shared" si="29"/>
        <v>4.789011632689002</v>
      </c>
      <c r="AO250" s="3">
        <f t="shared" si="30"/>
        <v>1.8485309113714574</v>
      </c>
      <c r="AP250" s="3">
        <f t="shared" si="31"/>
        <v>31.92240297264717</v>
      </c>
      <c r="AQ250" s="3">
        <f t="shared" si="32"/>
        <v>1.1492065070152981</v>
      </c>
      <c r="AR250" s="3">
        <f t="shared" si="33"/>
        <v>2.9977374183867553</v>
      </c>
      <c r="AS250" s="81">
        <f t="shared" si="34"/>
        <v>0.61664203810294094</v>
      </c>
      <c r="AT250" s="81">
        <f t="shared" si="35"/>
        <v>0.38335796189705912</v>
      </c>
    </row>
    <row r="251" spans="1:46" x14ac:dyDescent="0.25">
      <c r="A251" t="s">
        <v>808</v>
      </c>
      <c r="B251">
        <v>2030</v>
      </c>
      <c r="C251" t="s">
        <v>680</v>
      </c>
      <c r="D251" t="s">
        <v>806</v>
      </c>
      <c r="E251" t="s">
        <v>1028</v>
      </c>
      <c r="F251">
        <v>4</v>
      </c>
      <c r="G251" t="s">
        <v>1986</v>
      </c>
      <c r="H251" s="460">
        <v>3694.0320020913996</v>
      </c>
      <c r="I251">
        <v>1650</v>
      </c>
      <c r="J251">
        <v>119.99999997072871</v>
      </c>
      <c r="K251" s="67">
        <v>106.126875</v>
      </c>
      <c r="L251" s="159">
        <v>0</v>
      </c>
      <c r="M251" s="159">
        <v>6729</v>
      </c>
      <c r="N251" s="159">
        <v>220</v>
      </c>
      <c r="O251" s="159">
        <v>0</v>
      </c>
      <c r="P251" s="159">
        <v>2731</v>
      </c>
      <c r="Q251" s="159">
        <v>1500</v>
      </c>
      <c r="R251" s="159">
        <v>2000</v>
      </c>
      <c r="S251" s="159">
        <v>27251</v>
      </c>
      <c r="T251" s="159">
        <v>1349</v>
      </c>
      <c r="U251" s="159">
        <v>21225</v>
      </c>
      <c r="V251" s="159">
        <v>4500</v>
      </c>
      <c r="W251" s="159">
        <v>186</v>
      </c>
      <c r="X251" s="159">
        <v>0</v>
      </c>
      <c r="Y251" s="159">
        <v>1500</v>
      </c>
      <c r="Z251" s="159">
        <v>3193</v>
      </c>
      <c r="AA251" s="159">
        <v>0</v>
      </c>
      <c r="AB251" s="159">
        <v>0</v>
      </c>
      <c r="AC251" s="159">
        <v>0</v>
      </c>
      <c r="AD251" s="207">
        <v>72384</v>
      </c>
      <c r="AE251" s="200">
        <v>21.151979428553229</v>
      </c>
      <c r="AF251" s="200">
        <v>14.926201721967042</v>
      </c>
      <c r="AG251" s="200">
        <v>14.629428511151209</v>
      </c>
      <c r="AH251" s="200">
        <v>537</v>
      </c>
      <c r="AI251" s="200">
        <v>758</v>
      </c>
      <c r="AJ251" s="200">
        <v>982</v>
      </c>
      <c r="AL251" s="197">
        <f t="shared" si="27"/>
        <v>82978.536031270327</v>
      </c>
      <c r="AM251" s="197" t="str">
        <f t="shared" si="28"/>
        <v>Box Medium 4</v>
      </c>
      <c r="AN251" s="3">
        <f t="shared" si="29"/>
        <v>7.7768239838576116</v>
      </c>
      <c r="AO251" s="3">
        <f t="shared" si="30"/>
        <v>3.0018092727797043</v>
      </c>
      <c r="AP251" s="3">
        <f t="shared" si="31"/>
        <v>28.500503311916688</v>
      </c>
      <c r="AQ251" s="3">
        <f t="shared" si="32"/>
        <v>1.0260181192290008</v>
      </c>
      <c r="AR251" s="3">
        <f t="shared" si="33"/>
        <v>4.0278273920087049</v>
      </c>
      <c r="AS251" s="81">
        <f t="shared" si="34"/>
        <v>0.74526760474775</v>
      </c>
      <c r="AT251" s="81">
        <f t="shared" si="35"/>
        <v>0.25473239525225</v>
      </c>
    </row>
    <row r="252" spans="1:46" x14ac:dyDescent="0.25">
      <c r="A252" t="s">
        <v>230</v>
      </c>
      <c r="B252">
        <v>2030</v>
      </c>
      <c r="C252" t="s">
        <v>680</v>
      </c>
      <c r="D252" t="s">
        <v>806</v>
      </c>
      <c r="E252" t="s">
        <v>1028</v>
      </c>
      <c r="F252">
        <v>4</v>
      </c>
      <c r="G252" t="s">
        <v>1987</v>
      </c>
      <c r="H252" s="460">
        <v>3560.6210509148104</v>
      </c>
      <c r="I252">
        <v>1650</v>
      </c>
      <c r="J252">
        <v>150.00000001001371</v>
      </c>
      <c r="K252" s="67">
        <v>147.4605</v>
      </c>
      <c r="L252" s="159">
        <v>0</v>
      </c>
      <c r="M252" s="159">
        <v>0</v>
      </c>
      <c r="N252" s="159">
        <v>0</v>
      </c>
      <c r="O252" s="159">
        <v>0</v>
      </c>
      <c r="P252" s="159">
        <v>0</v>
      </c>
      <c r="Q252" s="159">
        <v>1500</v>
      </c>
      <c r="R252" s="159">
        <v>2000</v>
      </c>
      <c r="S252" s="159">
        <v>27251</v>
      </c>
      <c r="T252" s="159">
        <v>0</v>
      </c>
      <c r="U252" s="159">
        <v>29492</v>
      </c>
      <c r="V252" s="159">
        <v>4500</v>
      </c>
      <c r="W252" s="159">
        <v>186</v>
      </c>
      <c r="X252" s="159">
        <v>0</v>
      </c>
      <c r="Y252" s="159">
        <v>1500</v>
      </c>
      <c r="Z252" s="159">
        <v>3667</v>
      </c>
      <c r="AA252" s="159">
        <v>0</v>
      </c>
      <c r="AB252" s="159">
        <v>0</v>
      </c>
      <c r="AC252" s="159">
        <v>0</v>
      </c>
      <c r="AD252" s="207">
        <v>70096</v>
      </c>
      <c r="AE252" s="200">
        <v>0</v>
      </c>
      <c r="AF252" s="200">
        <v>0</v>
      </c>
      <c r="AG252" s="200">
        <v>0</v>
      </c>
      <c r="AH252" s="200">
        <v>504</v>
      </c>
      <c r="AI252" s="200">
        <v>830</v>
      </c>
      <c r="AJ252" s="200">
        <v>1059</v>
      </c>
      <c r="AL252" s="197">
        <f t="shared" si="27"/>
        <v>80355.65127166122</v>
      </c>
      <c r="AM252" s="197" t="str">
        <f t="shared" si="28"/>
        <v>Box Medium 4</v>
      </c>
      <c r="AN252" s="3">
        <f t="shared" si="29"/>
        <v>0</v>
      </c>
      <c r="AO252" s="3">
        <f t="shared" si="30"/>
        <v>0</v>
      </c>
      <c r="AP252" s="3">
        <f t="shared" si="31"/>
        <v>61.074104912572857</v>
      </c>
      <c r="AQ252" s="3">
        <f t="shared" si="32"/>
        <v>2.198667776852623</v>
      </c>
      <c r="AR252" s="3">
        <f t="shared" si="33"/>
        <v>2.198667776852623</v>
      </c>
      <c r="AS252" s="81">
        <f t="shared" si="34"/>
        <v>0</v>
      </c>
      <c r="AT252" s="81">
        <f t="shared" si="35"/>
        <v>1</v>
      </c>
    </row>
    <row r="253" spans="1:46" x14ac:dyDescent="0.25">
      <c r="A253" t="s">
        <v>496</v>
      </c>
      <c r="B253">
        <v>2030</v>
      </c>
      <c r="C253" t="s">
        <v>680</v>
      </c>
      <c r="D253" t="s">
        <v>806</v>
      </c>
      <c r="E253" t="s">
        <v>1028</v>
      </c>
      <c r="F253">
        <v>4</v>
      </c>
      <c r="G253" t="s">
        <v>1988</v>
      </c>
      <c r="H253" s="460">
        <v>3067.6378769637295</v>
      </c>
      <c r="I253">
        <v>1650</v>
      </c>
      <c r="J253">
        <v>150.00000001001371</v>
      </c>
      <c r="K253" s="67">
        <v>3.6748800000000008</v>
      </c>
      <c r="L253" s="159">
        <v>0</v>
      </c>
      <c r="M253" s="159">
        <v>0</v>
      </c>
      <c r="N253" s="159">
        <v>0</v>
      </c>
      <c r="O253" s="159">
        <v>0</v>
      </c>
      <c r="P253" s="159">
        <v>0</v>
      </c>
      <c r="Q253" s="159">
        <v>1500</v>
      </c>
      <c r="R253" s="159">
        <v>2000</v>
      </c>
      <c r="S253" s="159">
        <v>27251</v>
      </c>
      <c r="T253" s="159">
        <v>0</v>
      </c>
      <c r="U253" s="159">
        <v>1320</v>
      </c>
      <c r="V253" s="159">
        <v>4500</v>
      </c>
      <c r="W253" s="159">
        <v>186</v>
      </c>
      <c r="X253" s="159">
        <v>0</v>
      </c>
      <c r="Y253" s="159">
        <v>1500</v>
      </c>
      <c r="Z253" s="159">
        <v>3708</v>
      </c>
      <c r="AA253" s="159">
        <v>16498</v>
      </c>
      <c r="AB253" s="159">
        <v>5435</v>
      </c>
      <c r="AC253" s="159">
        <v>0</v>
      </c>
      <c r="AD253" s="207">
        <v>63898</v>
      </c>
      <c r="AE253" s="200">
        <v>42.149598140982491</v>
      </c>
      <c r="AF253" s="200">
        <v>27.673377498212073</v>
      </c>
      <c r="AG253" s="200">
        <v>21.030606473240375</v>
      </c>
      <c r="AH253" s="200">
        <v>0</v>
      </c>
      <c r="AI253" s="200">
        <v>0</v>
      </c>
      <c r="AJ253" s="200">
        <v>0</v>
      </c>
      <c r="AL253" s="197">
        <f t="shared" si="27"/>
        <v>73250.476560097697</v>
      </c>
      <c r="AM253" s="197" t="str">
        <f t="shared" si="28"/>
        <v>Box Medium 4</v>
      </c>
      <c r="AN253" s="3">
        <f t="shared" si="29"/>
        <v>10.38239994098293</v>
      </c>
      <c r="AO253" s="3">
        <f t="shared" si="30"/>
        <v>4.0075465873011131</v>
      </c>
      <c r="AP253" s="3">
        <f t="shared" si="31"/>
        <v>0</v>
      </c>
      <c r="AQ253" s="3">
        <f t="shared" si="32"/>
        <v>0</v>
      </c>
      <c r="AR253" s="3">
        <f t="shared" si="33"/>
        <v>4.0075465873011131</v>
      </c>
      <c r="AS253" s="81">
        <f t="shared" si="34"/>
        <v>1</v>
      </c>
      <c r="AT253" s="81">
        <f t="shared" si="35"/>
        <v>0</v>
      </c>
    </row>
    <row r="254" spans="1:46" x14ac:dyDescent="0.25">
      <c r="A254" t="s">
        <v>828</v>
      </c>
      <c r="B254">
        <v>2030</v>
      </c>
      <c r="C254" t="s">
        <v>680</v>
      </c>
      <c r="D254" t="s">
        <v>806</v>
      </c>
      <c r="E254" t="s">
        <v>1028</v>
      </c>
      <c r="F254">
        <v>4</v>
      </c>
      <c r="G254" t="s">
        <v>1989</v>
      </c>
      <c r="H254" s="460">
        <v>3089.7616623865888</v>
      </c>
      <c r="I254">
        <v>1650</v>
      </c>
      <c r="J254">
        <v>150.00000001001371</v>
      </c>
      <c r="K254" s="67">
        <v>32.272500000000001</v>
      </c>
      <c r="L254" s="159">
        <v>0</v>
      </c>
      <c r="M254" s="159">
        <v>0</v>
      </c>
      <c r="N254" s="159">
        <v>0</v>
      </c>
      <c r="O254" s="159">
        <v>0</v>
      </c>
      <c r="P254" s="159">
        <v>0</v>
      </c>
      <c r="Q254" s="159">
        <v>1500</v>
      </c>
      <c r="R254" s="159">
        <v>2000</v>
      </c>
      <c r="S254" s="159">
        <v>27251</v>
      </c>
      <c r="T254" s="159">
        <v>0</v>
      </c>
      <c r="U254" s="159">
        <v>6455</v>
      </c>
      <c r="V254" s="159">
        <v>4500</v>
      </c>
      <c r="W254" s="159">
        <v>186</v>
      </c>
      <c r="X254" s="159">
        <v>0</v>
      </c>
      <c r="Y254" s="159">
        <v>1500</v>
      </c>
      <c r="Z254" s="159">
        <v>4670</v>
      </c>
      <c r="AA254" s="159">
        <v>5823</v>
      </c>
      <c r="AB254" s="159">
        <v>4207</v>
      </c>
      <c r="AC254" s="159">
        <v>0</v>
      </c>
      <c r="AD254" s="207">
        <v>58092</v>
      </c>
      <c r="AE254" s="200">
        <v>42.553082734038433</v>
      </c>
      <c r="AF254" s="200">
        <v>24.777701217493927</v>
      </c>
      <c r="AG254" s="200">
        <v>21.159075513164055</v>
      </c>
      <c r="AH254" s="200">
        <v>0</v>
      </c>
      <c r="AI254" s="200">
        <v>0</v>
      </c>
      <c r="AJ254" s="200">
        <v>315.23131781157292</v>
      </c>
      <c r="AL254" s="197">
        <f t="shared" si="27"/>
        <v>66594.677209446236</v>
      </c>
      <c r="AM254" s="197" t="str">
        <f t="shared" si="28"/>
        <v>Box Medium 4</v>
      </c>
      <c r="AN254" s="3">
        <f t="shared" si="29"/>
        <v>10.411503213107199</v>
      </c>
      <c r="AO254" s="3">
        <f t="shared" si="30"/>
        <v>4.0187802827418482</v>
      </c>
      <c r="AP254" s="3">
        <f t="shared" si="31"/>
        <v>15.865967876730467</v>
      </c>
      <c r="AQ254" s="3">
        <f t="shared" si="32"/>
        <v>0.57117484356229686</v>
      </c>
      <c r="AR254" s="3">
        <f t="shared" si="33"/>
        <v>4.5899551263041447</v>
      </c>
      <c r="AS254" s="81">
        <f t="shared" si="34"/>
        <v>0.87555981968342045</v>
      </c>
      <c r="AT254" s="81">
        <f t="shared" si="35"/>
        <v>0.12444018031657965</v>
      </c>
    </row>
    <row r="255" spans="1:46" x14ac:dyDescent="0.25">
      <c r="A255" t="s">
        <v>805</v>
      </c>
      <c r="B255">
        <v>2035</v>
      </c>
      <c r="C255" t="s">
        <v>680</v>
      </c>
      <c r="D255" t="s">
        <v>806</v>
      </c>
      <c r="E255" t="s">
        <v>1028</v>
      </c>
      <c r="F255">
        <v>4</v>
      </c>
      <c r="G255" t="s">
        <v>1990</v>
      </c>
      <c r="H255" s="460">
        <v>3225.6369218349137</v>
      </c>
      <c r="I255">
        <v>1650</v>
      </c>
      <c r="J255">
        <v>0</v>
      </c>
      <c r="K255" s="67">
        <v>0</v>
      </c>
      <c r="L255" s="159">
        <v>150</v>
      </c>
      <c r="M255" s="159">
        <v>13769</v>
      </c>
      <c r="N255" s="159">
        <v>1920</v>
      </c>
      <c r="O255" s="159">
        <v>506</v>
      </c>
      <c r="P255" s="159">
        <v>3773</v>
      </c>
      <c r="Q255" s="159">
        <v>1500</v>
      </c>
      <c r="R255" s="159">
        <v>2000</v>
      </c>
      <c r="S255" s="159">
        <v>27251</v>
      </c>
      <c r="T255" s="159">
        <v>63</v>
      </c>
      <c r="U255" s="159">
        <v>120</v>
      </c>
      <c r="V255" s="159">
        <v>0</v>
      </c>
      <c r="W255" s="159">
        <v>186</v>
      </c>
      <c r="X255" s="159">
        <v>0</v>
      </c>
      <c r="Y255" s="159">
        <v>0</v>
      </c>
      <c r="Z255" s="159">
        <v>0</v>
      </c>
      <c r="AA255" s="159">
        <v>0</v>
      </c>
      <c r="AB255" s="159">
        <v>0</v>
      </c>
      <c r="AC255" s="159">
        <v>0</v>
      </c>
      <c r="AD255" s="207">
        <v>51238</v>
      </c>
      <c r="AE255" s="200">
        <v>17.102562280579651</v>
      </c>
      <c r="AF255" s="200">
        <v>20.185252441370782</v>
      </c>
      <c r="AG255" s="200">
        <v>18.36643919834647</v>
      </c>
      <c r="AH255" s="200">
        <v>0</v>
      </c>
      <c r="AI255" s="200">
        <v>0</v>
      </c>
      <c r="AJ255" s="200">
        <v>0</v>
      </c>
      <c r="AL255" s="197">
        <f t="shared" si="27"/>
        <v>58737.486587785002</v>
      </c>
      <c r="AM255" s="197" t="str">
        <f t="shared" si="28"/>
        <v>Box Medium 4</v>
      </c>
      <c r="AN255" s="3">
        <f t="shared" si="29"/>
        <v>12.79757419159063</v>
      </c>
      <c r="AO255" s="3">
        <f t="shared" si="30"/>
        <v>4.9397899395875475</v>
      </c>
      <c r="AP255" s="3">
        <f t="shared" si="31"/>
        <v>0</v>
      </c>
      <c r="AQ255" s="3">
        <f t="shared" si="32"/>
        <v>0</v>
      </c>
      <c r="AR255" s="3">
        <f t="shared" si="33"/>
        <v>4.9397899395875475</v>
      </c>
      <c r="AS255" s="81">
        <f t="shared" si="34"/>
        <v>1</v>
      </c>
      <c r="AT255" s="81">
        <f t="shared" si="35"/>
        <v>0</v>
      </c>
    </row>
    <row r="256" spans="1:46" x14ac:dyDescent="0.25">
      <c r="A256" t="s">
        <v>805</v>
      </c>
      <c r="B256">
        <v>2035</v>
      </c>
      <c r="C256" t="s">
        <v>680</v>
      </c>
      <c r="D256" t="s">
        <v>806</v>
      </c>
      <c r="E256" t="s">
        <v>1028</v>
      </c>
      <c r="F256">
        <v>4</v>
      </c>
      <c r="G256" t="s">
        <v>1991</v>
      </c>
      <c r="H256" s="460">
        <v>3099.5383094478284</v>
      </c>
      <c r="I256">
        <v>1650</v>
      </c>
      <c r="J256">
        <v>0</v>
      </c>
      <c r="K256" s="67">
        <v>0</v>
      </c>
      <c r="L256" s="159">
        <v>150</v>
      </c>
      <c r="M256" s="159">
        <v>16586</v>
      </c>
      <c r="N256" s="159">
        <v>1920</v>
      </c>
      <c r="O256" s="159">
        <v>506</v>
      </c>
      <c r="P256" s="159">
        <v>3017</v>
      </c>
      <c r="Q256" s="159">
        <v>1500</v>
      </c>
      <c r="R256" s="159">
        <v>2000</v>
      </c>
      <c r="S256" s="159">
        <v>27251</v>
      </c>
      <c r="T256" s="159">
        <v>63</v>
      </c>
      <c r="U256" s="159">
        <v>120</v>
      </c>
      <c r="V256" s="159">
        <v>0</v>
      </c>
      <c r="W256" s="159">
        <v>186</v>
      </c>
      <c r="X256" s="159">
        <v>0</v>
      </c>
      <c r="Y256" s="159">
        <v>0</v>
      </c>
      <c r="Z256" s="159">
        <v>0</v>
      </c>
      <c r="AA256" s="159">
        <v>0</v>
      </c>
      <c r="AB256" s="159">
        <v>0</v>
      </c>
      <c r="AC256" s="159">
        <v>0</v>
      </c>
      <c r="AD256" s="207">
        <v>53299</v>
      </c>
      <c r="AE256" s="200">
        <v>11.685381134160318</v>
      </c>
      <c r="AF256" s="200">
        <v>14.727580679062308</v>
      </c>
      <c r="AG256" s="200">
        <v>14.913082061386849</v>
      </c>
      <c r="AH256" s="200">
        <v>0</v>
      </c>
      <c r="AI256" s="200">
        <v>0</v>
      </c>
      <c r="AJ256" s="200">
        <v>0</v>
      </c>
      <c r="AL256" s="197">
        <f t="shared" si="27"/>
        <v>61100.146329723109</v>
      </c>
      <c r="AM256" s="197" t="str">
        <f t="shared" si="28"/>
        <v>Box Medium 4</v>
      </c>
      <c r="AN256" s="3">
        <f t="shared" si="29"/>
        <v>16.225941666635322</v>
      </c>
      <c r="AO256" s="3">
        <f t="shared" si="30"/>
        <v>6.2631200417535737</v>
      </c>
      <c r="AP256" s="3">
        <f t="shared" si="31"/>
        <v>0</v>
      </c>
      <c r="AQ256" s="3">
        <f t="shared" si="32"/>
        <v>0</v>
      </c>
      <c r="AR256" s="3">
        <f t="shared" si="33"/>
        <v>6.2631200417535737</v>
      </c>
      <c r="AS256" s="81">
        <f t="shared" si="34"/>
        <v>1</v>
      </c>
      <c r="AT256" s="81">
        <f t="shared" si="35"/>
        <v>0</v>
      </c>
    </row>
    <row r="257" spans="1:46" x14ac:dyDescent="0.25">
      <c r="A257" t="s">
        <v>807</v>
      </c>
      <c r="B257">
        <v>2035</v>
      </c>
      <c r="C257" t="s">
        <v>680</v>
      </c>
      <c r="D257" t="s">
        <v>806</v>
      </c>
      <c r="E257" t="s">
        <v>1028</v>
      </c>
      <c r="F257">
        <v>4</v>
      </c>
      <c r="G257" t="s">
        <v>1992</v>
      </c>
      <c r="H257" s="460">
        <v>3286.8603574234012</v>
      </c>
      <c r="I257">
        <v>1650</v>
      </c>
      <c r="J257">
        <v>0</v>
      </c>
      <c r="K257" s="67">
        <v>3.0412800000000004</v>
      </c>
      <c r="L257" s="159">
        <v>150</v>
      </c>
      <c r="M257" s="159">
        <v>13899</v>
      </c>
      <c r="N257" s="159">
        <v>220</v>
      </c>
      <c r="O257" s="159">
        <v>392</v>
      </c>
      <c r="P257" s="159">
        <v>3832</v>
      </c>
      <c r="Q257" s="159">
        <v>1500</v>
      </c>
      <c r="R257" s="159">
        <v>2000</v>
      </c>
      <c r="S257" s="159">
        <v>27251</v>
      </c>
      <c r="T257" s="159">
        <v>0</v>
      </c>
      <c r="U257" s="159">
        <v>1035</v>
      </c>
      <c r="V257" s="159">
        <v>4500</v>
      </c>
      <c r="W257" s="159">
        <v>186</v>
      </c>
      <c r="X257" s="159">
        <v>120</v>
      </c>
      <c r="Y257" s="159">
        <v>1500</v>
      </c>
      <c r="Z257" s="159">
        <v>1499</v>
      </c>
      <c r="AA257" s="159">
        <v>0</v>
      </c>
      <c r="AB257" s="159">
        <v>0</v>
      </c>
      <c r="AC257" s="159">
        <v>0</v>
      </c>
      <c r="AD257" s="207">
        <v>58084</v>
      </c>
      <c r="AE257" s="200">
        <v>26.215364627733383</v>
      </c>
      <c r="AF257" s="200">
        <v>23.537569725707563</v>
      </c>
      <c r="AG257" s="200">
        <v>19.026073211395392</v>
      </c>
      <c r="AH257" s="200">
        <v>0</v>
      </c>
      <c r="AI257" s="200">
        <v>0</v>
      </c>
      <c r="AJ257" s="200">
        <v>0</v>
      </c>
      <c r="AL257" s="197">
        <f t="shared" si="27"/>
        <v>66585.50628371333</v>
      </c>
      <c r="AM257" s="197" t="str">
        <f t="shared" si="28"/>
        <v>Box Medium 4</v>
      </c>
      <c r="AN257" s="3">
        <f t="shared" si="29"/>
        <v>11.810477634293216</v>
      </c>
      <c r="AO257" s="3">
        <f t="shared" si="30"/>
        <v>4.558776352938966</v>
      </c>
      <c r="AP257" s="3">
        <f t="shared" si="31"/>
        <v>0</v>
      </c>
      <c r="AQ257" s="3">
        <f t="shared" si="32"/>
        <v>0</v>
      </c>
      <c r="AR257" s="3">
        <f t="shared" si="33"/>
        <v>4.558776352938966</v>
      </c>
      <c r="AS257" s="81">
        <f t="shared" si="34"/>
        <v>1</v>
      </c>
      <c r="AT257" s="81">
        <f t="shared" si="35"/>
        <v>0</v>
      </c>
    </row>
    <row r="258" spans="1:46" x14ac:dyDescent="0.25">
      <c r="A258" t="s">
        <v>807</v>
      </c>
      <c r="B258">
        <v>2035</v>
      </c>
      <c r="C258" t="s">
        <v>680</v>
      </c>
      <c r="D258" t="s">
        <v>806</v>
      </c>
      <c r="E258" t="s">
        <v>1028</v>
      </c>
      <c r="F258">
        <v>4</v>
      </c>
      <c r="G258" t="s">
        <v>1993</v>
      </c>
      <c r="H258" s="460">
        <v>3105.3428586840791</v>
      </c>
      <c r="I258">
        <v>1650</v>
      </c>
      <c r="J258">
        <v>0</v>
      </c>
      <c r="K258" s="67">
        <v>4.0075200000000004</v>
      </c>
      <c r="L258" s="159">
        <v>150</v>
      </c>
      <c r="M258" s="159">
        <v>11166</v>
      </c>
      <c r="N258" s="159">
        <v>220</v>
      </c>
      <c r="O258" s="159">
        <v>392</v>
      </c>
      <c r="P258" s="159">
        <v>2271</v>
      </c>
      <c r="Q258" s="159">
        <v>1500</v>
      </c>
      <c r="R258" s="159">
        <v>2000</v>
      </c>
      <c r="S258" s="159">
        <v>27251</v>
      </c>
      <c r="T258" s="159">
        <v>0</v>
      </c>
      <c r="U258" s="159">
        <v>1363</v>
      </c>
      <c r="V258" s="159">
        <v>4500</v>
      </c>
      <c r="W258" s="159">
        <v>186</v>
      </c>
      <c r="X258" s="159">
        <v>120</v>
      </c>
      <c r="Y258" s="159">
        <v>1500</v>
      </c>
      <c r="Z258" s="159">
        <v>1452</v>
      </c>
      <c r="AA258" s="159">
        <v>0</v>
      </c>
      <c r="AB258" s="159">
        <v>0</v>
      </c>
      <c r="AC258" s="159">
        <v>0</v>
      </c>
      <c r="AD258" s="207">
        <v>54071</v>
      </c>
      <c r="AE258" s="200">
        <v>14.495614639763502</v>
      </c>
      <c r="AF258" s="200">
        <v>19.547201266475692</v>
      </c>
      <c r="AG258" s="200">
        <v>16.319418788851817</v>
      </c>
      <c r="AH258" s="200">
        <v>0</v>
      </c>
      <c r="AI258" s="200">
        <v>0</v>
      </c>
      <c r="AJ258" s="200">
        <v>0</v>
      </c>
      <c r="AL258" s="197">
        <f t="shared" si="27"/>
        <v>61985.140662947866</v>
      </c>
      <c r="AM258" s="197" t="str">
        <f t="shared" si="28"/>
        <v>Box Medium 4</v>
      </c>
      <c r="AN258" s="3">
        <f t="shared" si="29"/>
        <v>14.380346372567089</v>
      </c>
      <c r="AO258" s="3">
        <f t="shared" si="30"/>
        <v>5.5507308866136009</v>
      </c>
      <c r="AP258" s="3">
        <f t="shared" si="31"/>
        <v>0</v>
      </c>
      <c r="AQ258" s="3">
        <f t="shared" si="32"/>
        <v>0</v>
      </c>
      <c r="AR258" s="3">
        <f t="shared" si="33"/>
        <v>5.5507308866136009</v>
      </c>
      <c r="AS258" s="81">
        <f t="shared" si="34"/>
        <v>1</v>
      </c>
      <c r="AT258" s="81">
        <f t="shared" si="35"/>
        <v>0</v>
      </c>
    </row>
    <row r="259" spans="1:46" x14ac:dyDescent="0.25">
      <c r="A259" t="s">
        <v>808</v>
      </c>
      <c r="B259">
        <v>2035</v>
      </c>
      <c r="C259" t="s">
        <v>680</v>
      </c>
      <c r="D259" t="s">
        <v>806</v>
      </c>
      <c r="E259" t="s">
        <v>1028</v>
      </c>
      <c r="F259">
        <v>4</v>
      </c>
      <c r="G259" t="s">
        <v>1994</v>
      </c>
      <c r="H259" s="460">
        <v>3633.7956450759229</v>
      </c>
      <c r="I259">
        <v>1650</v>
      </c>
      <c r="J259">
        <v>119.99999997072871</v>
      </c>
      <c r="K259" s="67">
        <v>103.644375</v>
      </c>
      <c r="L259" s="159">
        <v>0</v>
      </c>
      <c r="M259" s="159">
        <v>9869</v>
      </c>
      <c r="N259" s="159">
        <v>220</v>
      </c>
      <c r="O259" s="159">
        <v>0</v>
      </c>
      <c r="P259" s="159">
        <v>0</v>
      </c>
      <c r="Q259" s="159">
        <v>1500</v>
      </c>
      <c r="R259" s="159">
        <v>2000</v>
      </c>
      <c r="S259" s="159">
        <v>27251</v>
      </c>
      <c r="T259" s="159">
        <v>1453</v>
      </c>
      <c r="U259" s="159">
        <v>16583</v>
      </c>
      <c r="V259" s="159">
        <v>4500</v>
      </c>
      <c r="W259" s="159">
        <v>186</v>
      </c>
      <c r="X259" s="159">
        <v>0</v>
      </c>
      <c r="Y259" s="159">
        <v>1500</v>
      </c>
      <c r="Z259" s="159">
        <v>3409</v>
      </c>
      <c r="AA259" s="159">
        <v>0</v>
      </c>
      <c r="AB259" s="159">
        <v>0</v>
      </c>
      <c r="AC259" s="159">
        <v>0</v>
      </c>
      <c r="AD259" s="207">
        <v>68471</v>
      </c>
      <c r="AE259" s="200">
        <v>70.652519395853815</v>
      </c>
      <c r="AF259" s="200">
        <v>35.298464851355455</v>
      </c>
      <c r="AG259" s="200">
        <v>24.632279794201672</v>
      </c>
      <c r="AH259" s="200">
        <v>487</v>
      </c>
      <c r="AI259" s="200">
        <v>796</v>
      </c>
      <c r="AJ259" s="200">
        <v>1013</v>
      </c>
      <c r="AL259" s="197">
        <f t="shared" ref="AL259:AL322" si="36">AD259*USD2023_to_CAD2020</f>
        <v>78492.806982166105</v>
      </c>
      <c r="AM259" s="197" t="str">
        <f t="shared" ref="AM259:AM322" si="37">IF(AND(F259&lt;5, D259="School"), $BF$2, IF(F259&lt;5, $BA$2,
IF(AND(F259&lt;=7, D259="School"), $BE$2, IF(F259&lt;7, $AZ$2,
IF(AND(F259&lt;8, E259="DayCab"), $BC$2, IF(F259&lt;8, $AZ$2,
IF(VLOOKUP(D259, $BH$3:$BI$10, 2, FALSE)="Longhaul", $AY$2,
IF(VLOOKUP(D259, $BH$3:$BI$10, 2, FALSE)="Drayage", $BB$2,
IF(VLOOKUP(D259, $BH$3:$BI$10, 2, FALSE)="Regional", $BC$2,
IF(VLOOKUP(D259, $BH$3:$BI$10, 2, FALSE)="Transit", $BE$2,
IF(VLOOKUP(D259, $BH$3:$BI$10, 2, FALSE)="Vocational", $BD$2, NA())))))))))))</f>
        <v>Box Medium 4</v>
      </c>
      <c r="AN259" s="3">
        <f t="shared" ref="AN259:AN322" si="38">(IFERROR(L_100km_to_mpg/AE259 * HLOOKUP($AM259, $AY$2:$BF$6, 2, FALSE) +
L_100km_to_mpg/AF259 * HLOOKUP($AM259, $AY$2:$BF$6, 3, FALSE) +
L_100km_to_mpg/AG259 * HLOOKUP($AM259, $AY$2:$BF$6, 4, FALSE), 0)) *
IF(ISERROR(SEARCH("PHEV",$A259)), 1, 1-HLOOKUP($AM259, $AY$2:$BF$6, 5, FALSE))</f>
        <v>4.333690784803256</v>
      </c>
      <c r="AO259" s="3">
        <f t="shared" ref="AO259:AO322" si="39">AN259*DSL_PJ_ML*10</f>
        <v>1.6727796861784485</v>
      </c>
      <c r="AP259" s="3">
        <f t="shared" ref="AP259:AP322" si="40">(AH259/km_mile/10 * HLOOKUP($AM259, $AY$2:$BF$6, 2, FALSE) +
AI259/km_mile/10 * HLOOKUP($AM259, $AY$2:$BF$6, 3, FALSE) +
AJ259/km_mile/10 * HLOOKUP($AM259, $AY$2:$BF$6, 4, FALSE)) *
IF(ISERROR(SEARCH("PHEV",$A259)), 1, HLOOKUP($AM259, $AY$2:$BF$6, 5, FALSE))</f>
        <v>29.231548336585188</v>
      </c>
      <c r="AQ259" s="3">
        <f t="shared" si="32"/>
        <v>1.0523357401170668</v>
      </c>
      <c r="AR259" s="3">
        <f t="shared" si="33"/>
        <v>2.7251154262955151</v>
      </c>
      <c r="AS259" s="81">
        <f t="shared" si="34"/>
        <v>0.61383810389727322</v>
      </c>
      <c r="AT259" s="81">
        <f t="shared" si="35"/>
        <v>0.38616189610272683</v>
      </c>
    </row>
    <row r="260" spans="1:46" x14ac:dyDescent="0.25">
      <c r="A260" t="s">
        <v>808</v>
      </c>
      <c r="B260">
        <v>2035</v>
      </c>
      <c r="C260" t="s">
        <v>680</v>
      </c>
      <c r="D260" t="s">
        <v>806</v>
      </c>
      <c r="E260" t="s">
        <v>1028</v>
      </c>
      <c r="F260">
        <v>4</v>
      </c>
      <c r="G260" t="s">
        <v>1995</v>
      </c>
      <c r="H260" s="460">
        <v>3533.565629265705</v>
      </c>
      <c r="I260">
        <v>1650</v>
      </c>
      <c r="J260">
        <v>119.99999997072871</v>
      </c>
      <c r="K260" s="67">
        <v>95.328000000000003</v>
      </c>
      <c r="L260" s="159">
        <v>0</v>
      </c>
      <c r="M260" s="159">
        <v>6942</v>
      </c>
      <c r="N260" s="159">
        <v>220</v>
      </c>
      <c r="O260" s="159">
        <v>0</v>
      </c>
      <c r="P260" s="159">
        <v>2704</v>
      </c>
      <c r="Q260" s="159">
        <v>1500</v>
      </c>
      <c r="R260" s="159">
        <v>2000</v>
      </c>
      <c r="S260" s="159">
        <v>27251</v>
      </c>
      <c r="T260" s="159">
        <v>1054</v>
      </c>
      <c r="U260" s="159">
        <v>15252</v>
      </c>
      <c r="V260" s="159">
        <v>4500</v>
      </c>
      <c r="W260" s="159">
        <v>186</v>
      </c>
      <c r="X260" s="159">
        <v>0</v>
      </c>
      <c r="Y260" s="159">
        <v>1500</v>
      </c>
      <c r="Z260" s="159">
        <v>2586</v>
      </c>
      <c r="AA260" s="159">
        <v>0</v>
      </c>
      <c r="AB260" s="159">
        <v>0</v>
      </c>
      <c r="AC260" s="159">
        <v>0</v>
      </c>
      <c r="AD260" s="207">
        <v>65695</v>
      </c>
      <c r="AE260" s="200">
        <v>23.959808814662839</v>
      </c>
      <c r="AF260" s="200">
        <v>17.184711991686964</v>
      </c>
      <c r="AG260" s="200">
        <v>16.724706782236723</v>
      </c>
      <c r="AH260" s="200">
        <v>499</v>
      </c>
      <c r="AI260" s="200">
        <v>692</v>
      </c>
      <c r="AJ260" s="200">
        <v>895</v>
      </c>
      <c r="AL260" s="197">
        <f t="shared" si="36"/>
        <v>75310.49575285014</v>
      </c>
      <c r="AM260" s="197" t="str">
        <f t="shared" si="37"/>
        <v>Box Medium 4</v>
      </c>
      <c r="AN260" s="3">
        <f t="shared" si="38"/>
        <v>6.8026813419477596</v>
      </c>
      <c r="AO260" s="3">
        <f t="shared" si="39"/>
        <v>2.6257958228720213</v>
      </c>
      <c r="AP260" s="3">
        <f t="shared" si="40"/>
        <v>26.008487951582641</v>
      </c>
      <c r="AQ260" s="3">
        <f t="shared" ref="AQ260:AQ302" si="41">AP260*3.6/100</f>
        <v>0.93630556625697503</v>
      </c>
      <c r="AR260" s="3">
        <f t="shared" ref="AR260:AR302" si="42">AO260+AQ260</f>
        <v>3.5621013891289963</v>
      </c>
      <c r="AS260" s="81">
        <f t="shared" ref="AS260:AS302" si="43">AO260/AR260</f>
        <v>0.73714797419454692</v>
      </c>
      <c r="AT260" s="81">
        <f t="shared" ref="AT260:AT302" si="44">AQ260/AR260</f>
        <v>0.26285202580545303</v>
      </c>
    </row>
    <row r="261" spans="1:46" x14ac:dyDescent="0.25">
      <c r="A261" t="s">
        <v>230</v>
      </c>
      <c r="B261">
        <v>2035</v>
      </c>
      <c r="C261" t="s">
        <v>680</v>
      </c>
      <c r="D261" t="s">
        <v>806</v>
      </c>
      <c r="E261" t="s">
        <v>1028</v>
      </c>
      <c r="F261">
        <v>4</v>
      </c>
      <c r="G261" t="s">
        <v>1996</v>
      </c>
      <c r="H261" s="460">
        <v>3359.0060904839011</v>
      </c>
      <c r="I261">
        <v>1650</v>
      </c>
      <c r="J261">
        <v>150.00000001001371</v>
      </c>
      <c r="K261" s="67">
        <v>134.05500000000001</v>
      </c>
      <c r="L261" s="159">
        <v>0</v>
      </c>
      <c r="M261" s="159">
        <v>0</v>
      </c>
      <c r="N261" s="159">
        <v>0</v>
      </c>
      <c r="O261" s="159">
        <v>0</v>
      </c>
      <c r="P261" s="159">
        <v>0</v>
      </c>
      <c r="Q261" s="159">
        <v>1500</v>
      </c>
      <c r="R261" s="159">
        <v>2000</v>
      </c>
      <c r="S261" s="159">
        <v>27251</v>
      </c>
      <c r="T261" s="159">
        <v>0</v>
      </c>
      <c r="U261" s="159">
        <v>21449</v>
      </c>
      <c r="V261" s="159">
        <v>4500</v>
      </c>
      <c r="W261" s="159">
        <v>186</v>
      </c>
      <c r="X261" s="159">
        <v>0</v>
      </c>
      <c r="Y261" s="159">
        <v>1500</v>
      </c>
      <c r="Z261" s="159">
        <v>2978</v>
      </c>
      <c r="AA261" s="159">
        <v>0</v>
      </c>
      <c r="AB261" s="159">
        <v>0</v>
      </c>
      <c r="AC261" s="159">
        <v>0</v>
      </c>
      <c r="AD261" s="207">
        <v>61364</v>
      </c>
      <c r="AE261" s="200">
        <v>0</v>
      </c>
      <c r="AF261" s="200">
        <v>0</v>
      </c>
      <c r="AG261" s="200">
        <v>0</v>
      </c>
      <c r="AH261" s="200">
        <v>465</v>
      </c>
      <c r="AI261" s="200">
        <v>761</v>
      </c>
      <c r="AJ261" s="200">
        <v>967</v>
      </c>
      <c r="AL261" s="197">
        <f t="shared" si="36"/>
        <v>70345.585834201935</v>
      </c>
      <c r="AM261" s="197" t="str">
        <f t="shared" si="37"/>
        <v>Box Medium 4</v>
      </c>
      <c r="AN261" s="3">
        <f t="shared" si="38"/>
        <v>0</v>
      </c>
      <c r="AO261" s="3">
        <f t="shared" si="39"/>
        <v>0</v>
      </c>
      <c r="AP261" s="3">
        <f t="shared" si="40"/>
        <v>55.815427442305548</v>
      </c>
      <c r="AQ261" s="3">
        <f t="shared" si="41"/>
        <v>2.0093553879229997</v>
      </c>
      <c r="AR261" s="3">
        <f t="shared" si="42"/>
        <v>2.0093553879229997</v>
      </c>
      <c r="AS261" s="81">
        <f t="shared" si="43"/>
        <v>0</v>
      </c>
      <c r="AT261" s="81">
        <f t="shared" si="44"/>
        <v>1</v>
      </c>
    </row>
    <row r="262" spans="1:46" x14ac:dyDescent="0.25">
      <c r="A262" t="s">
        <v>496</v>
      </c>
      <c r="B262">
        <v>2035</v>
      </c>
      <c r="C262" t="s">
        <v>680</v>
      </c>
      <c r="D262" t="s">
        <v>806</v>
      </c>
      <c r="E262" t="s">
        <v>1028</v>
      </c>
      <c r="F262">
        <v>4</v>
      </c>
      <c r="G262" t="s">
        <v>1997</v>
      </c>
      <c r="H262" s="460">
        <v>3016.5529807070598</v>
      </c>
      <c r="I262">
        <v>1650</v>
      </c>
      <c r="J262">
        <v>150.00000001001371</v>
      </c>
      <c r="K262" s="67">
        <v>3.6432000000000002</v>
      </c>
      <c r="L262" s="159">
        <v>0</v>
      </c>
      <c r="M262" s="159">
        <v>0</v>
      </c>
      <c r="N262" s="159">
        <v>0</v>
      </c>
      <c r="O262" s="159">
        <v>0</v>
      </c>
      <c r="P262" s="159">
        <v>0</v>
      </c>
      <c r="Q262" s="159">
        <v>1500</v>
      </c>
      <c r="R262" s="159">
        <v>2000</v>
      </c>
      <c r="S262" s="159">
        <v>27251</v>
      </c>
      <c r="T262" s="159">
        <v>0</v>
      </c>
      <c r="U262" s="159">
        <v>1239</v>
      </c>
      <c r="V262" s="159">
        <v>4500</v>
      </c>
      <c r="W262" s="159">
        <v>186</v>
      </c>
      <c r="X262" s="159">
        <v>0</v>
      </c>
      <c r="Y262" s="159">
        <v>1500</v>
      </c>
      <c r="Z262" s="159">
        <v>3002</v>
      </c>
      <c r="AA262" s="159">
        <v>14038</v>
      </c>
      <c r="AB262" s="159">
        <v>4341</v>
      </c>
      <c r="AC262" s="159">
        <v>0</v>
      </c>
      <c r="AD262" s="207">
        <v>59557</v>
      </c>
      <c r="AE262" s="200">
        <v>44.658176300571938</v>
      </c>
      <c r="AF262" s="200">
        <v>30.156102547290587</v>
      </c>
      <c r="AG262" s="200">
        <v>23.049832043571126</v>
      </c>
      <c r="AH262" s="200">
        <v>0</v>
      </c>
      <c r="AI262" s="200">
        <v>0</v>
      </c>
      <c r="AJ262" s="200">
        <v>0</v>
      </c>
      <c r="AL262" s="197">
        <f t="shared" si="36"/>
        <v>68274.102984283367</v>
      </c>
      <c r="AM262" s="197" t="str">
        <f t="shared" si="37"/>
        <v>Box Medium 4</v>
      </c>
      <c r="AN262" s="3">
        <f t="shared" si="38"/>
        <v>9.4944479510921376</v>
      </c>
      <c r="AO262" s="3">
        <f t="shared" si="39"/>
        <v>3.6648022327201057</v>
      </c>
      <c r="AP262" s="3">
        <f t="shared" si="40"/>
        <v>0</v>
      </c>
      <c r="AQ262" s="3">
        <f t="shared" si="41"/>
        <v>0</v>
      </c>
      <c r="AR262" s="3">
        <f t="shared" si="42"/>
        <v>3.6648022327201057</v>
      </c>
      <c r="AS262" s="81">
        <f t="shared" si="43"/>
        <v>1</v>
      </c>
      <c r="AT262" s="81">
        <f t="shared" si="44"/>
        <v>0</v>
      </c>
    </row>
    <row r="263" spans="1:46" x14ac:dyDescent="0.25">
      <c r="A263" t="s">
        <v>828</v>
      </c>
      <c r="B263">
        <v>2035</v>
      </c>
      <c r="C263" t="s">
        <v>680</v>
      </c>
      <c r="D263" t="s">
        <v>806</v>
      </c>
      <c r="E263" t="s">
        <v>1028</v>
      </c>
      <c r="F263">
        <v>4</v>
      </c>
      <c r="G263" t="s">
        <v>1998</v>
      </c>
      <c r="H263" s="460">
        <v>3013.2107447803746</v>
      </c>
      <c r="I263">
        <v>1650</v>
      </c>
      <c r="J263">
        <v>150.00000001001371</v>
      </c>
      <c r="K263" s="67">
        <v>31.776</v>
      </c>
      <c r="L263" s="159">
        <v>0</v>
      </c>
      <c r="M263" s="159">
        <v>0</v>
      </c>
      <c r="N263" s="159">
        <v>0</v>
      </c>
      <c r="O263" s="159">
        <v>0</v>
      </c>
      <c r="P263" s="159">
        <v>0</v>
      </c>
      <c r="Q263" s="159">
        <v>1500</v>
      </c>
      <c r="R263" s="159">
        <v>2000</v>
      </c>
      <c r="S263" s="159">
        <v>27251</v>
      </c>
      <c r="T263" s="159">
        <v>0</v>
      </c>
      <c r="U263" s="159">
        <v>5084</v>
      </c>
      <c r="V263" s="159">
        <v>4500</v>
      </c>
      <c r="W263" s="159">
        <v>186</v>
      </c>
      <c r="X263" s="159">
        <v>0</v>
      </c>
      <c r="Y263" s="159">
        <v>1500</v>
      </c>
      <c r="Z263" s="159">
        <v>3784</v>
      </c>
      <c r="AA263" s="159">
        <v>4670</v>
      </c>
      <c r="AB263" s="159">
        <v>3244</v>
      </c>
      <c r="AC263" s="159">
        <v>0</v>
      </c>
      <c r="AD263" s="207">
        <v>53719</v>
      </c>
      <c r="AE263" s="200">
        <v>45.437694165983174</v>
      </c>
      <c r="AF263" s="200">
        <v>26.94428562794128</v>
      </c>
      <c r="AG263" s="200">
        <v>22.937020266986618</v>
      </c>
      <c r="AH263" s="200">
        <v>0</v>
      </c>
      <c r="AI263" s="200">
        <v>0</v>
      </c>
      <c r="AJ263" s="200">
        <v>282.85957848071513</v>
      </c>
      <c r="AL263" s="197">
        <f t="shared" si="36"/>
        <v>61581.619930700304</v>
      </c>
      <c r="AM263" s="197" t="str">
        <f t="shared" si="37"/>
        <v>Box Medium 4</v>
      </c>
      <c r="AN263" s="3">
        <f t="shared" si="38"/>
        <v>9.6097447129877942</v>
      </c>
      <c r="AO263" s="3">
        <f t="shared" si="39"/>
        <v>3.7093061188435739</v>
      </c>
      <c r="AP263" s="3">
        <f t="shared" si="40"/>
        <v>14.236659659821994</v>
      </c>
      <c r="AQ263" s="3">
        <f t="shared" si="41"/>
        <v>0.51251974775359177</v>
      </c>
      <c r="AR263" s="3">
        <f t="shared" si="42"/>
        <v>4.2218258665971655</v>
      </c>
      <c r="AS263" s="81">
        <f t="shared" si="43"/>
        <v>0.87860234790624181</v>
      </c>
      <c r="AT263" s="81">
        <f t="shared" si="44"/>
        <v>0.12139765209375816</v>
      </c>
    </row>
    <row r="264" spans="1:46" x14ac:dyDescent="0.25">
      <c r="A264" t="s">
        <v>805</v>
      </c>
      <c r="B264">
        <v>2050</v>
      </c>
      <c r="C264" t="s">
        <v>680</v>
      </c>
      <c r="D264" t="s">
        <v>806</v>
      </c>
      <c r="E264" t="s">
        <v>1028</v>
      </c>
      <c r="F264">
        <v>4</v>
      </c>
      <c r="G264" t="s">
        <v>1999</v>
      </c>
      <c r="H264" s="460">
        <v>3203.6758725752634</v>
      </c>
      <c r="I264">
        <v>1650</v>
      </c>
      <c r="J264">
        <v>0</v>
      </c>
      <c r="K264" s="67">
        <v>0</v>
      </c>
      <c r="L264" s="159">
        <v>150</v>
      </c>
      <c r="M264" s="159">
        <v>13761</v>
      </c>
      <c r="N264" s="159">
        <v>1920</v>
      </c>
      <c r="O264" s="159">
        <v>506</v>
      </c>
      <c r="P264" s="159">
        <v>3696</v>
      </c>
      <c r="Q264" s="159">
        <v>1500</v>
      </c>
      <c r="R264" s="159">
        <v>2000</v>
      </c>
      <c r="S264" s="159">
        <v>27325</v>
      </c>
      <c r="T264" s="159">
        <v>44</v>
      </c>
      <c r="U264" s="159">
        <v>120</v>
      </c>
      <c r="V264" s="159">
        <v>0</v>
      </c>
      <c r="W264" s="159">
        <v>186</v>
      </c>
      <c r="X264" s="159">
        <v>0</v>
      </c>
      <c r="Y264" s="159">
        <v>0</v>
      </c>
      <c r="Z264" s="159">
        <v>0</v>
      </c>
      <c r="AA264" s="159">
        <v>0</v>
      </c>
      <c r="AB264" s="159">
        <v>0</v>
      </c>
      <c r="AC264" s="159">
        <v>0</v>
      </c>
      <c r="AD264" s="207">
        <v>51208</v>
      </c>
      <c r="AE264" s="200">
        <v>18.558559727499873</v>
      </c>
      <c r="AF264" s="200">
        <v>22.338821221856715</v>
      </c>
      <c r="AG264" s="200">
        <v>20.596365013818254</v>
      </c>
      <c r="AH264" s="200">
        <v>0</v>
      </c>
      <c r="AI264" s="200">
        <v>0</v>
      </c>
      <c r="AJ264" s="200">
        <v>0</v>
      </c>
      <c r="AL264" s="197">
        <f t="shared" si="36"/>
        <v>58703.095616286628</v>
      </c>
      <c r="AM264" s="197" t="str">
        <f t="shared" si="37"/>
        <v>Box Medium 4</v>
      </c>
      <c r="AN264" s="3">
        <f t="shared" si="38"/>
        <v>11.465452271584404</v>
      </c>
      <c r="AO264" s="3">
        <f t="shared" si="39"/>
        <v>4.4255985498572317</v>
      </c>
      <c r="AP264" s="3">
        <f t="shared" si="40"/>
        <v>0</v>
      </c>
      <c r="AQ264" s="3">
        <f t="shared" si="41"/>
        <v>0</v>
      </c>
      <c r="AR264" s="3">
        <f t="shared" si="42"/>
        <v>4.4255985498572317</v>
      </c>
      <c r="AS264" s="81">
        <f t="shared" si="43"/>
        <v>1</v>
      </c>
      <c r="AT264" s="81">
        <f t="shared" si="44"/>
        <v>0</v>
      </c>
    </row>
    <row r="265" spans="1:46" x14ac:dyDescent="0.25">
      <c r="A265" t="s">
        <v>805</v>
      </c>
      <c r="B265">
        <v>2050</v>
      </c>
      <c r="C265" t="s">
        <v>680</v>
      </c>
      <c r="D265" t="s">
        <v>806</v>
      </c>
      <c r="E265" t="s">
        <v>1028</v>
      </c>
      <c r="F265">
        <v>4</v>
      </c>
      <c r="G265" t="s">
        <v>2000</v>
      </c>
      <c r="H265" s="460">
        <v>3084.2013024876105</v>
      </c>
      <c r="I265">
        <v>1650</v>
      </c>
      <c r="J265">
        <v>0</v>
      </c>
      <c r="K265" s="67">
        <v>0</v>
      </c>
      <c r="L265" s="159">
        <v>150</v>
      </c>
      <c r="M265" s="159">
        <v>16827</v>
      </c>
      <c r="N265" s="159">
        <v>1920</v>
      </c>
      <c r="O265" s="159">
        <v>506</v>
      </c>
      <c r="P265" s="159">
        <v>3009</v>
      </c>
      <c r="Q265" s="159">
        <v>1500</v>
      </c>
      <c r="R265" s="159">
        <v>2000</v>
      </c>
      <c r="S265" s="159">
        <v>27325</v>
      </c>
      <c r="T265" s="159">
        <v>44</v>
      </c>
      <c r="U265" s="159">
        <v>120</v>
      </c>
      <c r="V265" s="159">
        <v>0</v>
      </c>
      <c r="W265" s="159">
        <v>186</v>
      </c>
      <c r="X265" s="159">
        <v>0</v>
      </c>
      <c r="Y265" s="159">
        <v>0</v>
      </c>
      <c r="Z265" s="159">
        <v>0</v>
      </c>
      <c r="AA265" s="159">
        <v>0</v>
      </c>
      <c r="AB265" s="159">
        <v>0</v>
      </c>
      <c r="AC265" s="159">
        <v>0</v>
      </c>
      <c r="AD265" s="207">
        <v>53587</v>
      </c>
      <c r="AE265" s="200">
        <v>12.514162406210533</v>
      </c>
      <c r="AF265" s="200">
        <v>16.086693320945354</v>
      </c>
      <c r="AG265" s="200">
        <v>16.532799101553366</v>
      </c>
      <c r="AH265" s="200">
        <v>0</v>
      </c>
      <c r="AI265" s="200">
        <v>0</v>
      </c>
      <c r="AJ265" s="200">
        <v>0</v>
      </c>
      <c r="AL265" s="197">
        <f t="shared" si="36"/>
        <v>61430.299656107476</v>
      </c>
      <c r="AM265" s="197" t="str">
        <f t="shared" si="37"/>
        <v>Box Medium 4</v>
      </c>
      <c r="AN265" s="3">
        <f t="shared" si="38"/>
        <v>14.719562471572402</v>
      </c>
      <c r="AO265" s="3">
        <f t="shared" si="39"/>
        <v>5.681666347360034</v>
      </c>
      <c r="AP265" s="3">
        <f t="shared" si="40"/>
        <v>0</v>
      </c>
      <c r="AQ265" s="3">
        <f t="shared" si="41"/>
        <v>0</v>
      </c>
      <c r="AR265" s="3">
        <f t="shared" si="42"/>
        <v>5.681666347360034</v>
      </c>
      <c r="AS265" s="81">
        <f t="shared" si="43"/>
        <v>1</v>
      </c>
      <c r="AT265" s="81">
        <f t="shared" si="44"/>
        <v>0</v>
      </c>
    </row>
    <row r="266" spans="1:46" x14ac:dyDescent="0.25">
      <c r="A266" t="s">
        <v>807</v>
      </c>
      <c r="B266">
        <v>2050</v>
      </c>
      <c r="C266" t="s">
        <v>680</v>
      </c>
      <c r="D266" t="s">
        <v>806</v>
      </c>
      <c r="E266" t="s">
        <v>1028</v>
      </c>
      <c r="F266">
        <v>4</v>
      </c>
      <c r="G266" t="s">
        <v>2001</v>
      </c>
      <c r="H266" s="460">
        <v>3272.3159365409638</v>
      </c>
      <c r="I266">
        <v>1650</v>
      </c>
      <c r="J266">
        <v>0</v>
      </c>
      <c r="K266" s="67">
        <v>3.1363200000000004</v>
      </c>
      <c r="L266" s="159">
        <v>150</v>
      </c>
      <c r="M266" s="159">
        <v>14061</v>
      </c>
      <c r="N266" s="159">
        <v>220</v>
      </c>
      <c r="O266" s="159">
        <v>392</v>
      </c>
      <c r="P266" s="159">
        <v>3832</v>
      </c>
      <c r="Q266" s="159">
        <v>1500</v>
      </c>
      <c r="R266" s="159">
        <v>2000</v>
      </c>
      <c r="S266" s="159">
        <v>27325</v>
      </c>
      <c r="T266" s="159">
        <v>0</v>
      </c>
      <c r="U266" s="159">
        <v>1008</v>
      </c>
      <c r="V266" s="159">
        <v>4500</v>
      </c>
      <c r="W266" s="159">
        <v>186</v>
      </c>
      <c r="X266" s="159">
        <v>120</v>
      </c>
      <c r="Y266" s="159">
        <v>1500</v>
      </c>
      <c r="Z266" s="159">
        <v>1121</v>
      </c>
      <c r="AA266" s="159">
        <v>0</v>
      </c>
      <c r="AB266" s="159">
        <v>0</v>
      </c>
      <c r="AC266" s="159">
        <v>0</v>
      </c>
      <c r="AD266" s="207">
        <v>57915</v>
      </c>
      <c r="AE266" s="200">
        <v>29.399000407207225</v>
      </c>
      <c r="AF266" s="200">
        <v>26.457290468519126</v>
      </c>
      <c r="AG266" s="200">
        <v>21.374782569407195</v>
      </c>
      <c r="AH266" s="200">
        <v>0</v>
      </c>
      <c r="AI266" s="200">
        <v>0</v>
      </c>
      <c r="AJ266" s="200">
        <v>0</v>
      </c>
      <c r="AL266" s="197">
        <f t="shared" si="36"/>
        <v>66391.770477605838</v>
      </c>
      <c r="AM266" s="197" t="str">
        <f t="shared" si="37"/>
        <v>Box Medium 4</v>
      </c>
      <c r="AN266" s="3">
        <f t="shared" si="38"/>
        <v>10.513717703772041</v>
      </c>
      <c r="AO266" s="3">
        <f t="shared" si="39"/>
        <v>4.0582344875080949</v>
      </c>
      <c r="AP266" s="3">
        <f t="shared" si="40"/>
        <v>0</v>
      </c>
      <c r="AQ266" s="3">
        <f t="shared" si="41"/>
        <v>0</v>
      </c>
      <c r="AR266" s="3">
        <f t="shared" si="42"/>
        <v>4.0582344875080949</v>
      </c>
      <c r="AS266" s="81">
        <f t="shared" si="43"/>
        <v>1</v>
      </c>
      <c r="AT266" s="81">
        <f t="shared" si="44"/>
        <v>0</v>
      </c>
    </row>
    <row r="267" spans="1:46" x14ac:dyDescent="0.25">
      <c r="A267" t="s">
        <v>807</v>
      </c>
      <c r="B267">
        <v>2050</v>
      </c>
      <c r="C267" t="s">
        <v>680</v>
      </c>
      <c r="D267" t="s">
        <v>806</v>
      </c>
      <c r="E267" t="s">
        <v>1028</v>
      </c>
      <c r="F267">
        <v>4</v>
      </c>
      <c r="G267" t="s">
        <v>2002</v>
      </c>
      <c r="H267" s="460">
        <v>3088.8006362132028</v>
      </c>
      <c r="I267">
        <v>1650</v>
      </c>
      <c r="J267">
        <v>0</v>
      </c>
      <c r="K267" s="67">
        <v>3.9124800000000004</v>
      </c>
      <c r="L267" s="159">
        <v>150</v>
      </c>
      <c r="M267" s="159">
        <v>11548</v>
      </c>
      <c r="N267" s="159">
        <v>220</v>
      </c>
      <c r="O267" s="159">
        <v>392</v>
      </c>
      <c r="P267" s="159">
        <v>2271</v>
      </c>
      <c r="Q267" s="159">
        <v>1500</v>
      </c>
      <c r="R267" s="159">
        <v>2000</v>
      </c>
      <c r="S267" s="159">
        <v>27325</v>
      </c>
      <c r="T267" s="159">
        <v>0</v>
      </c>
      <c r="U267" s="159">
        <v>1257</v>
      </c>
      <c r="V267" s="159">
        <v>4500</v>
      </c>
      <c r="W267" s="159">
        <v>186</v>
      </c>
      <c r="X267" s="159">
        <v>120</v>
      </c>
      <c r="Y267" s="159">
        <v>1500</v>
      </c>
      <c r="Z267" s="159">
        <v>1070</v>
      </c>
      <c r="AA267" s="159">
        <v>0</v>
      </c>
      <c r="AB267" s="159">
        <v>0</v>
      </c>
      <c r="AC267" s="159">
        <v>0</v>
      </c>
      <c r="AD267" s="207">
        <v>54039</v>
      </c>
      <c r="AE267" s="200">
        <v>62.319795188326594</v>
      </c>
      <c r="AF267" s="200">
        <v>22.022155084125572</v>
      </c>
      <c r="AG267" s="200">
        <v>18.641929387354985</v>
      </c>
      <c r="AH267" s="200">
        <v>0</v>
      </c>
      <c r="AI267" s="200">
        <v>0</v>
      </c>
      <c r="AJ267" s="200">
        <v>0</v>
      </c>
      <c r="AL267" s="197">
        <f t="shared" si="36"/>
        <v>61948.456960016272</v>
      </c>
      <c r="AM267" s="197" t="str">
        <f t="shared" si="37"/>
        <v>Box Medium 4</v>
      </c>
      <c r="AN267" s="3">
        <f t="shared" si="38"/>
        <v>11.558908043280288</v>
      </c>
      <c r="AO267" s="3">
        <f t="shared" si="39"/>
        <v>4.4616719395409641</v>
      </c>
      <c r="AP267" s="3">
        <f t="shared" si="40"/>
        <v>0</v>
      </c>
      <c r="AQ267" s="3">
        <f t="shared" si="41"/>
        <v>0</v>
      </c>
      <c r="AR267" s="3">
        <f t="shared" si="42"/>
        <v>4.4616719395409641</v>
      </c>
      <c r="AS267" s="81">
        <f t="shared" si="43"/>
        <v>1</v>
      </c>
      <c r="AT267" s="81">
        <f t="shared" si="44"/>
        <v>0</v>
      </c>
    </row>
    <row r="268" spans="1:46" x14ac:dyDescent="0.25">
      <c r="A268" t="s">
        <v>808</v>
      </c>
      <c r="B268">
        <v>2050</v>
      </c>
      <c r="C268" t="s">
        <v>680</v>
      </c>
      <c r="D268" t="s">
        <v>806</v>
      </c>
      <c r="E268" t="s">
        <v>1028</v>
      </c>
      <c r="F268">
        <v>4</v>
      </c>
      <c r="G268" t="s">
        <v>2003</v>
      </c>
      <c r="H268" s="460">
        <v>3375.4118921504814</v>
      </c>
      <c r="I268">
        <v>1650</v>
      </c>
      <c r="J268">
        <v>119.99999997072871</v>
      </c>
      <c r="K268" s="67">
        <v>92.349000000000004</v>
      </c>
      <c r="L268" s="159">
        <v>0</v>
      </c>
      <c r="M268" s="159">
        <v>9785</v>
      </c>
      <c r="N268" s="159">
        <v>220</v>
      </c>
      <c r="O268" s="159">
        <v>0</v>
      </c>
      <c r="P268" s="159">
        <v>0</v>
      </c>
      <c r="Q268" s="159">
        <v>1500</v>
      </c>
      <c r="R268" s="159">
        <v>2000</v>
      </c>
      <c r="S268" s="159">
        <v>27325</v>
      </c>
      <c r="T268" s="159">
        <v>931</v>
      </c>
      <c r="U268" s="159">
        <v>8311</v>
      </c>
      <c r="V268" s="159">
        <v>4500</v>
      </c>
      <c r="W268" s="159">
        <v>186</v>
      </c>
      <c r="X268" s="159">
        <v>0</v>
      </c>
      <c r="Y268" s="159">
        <v>1500</v>
      </c>
      <c r="Z268" s="159">
        <v>2471</v>
      </c>
      <c r="AA268" s="159">
        <v>0</v>
      </c>
      <c r="AB268" s="159">
        <v>0</v>
      </c>
      <c r="AC268" s="159">
        <v>0</v>
      </c>
      <c r="AD268" s="207">
        <v>58729</v>
      </c>
      <c r="AE268" s="200">
        <v>80.016482627308818</v>
      </c>
      <c r="AF268" s="200">
        <v>39.895711504028114</v>
      </c>
      <c r="AG268" s="200">
        <v>27.671370662932564</v>
      </c>
      <c r="AH268" s="200">
        <v>430</v>
      </c>
      <c r="AI268" s="200">
        <v>720</v>
      </c>
      <c r="AJ268" s="200">
        <v>921</v>
      </c>
      <c r="AL268" s="197">
        <f t="shared" si="36"/>
        <v>67324.912170928321</v>
      </c>
      <c r="AM268" s="197" t="str">
        <f t="shared" si="37"/>
        <v>Box Medium 4</v>
      </c>
      <c r="AN268" s="3">
        <f t="shared" si="38"/>
        <v>3.8549118394169022</v>
      </c>
      <c r="AO268" s="3">
        <f t="shared" si="39"/>
        <v>1.4879737704401403</v>
      </c>
      <c r="AP268" s="3">
        <f t="shared" si="40"/>
        <v>26.526712813948581</v>
      </c>
      <c r="AQ268" s="3">
        <f t="shared" si="41"/>
        <v>0.95496166130214888</v>
      </c>
      <c r="AR268" s="3">
        <f t="shared" si="42"/>
        <v>2.4429354317422893</v>
      </c>
      <c r="AS268" s="81">
        <f t="shared" si="43"/>
        <v>0.60909254952306491</v>
      </c>
      <c r="AT268" s="81">
        <f t="shared" si="44"/>
        <v>0.39090745047693504</v>
      </c>
    </row>
    <row r="269" spans="1:46" x14ac:dyDescent="0.25">
      <c r="A269" t="s">
        <v>808</v>
      </c>
      <c r="B269">
        <v>2050</v>
      </c>
      <c r="C269" t="s">
        <v>680</v>
      </c>
      <c r="D269" t="s">
        <v>806</v>
      </c>
      <c r="E269" t="s">
        <v>1028</v>
      </c>
      <c r="F269">
        <v>4</v>
      </c>
      <c r="G269" t="s">
        <v>2004</v>
      </c>
      <c r="H269" s="460">
        <v>3308.4587868866092</v>
      </c>
      <c r="I269">
        <v>1650</v>
      </c>
      <c r="J269">
        <v>119.99999997072871</v>
      </c>
      <c r="K269" s="67">
        <v>84.901499999999999</v>
      </c>
      <c r="L269" s="159">
        <v>0</v>
      </c>
      <c r="M269" s="159">
        <v>7197</v>
      </c>
      <c r="N269" s="159">
        <v>220</v>
      </c>
      <c r="O269" s="159">
        <v>0</v>
      </c>
      <c r="P269" s="159">
        <v>2676</v>
      </c>
      <c r="Q269" s="159">
        <v>1500</v>
      </c>
      <c r="R269" s="159">
        <v>2000</v>
      </c>
      <c r="S269" s="159">
        <v>27325</v>
      </c>
      <c r="T269" s="159">
        <v>688</v>
      </c>
      <c r="U269" s="159">
        <v>7641</v>
      </c>
      <c r="V269" s="159">
        <v>4500</v>
      </c>
      <c r="W269" s="159">
        <v>186</v>
      </c>
      <c r="X269" s="159">
        <v>0</v>
      </c>
      <c r="Y269" s="159">
        <v>1500</v>
      </c>
      <c r="Z269" s="159">
        <v>1868</v>
      </c>
      <c r="AA269" s="159">
        <v>0</v>
      </c>
      <c r="AB269" s="159">
        <v>0</v>
      </c>
      <c r="AC269" s="159">
        <v>0</v>
      </c>
      <c r="AD269" s="207">
        <v>57301</v>
      </c>
      <c r="AE269" s="200">
        <v>28.341264571801137</v>
      </c>
      <c r="AF269" s="200">
        <v>19.783458518423569</v>
      </c>
      <c r="AG269" s="200">
        <v>19.103236072078996</v>
      </c>
      <c r="AH269" s="200">
        <v>444</v>
      </c>
      <c r="AI269" s="200">
        <v>623</v>
      </c>
      <c r="AJ269" s="200">
        <v>807</v>
      </c>
      <c r="AL269" s="197">
        <f t="shared" si="36"/>
        <v>65687.901927605839</v>
      </c>
      <c r="AM269" s="197" t="str">
        <f t="shared" si="37"/>
        <v>Box Medium 4</v>
      </c>
      <c r="AN269" s="3">
        <f t="shared" si="38"/>
        <v>5.9366969729202737</v>
      </c>
      <c r="AO269" s="3">
        <f t="shared" si="39"/>
        <v>2.2915308434376374</v>
      </c>
      <c r="AP269" s="3">
        <f t="shared" si="40"/>
        <v>23.430101780854265</v>
      </c>
      <c r="AQ269" s="3">
        <f t="shared" si="41"/>
        <v>0.84348366411075359</v>
      </c>
      <c r="AR269" s="3">
        <f t="shared" si="42"/>
        <v>3.1350145075483908</v>
      </c>
      <c r="AS269" s="81">
        <f t="shared" si="43"/>
        <v>0.73094744471521911</v>
      </c>
      <c r="AT269" s="81">
        <f t="shared" si="44"/>
        <v>0.26905255528478089</v>
      </c>
    </row>
    <row r="270" spans="1:46" x14ac:dyDescent="0.25">
      <c r="A270" t="s">
        <v>230</v>
      </c>
      <c r="B270">
        <v>2050</v>
      </c>
      <c r="C270" t="s">
        <v>680</v>
      </c>
      <c r="D270" t="s">
        <v>806</v>
      </c>
      <c r="E270" t="s">
        <v>1028</v>
      </c>
      <c r="F270">
        <v>4</v>
      </c>
      <c r="G270" t="s">
        <v>2005</v>
      </c>
      <c r="H270" s="460">
        <v>3072.356530250112</v>
      </c>
      <c r="I270">
        <v>1650</v>
      </c>
      <c r="J270">
        <v>150.00000001001371</v>
      </c>
      <c r="K270" s="67">
        <v>121.6425</v>
      </c>
      <c r="L270" s="159">
        <v>0</v>
      </c>
      <c r="M270" s="159">
        <v>0</v>
      </c>
      <c r="N270" s="159">
        <v>0</v>
      </c>
      <c r="O270" s="159">
        <v>0</v>
      </c>
      <c r="P270" s="159">
        <v>0</v>
      </c>
      <c r="Q270" s="159">
        <v>1500</v>
      </c>
      <c r="R270" s="159">
        <v>2000</v>
      </c>
      <c r="S270" s="159">
        <v>27325</v>
      </c>
      <c r="T270" s="159">
        <v>0</v>
      </c>
      <c r="U270" s="159">
        <v>10948</v>
      </c>
      <c r="V270" s="159">
        <v>4500</v>
      </c>
      <c r="W270" s="159">
        <v>186</v>
      </c>
      <c r="X270" s="159">
        <v>0</v>
      </c>
      <c r="Y270" s="159">
        <v>1500</v>
      </c>
      <c r="Z270" s="159">
        <v>2112</v>
      </c>
      <c r="AA270" s="159">
        <v>0</v>
      </c>
      <c r="AB270" s="159">
        <v>0</v>
      </c>
      <c r="AC270" s="159">
        <v>0</v>
      </c>
      <c r="AD270" s="207">
        <v>50071</v>
      </c>
      <c r="AE270" s="200">
        <v>0</v>
      </c>
      <c r="AF270" s="200">
        <v>0</v>
      </c>
      <c r="AG270" s="200">
        <v>0</v>
      </c>
      <c r="AH270" s="200">
        <v>408</v>
      </c>
      <c r="AI270" s="200">
        <v>685</v>
      </c>
      <c r="AJ270" s="200">
        <v>873</v>
      </c>
      <c r="AL270" s="197">
        <f t="shared" si="36"/>
        <v>57399.677796498356</v>
      </c>
      <c r="AM270" s="197" t="str">
        <f t="shared" si="37"/>
        <v>Box Medium 4</v>
      </c>
      <c r="AN270" s="3">
        <f t="shared" si="38"/>
        <v>0</v>
      </c>
      <c r="AO270" s="3">
        <f t="shared" si="39"/>
        <v>0</v>
      </c>
      <c r="AP270" s="3">
        <f t="shared" si="40"/>
        <v>50.305094013695054</v>
      </c>
      <c r="AQ270" s="3">
        <f t="shared" si="41"/>
        <v>1.8109833844930219</v>
      </c>
      <c r="AR270" s="3">
        <f t="shared" si="42"/>
        <v>1.8109833844930219</v>
      </c>
      <c r="AS270" s="81">
        <f t="shared" si="43"/>
        <v>0</v>
      </c>
      <c r="AT270" s="81">
        <f t="shared" si="44"/>
        <v>1</v>
      </c>
    </row>
    <row r="271" spans="1:46" x14ac:dyDescent="0.25">
      <c r="A271" t="s">
        <v>496</v>
      </c>
      <c r="B271">
        <v>2050</v>
      </c>
      <c r="C271" t="s">
        <v>680</v>
      </c>
      <c r="D271" t="s">
        <v>806</v>
      </c>
      <c r="E271" t="s">
        <v>1028</v>
      </c>
      <c r="F271">
        <v>4</v>
      </c>
      <c r="G271" t="s">
        <v>2006</v>
      </c>
      <c r="H271" s="460">
        <v>2907.239759637785</v>
      </c>
      <c r="I271">
        <v>1650</v>
      </c>
      <c r="J271">
        <v>150.00000001001371</v>
      </c>
      <c r="K271" s="67">
        <v>3.6115200000000005</v>
      </c>
      <c r="L271" s="159">
        <v>0</v>
      </c>
      <c r="M271" s="159">
        <v>0</v>
      </c>
      <c r="N271" s="159">
        <v>0</v>
      </c>
      <c r="O271" s="159">
        <v>0</v>
      </c>
      <c r="P271" s="159">
        <v>0</v>
      </c>
      <c r="Q271" s="159">
        <v>1500</v>
      </c>
      <c r="R271" s="159">
        <v>2000</v>
      </c>
      <c r="S271" s="159">
        <v>27325</v>
      </c>
      <c r="T271" s="159">
        <v>0</v>
      </c>
      <c r="U271" s="159">
        <v>1160</v>
      </c>
      <c r="V271" s="159">
        <v>4500</v>
      </c>
      <c r="W271" s="159">
        <v>186</v>
      </c>
      <c r="X271" s="159">
        <v>0</v>
      </c>
      <c r="Y271" s="159">
        <v>1500</v>
      </c>
      <c r="Z271" s="159">
        <v>2167</v>
      </c>
      <c r="AA271" s="159">
        <v>11636</v>
      </c>
      <c r="AB271" s="159">
        <v>2644</v>
      </c>
      <c r="AC271" s="159">
        <v>0</v>
      </c>
      <c r="AD271" s="207">
        <v>54618</v>
      </c>
      <c r="AE271" s="200">
        <v>49.794451878202544</v>
      </c>
      <c r="AF271" s="200">
        <v>33.797095559774256</v>
      </c>
      <c r="AG271" s="200">
        <v>25.850746409608334</v>
      </c>
      <c r="AH271" s="200">
        <v>0</v>
      </c>
      <c r="AI271" s="200">
        <v>0</v>
      </c>
      <c r="AJ271" s="200">
        <v>0</v>
      </c>
      <c r="AL271" s="197">
        <f t="shared" si="36"/>
        <v>62612.202709934834</v>
      </c>
      <c r="AM271" s="197" t="str">
        <f t="shared" si="37"/>
        <v>Box Medium 4</v>
      </c>
      <c r="AN271" s="3">
        <f t="shared" si="38"/>
        <v>8.4689026471131719</v>
      </c>
      <c r="AO271" s="3">
        <f t="shared" si="39"/>
        <v>3.2689476512701749</v>
      </c>
      <c r="AP271" s="3">
        <f t="shared" si="40"/>
        <v>0</v>
      </c>
      <c r="AQ271" s="3">
        <f t="shared" si="41"/>
        <v>0</v>
      </c>
      <c r="AR271" s="3">
        <f t="shared" si="42"/>
        <v>3.2689476512701749</v>
      </c>
      <c r="AS271" s="81">
        <f t="shared" si="43"/>
        <v>1</v>
      </c>
      <c r="AT271" s="81">
        <f t="shared" si="44"/>
        <v>0</v>
      </c>
    </row>
    <row r="272" spans="1:46" x14ac:dyDescent="0.25">
      <c r="A272" t="s">
        <v>828</v>
      </c>
      <c r="B272">
        <v>2050</v>
      </c>
      <c r="C272" t="s">
        <v>680</v>
      </c>
      <c r="D272" t="s">
        <v>806</v>
      </c>
      <c r="E272" t="s">
        <v>1028</v>
      </c>
      <c r="F272">
        <v>4</v>
      </c>
      <c r="G272" t="s">
        <v>2007</v>
      </c>
      <c r="H272" s="460">
        <v>2865.9089106859765</v>
      </c>
      <c r="I272">
        <v>1650</v>
      </c>
      <c r="J272">
        <v>150.00000001001371</v>
      </c>
      <c r="K272" s="67">
        <v>31.279500000000002</v>
      </c>
      <c r="L272" s="159">
        <v>0</v>
      </c>
      <c r="M272" s="159">
        <v>0</v>
      </c>
      <c r="N272" s="159">
        <v>0</v>
      </c>
      <c r="O272" s="159">
        <v>0</v>
      </c>
      <c r="P272" s="159">
        <v>0</v>
      </c>
      <c r="Q272" s="159">
        <v>1500</v>
      </c>
      <c r="R272" s="159">
        <v>2000</v>
      </c>
      <c r="S272" s="159">
        <v>27325</v>
      </c>
      <c r="T272" s="159">
        <v>0</v>
      </c>
      <c r="U272" s="159">
        <v>2815</v>
      </c>
      <c r="V272" s="159">
        <v>4500</v>
      </c>
      <c r="W272" s="159">
        <v>186</v>
      </c>
      <c r="X272" s="159">
        <v>0</v>
      </c>
      <c r="Y272" s="159">
        <v>1500</v>
      </c>
      <c r="Z272" s="159">
        <v>2732</v>
      </c>
      <c r="AA272" s="159">
        <v>3598</v>
      </c>
      <c r="AB272" s="159">
        <v>1869</v>
      </c>
      <c r="AC272" s="159">
        <v>0</v>
      </c>
      <c r="AD272" s="207">
        <v>48025</v>
      </c>
      <c r="AE272" s="200">
        <v>51.473470044895194</v>
      </c>
      <c r="AF272" s="200">
        <v>30.1662481696242</v>
      </c>
      <c r="AG272" s="200">
        <v>25.453501064864341</v>
      </c>
      <c r="AH272" s="200">
        <v>0</v>
      </c>
      <c r="AI272" s="200">
        <v>0</v>
      </c>
      <c r="AJ272" s="200">
        <v>255.77297116122776</v>
      </c>
      <c r="AL272" s="197">
        <f t="shared" si="36"/>
        <v>55054.213540309429</v>
      </c>
      <c r="AM272" s="197" t="str">
        <f t="shared" si="37"/>
        <v>Box Medium 4</v>
      </c>
      <c r="AN272" s="3">
        <f t="shared" si="38"/>
        <v>8.6439085194141221</v>
      </c>
      <c r="AO272" s="3">
        <f t="shared" si="39"/>
        <v>3.3364989101586788</v>
      </c>
      <c r="AP272" s="3">
        <f t="shared" si="40"/>
        <v>12.873358435171841</v>
      </c>
      <c r="AQ272" s="3">
        <f t="shared" si="41"/>
        <v>0.46344090366618629</v>
      </c>
      <c r="AR272" s="3">
        <f t="shared" si="42"/>
        <v>3.799939813824865</v>
      </c>
      <c r="AS272" s="81">
        <f t="shared" si="43"/>
        <v>0.87803993579579742</v>
      </c>
      <c r="AT272" s="81">
        <f t="shared" si="44"/>
        <v>0.12196006420420262</v>
      </c>
    </row>
    <row r="273" spans="1:46" x14ac:dyDescent="0.25">
      <c r="A273" t="s">
        <v>805</v>
      </c>
      <c r="B273">
        <v>2023</v>
      </c>
      <c r="C273" t="s">
        <v>680</v>
      </c>
      <c r="D273" t="s">
        <v>810</v>
      </c>
      <c r="E273" t="s">
        <v>1028</v>
      </c>
      <c r="F273">
        <v>4</v>
      </c>
      <c r="G273" t="s">
        <v>2008</v>
      </c>
      <c r="H273" s="460">
        <v>3265.9912308677904</v>
      </c>
      <c r="I273">
        <v>1650</v>
      </c>
      <c r="J273">
        <v>0</v>
      </c>
      <c r="K273" s="67">
        <v>0</v>
      </c>
      <c r="L273" s="159">
        <v>150</v>
      </c>
      <c r="M273" s="159">
        <v>12977</v>
      </c>
      <c r="N273" s="159">
        <v>1920</v>
      </c>
      <c r="O273" s="159">
        <v>506</v>
      </c>
      <c r="P273" s="159">
        <v>3675</v>
      </c>
      <c r="Q273" s="159">
        <v>1500</v>
      </c>
      <c r="R273" s="159">
        <v>2000</v>
      </c>
      <c r="S273" s="159">
        <v>27000</v>
      </c>
      <c r="T273" s="159">
        <v>98</v>
      </c>
      <c r="U273" s="159">
        <v>120</v>
      </c>
      <c r="V273" s="159">
        <v>0</v>
      </c>
      <c r="W273" s="159">
        <v>186</v>
      </c>
      <c r="X273" s="159">
        <v>0</v>
      </c>
      <c r="Y273" s="159">
        <v>0</v>
      </c>
      <c r="Z273" s="159">
        <v>0</v>
      </c>
      <c r="AA273" s="159">
        <v>0</v>
      </c>
      <c r="AB273" s="159">
        <v>0</v>
      </c>
      <c r="AC273" s="159">
        <v>0</v>
      </c>
      <c r="AD273" s="207">
        <v>50132</v>
      </c>
      <c r="AE273" s="200">
        <v>14.365540642131812</v>
      </c>
      <c r="AF273" s="200">
        <v>14.035704833839315</v>
      </c>
      <c r="AG273" s="200">
        <v>11.335541521573905</v>
      </c>
      <c r="AH273" s="200">
        <v>0</v>
      </c>
      <c r="AI273" s="200">
        <v>0</v>
      </c>
      <c r="AJ273" s="200">
        <v>0</v>
      </c>
      <c r="AL273" s="197">
        <f t="shared" si="36"/>
        <v>57469.606105211707</v>
      </c>
      <c r="AM273" s="197" t="str">
        <f t="shared" si="37"/>
        <v>Box Medium 4</v>
      </c>
      <c r="AN273" s="3">
        <f t="shared" si="38"/>
        <v>19.953295297192099</v>
      </c>
      <c r="AO273" s="3">
        <f t="shared" si="39"/>
        <v>7.7018570781528908</v>
      </c>
      <c r="AP273" s="3">
        <f t="shared" si="40"/>
        <v>0</v>
      </c>
      <c r="AQ273" s="3">
        <f t="shared" si="41"/>
        <v>0</v>
      </c>
      <c r="AR273" s="3">
        <f t="shared" si="42"/>
        <v>7.7018570781528908</v>
      </c>
      <c r="AS273" s="81">
        <f t="shared" si="43"/>
        <v>1</v>
      </c>
      <c r="AT273" s="81">
        <f t="shared" si="44"/>
        <v>0</v>
      </c>
    </row>
    <row r="274" spans="1:46" x14ac:dyDescent="0.25">
      <c r="A274" t="s">
        <v>805</v>
      </c>
      <c r="B274">
        <v>2023</v>
      </c>
      <c r="C274" t="s">
        <v>680</v>
      </c>
      <c r="D274" t="s">
        <v>810</v>
      </c>
      <c r="E274" t="s">
        <v>1028</v>
      </c>
      <c r="F274">
        <v>4</v>
      </c>
      <c r="G274" t="s">
        <v>2009</v>
      </c>
      <c r="H274" s="460">
        <v>3150.3745235413671</v>
      </c>
      <c r="I274">
        <v>1650</v>
      </c>
      <c r="J274">
        <v>0</v>
      </c>
      <c r="K274" s="67">
        <v>0</v>
      </c>
      <c r="L274" s="159">
        <v>150</v>
      </c>
      <c r="M274" s="159">
        <v>15549</v>
      </c>
      <c r="N274" s="159">
        <v>1920</v>
      </c>
      <c r="O274" s="159">
        <v>506</v>
      </c>
      <c r="P274" s="159">
        <v>3027</v>
      </c>
      <c r="Q274" s="159">
        <v>1500</v>
      </c>
      <c r="R274" s="159">
        <v>2000</v>
      </c>
      <c r="S274" s="159">
        <v>27000</v>
      </c>
      <c r="T274" s="159">
        <v>98</v>
      </c>
      <c r="U274" s="159">
        <v>120</v>
      </c>
      <c r="V274" s="159">
        <v>0</v>
      </c>
      <c r="W274" s="159">
        <v>186</v>
      </c>
      <c r="X274" s="159">
        <v>0</v>
      </c>
      <c r="Y274" s="159">
        <v>0</v>
      </c>
      <c r="Z274" s="159">
        <v>0</v>
      </c>
      <c r="AA274" s="159">
        <v>0</v>
      </c>
      <c r="AB274" s="159">
        <v>0</v>
      </c>
      <c r="AC274" s="159">
        <v>0</v>
      </c>
      <c r="AD274" s="207">
        <v>52056</v>
      </c>
      <c r="AE274" s="200">
        <v>9.6240197882145697</v>
      </c>
      <c r="AF274" s="200">
        <v>9.9217950705718003</v>
      </c>
      <c r="AG274" s="200">
        <v>9.2860057940797773</v>
      </c>
      <c r="AH274" s="200">
        <v>0</v>
      </c>
      <c r="AI274" s="200">
        <v>0</v>
      </c>
      <c r="AJ274" s="200">
        <v>0</v>
      </c>
      <c r="AL274" s="197">
        <f t="shared" si="36"/>
        <v>59675.213743973924</v>
      </c>
      <c r="AM274" s="197" t="str">
        <f t="shared" si="37"/>
        <v>Box Medium 4</v>
      </c>
      <c r="AN274" s="3">
        <f t="shared" si="38"/>
        <v>25.09501607837861</v>
      </c>
      <c r="AO274" s="3">
        <f t="shared" si="39"/>
        <v>9.6865316896713161</v>
      </c>
      <c r="AP274" s="3">
        <f t="shared" si="40"/>
        <v>0</v>
      </c>
      <c r="AQ274" s="3">
        <f t="shared" si="41"/>
        <v>0</v>
      </c>
      <c r="AR274" s="3">
        <f t="shared" si="42"/>
        <v>9.6865316896713161</v>
      </c>
      <c r="AS274" s="81">
        <f t="shared" si="43"/>
        <v>1</v>
      </c>
      <c r="AT274" s="81">
        <f t="shared" si="44"/>
        <v>0</v>
      </c>
    </row>
    <row r="275" spans="1:46" x14ac:dyDescent="0.25">
      <c r="A275" t="s">
        <v>807</v>
      </c>
      <c r="B275">
        <v>2023</v>
      </c>
      <c r="C275" t="s">
        <v>680</v>
      </c>
      <c r="D275" t="s">
        <v>810</v>
      </c>
      <c r="E275" t="s">
        <v>1028</v>
      </c>
      <c r="F275">
        <v>4</v>
      </c>
      <c r="G275" t="s">
        <v>2010</v>
      </c>
      <c r="H275" s="460">
        <v>3340.725547535194</v>
      </c>
      <c r="I275">
        <v>1650</v>
      </c>
      <c r="J275">
        <v>0</v>
      </c>
      <c r="K275" s="67">
        <v>2.9779200000000006</v>
      </c>
      <c r="L275" s="159">
        <v>150</v>
      </c>
      <c r="M275" s="159">
        <v>13324</v>
      </c>
      <c r="N275" s="159">
        <v>220</v>
      </c>
      <c r="O275" s="159">
        <v>392</v>
      </c>
      <c r="P275" s="159">
        <v>3832</v>
      </c>
      <c r="Q275" s="159">
        <v>1500</v>
      </c>
      <c r="R275" s="159">
        <v>2000</v>
      </c>
      <c r="S275" s="159">
        <v>27000</v>
      </c>
      <c r="T275" s="159">
        <v>0</v>
      </c>
      <c r="U275" s="159">
        <v>2085</v>
      </c>
      <c r="V275" s="159">
        <v>4500</v>
      </c>
      <c r="W275" s="159">
        <v>186</v>
      </c>
      <c r="X275" s="159">
        <v>120</v>
      </c>
      <c r="Y275" s="159">
        <v>1500</v>
      </c>
      <c r="Z275" s="159">
        <v>2539</v>
      </c>
      <c r="AA275" s="159">
        <v>0</v>
      </c>
      <c r="AB275" s="159">
        <v>0</v>
      </c>
      <c r="AC275" s="159">
        <v>0</v>
      </c>
      <c r="AD275" s="207">
        <v>59348</v>
      </c>
      <c r="AE275" s="200">
        <v>19.466482675158051</v>
      </c>
      <c r="AF275" s="200">
        <v>15.386930987648974</v>
      </c>
      <c r="AG275" s="200">
        <v>11.562056952577979</v>
      </c>
      <c r="AH275" s="200">
        <v>0</v>
      </c>
      <c r="AI275" s="200">
        <v>0</v>
      </c>
      <c r="AJ275" s="200">
        <v>0</v>
      </c>
      <c r="AL275" s="197">
        <f t="shared" si="36"/>
        <v>68034.512549511375</v>
      </c>
      <c r="AM275" s="197" t="str">
        <f t="shared" si="37"/>
        <v>Box Medium 4</v>
      </c>
      <c r="AN275" s="3">
        <f t="shared" si="38"/>
        <v>19.062513726622367</v>
      </c>
      <c r="AO275" s="3">
        <f t="shared" si="39"/>
        <v>7.3580205217247352</v>
      </c>
      <c r="AP275" s="3">
        <f t="shared" si="40"/>
        <v>0</v>
      </c>
      <c r="AQ275" s="3">
        <f t="shared" si="41"/>
        <v>0</v>
      </c>
      <c r="AR275" s="3">
        <f t="shared" si="42"/>
        <v>7.3580205217247352</v>
      </c>
      <c r="AS275" s="81">
        <f t="shared" si="43"/>
        <v>1</v>
      </c>
      <c r="AT275" s="81">
        <f t="shared" si="44"/>
        <v>0</v>
      </c>
    </row>
    <row r="276" spans="1:46" x14ac:dyDescent="0.25">
      <c r="A276" t="s">
        <v>807</v>
      </c>
      <c r="B276">
        <v>2023</v>
      </c>
      <c r="C276" t="s">
        <v>680</v>
      </c>
      <c r="D276" t="s">
        <v>810</v>
      </c>
      <c r="E276" t="s">
        <v>1028</v>
      </c>
      <c r="F276">
        <v>4</v>
      </c>
      <c r="G276" t="s">
        <v>2011</v>
      </c>
      <c r="H276" s="460">
        <v>3174.399390122313</v>
      </c>
      <c r="I276">
        <v>1650</v>
      </c>
      <c r="J276">
        <v>0</v>
      </c>
      <c r="K276" s="67">
        <v>2.6136000000000004</v>
      </c>
      <c r="L276" s="159">
        <v>150</v>
      </c>
      <c r="M276" s="159">
        <v>11637</v>
      </c>
      <c r="N276" s="159">
        <v>220</v>
      </c>
      <c r="O276" s="159">
        <v>392</v>
      </c>
      <c r="P276" s="159">
        <v>2575</v>
      </c>
      <c r="Q276" s="159">
        <v>1500</v>
      </c>
      <c r="R276" s="159">
        <v>2000</v>
      </c>
      <c r="S276" s="159">
        <v>27000</v>
      </c>
      <c r="T276" s="159">
        <v>0</v>
      </c>
      <c r="U276" s="159">
        <v>1830</v>
      </c>
      <c r="V276" s="159">
        <v>4500</v>
      </c>
      <c r="W276" s="159">
        <v>186</v>
      </c>
      <c r="X276" s="159">
        <v>120</v>
      </c>
      <c r="Y276" s="159">
        <v>1500</v>
      </c>
      <c r="Z276" s="159">
        <v>2504</v>
      </c>
      <c r="AA276" s="159">
        <v>0</v>
      </c>
      <c r="AB276" s="159">
        <v>0</v>
      </c>
      <c r="AC276" s="159">
        <v>0</v>
      </c>
      <c r="AD276" s="207">
        <v>56114</v>
      </c>
      <c r="AE276" s="200">
        <v>16.386642366908653</v>
      </c>
      <c r="AF276" s="200">
        <v>11.446744906334605</v>
      </c>
      <c r="AG276" s="200">
        <v>8.9701637138303347</v>
      </c>
      <c r="AH276" s="200">
        <v>0</v>
      </c>
      <c r="AI276" s="200">
        <v>0</v>
      </c>
      <c r="AJ276" s="200">
        <v>0</v>
      </c>
      <c r="AL276" s="197">
        <f t="shared" si="36"/>
        <v>64327.16582198695</v>
      </c>
      <c r="AM276" s="197" t="str">
        <f t="shared" si="37"/>
        <v>Box Medium 4</v>
      </c>
      <c r="AN276" s="3">
        <f t="shared" si="38"/>
        <v>24.52455949453676</v>
      </c>
      <c r="AO276" s="3">
        <f t="shared" si="39"/>
        <v>9.4663387334401943</v>
      </c>
      <c r="AP276" s="3">
        <f t="shared" si="40"/>
        <v>0</v>
      </c>
      <c r="AQ276" s="3">
        <f t="shared" si="41"/>
        <v>0</v>
      </c>
      <c r="AR276" s="3">
        <f t="shared" si="42"/>
        <v>9.4663387334401943</v>
      </c>
      <c r="AS276" s="81">
        <f t="shared" si="43"/>
        <v>1</v>
      </c>
      <c r="AT276" s="81">
        <f t="shared" si="44"/>
        <v>0</v>
      </c>
    </row>
    <row r="277" spans="1:46" x14ac:dyDescent="0.25">
      <c r="A277" t="s">
        <v>808</v>
      </c>
      <c r="B277">
        <v>2023</v>
      </c>
      <c r="C277" t="s">
        <v>680</v>
      </c>
      <c r="D277" t="s">
        <v>810</v>
      </c>
      <c r="E277" t="s">
        <v>1028</v>
      </c>
      <c r="F277">
        <v>4</v>
      </c>
      <c r="G277" t="s">
        <v>2012</v>
      </c>
      <c r="H277" s="460">
        <v>4453.9522666250259</v>
      </c>
      <c r="I277">
        <v>1650</v>
      </c>
      <c r="J277">
        <v>119.99999997072871</v>
      </c>
      <c r="K277" s="67">
        <v>150.31537500000002</v>
      </c>
      <c r="L277" s="159">
        <v>0</v>
      </c>
      <c r="M277" s="159">
        <v>11187</v>
      </c>
      <c r="N277" s="159">
        <v>220</v>
      </c>
      <c r="O277" s="159">
        <v>0</v>
      </c>
      <c r="P277" s="159">
        <v>0</v>
      </c>
      <c r="Q277" s="159">
        <v>1500</v>
      </c>
      <c r="R277" s="159">
        <v>2000</v>
      </c>
      <c r="S277" s="159">
        <v>27000</v>
      </c>
      <c r="T277" s="159">
        <v>3832</v>
      </c>
      <c r="U277" s="159">
        <v>52610</v>
      </c>
      <c r="V277" s="159">
        <v>4500</v>
      </c>
      <c r="W277" s="159">
        <v>186</v>
      </c>
      <c r="X277" s="159">
        <v>0</v>
      </c>
      <c r="Y277" s="159">
        <v>1500</v>
      </c>
      <c r="Z277" s="159">
        <v>4916</v>
      </c>
      <c r="AA277" s="159">
        <v>0</v>
      </c>
      <c r="AB277" s="159">
        <v>0</v>
      </c>
      <c r="AC277" s="159">
        <v>0</v>
      </c>
      <c r="AD277" s="207">
        <v>109451</v>
      </c>
      <c r="AE277" s="200">
        <v>54.195097042440338</v>
      </c>
      <c r="AF277" s="200">
        <v>22.380729242534002</v>
      </c>
      <c r="AG277" s="200">
        <v>13.369756617942022</v>
      </c>
      <c r="AH277" s="200">
        <v>631</v>
      </c>
      <c r="AI277" s="200">
        <v>1146</v>
      </c>
      <c r="AJ277" s="200">
        <v>1492</v>
      </c>
      <c r="AL277" s="197">
        <f t="shared" si="36"/>
        <v>125470.87404894133</v>
      </c>
      <c r="AM277" s="197" t="str">
        <f t="shared" si="37"/>
        <v>Box Medium 4</v>
      </c>
      <c r="AN277" s="3">
        <f t="shared" si="38"/>
        <v>7.8151400116775216</v>
      </c>
      <c r="AO277" s="3">
        <f t="shared" si="39"/>
        <v>3.0165990388647583</v>
      </c>
      <c r="AP277" s="3">
        <f t="shared" si="40"/>
        <v>42.711919171834424</v>
      </c>
      <c r="AQ277" s="3">
        <f t="shared" si="41"/>
        <v>1.5376290901860392</v>
      </c>
      <c r="AR277" s="3">
        <f t="shared" si="42"/>
        <v>4.5542281290507978</v>
      </c>
      <c r="AS277" s="81">
        <f t="shared" si="43"/>
        <v>0.66237328332814205</v>
      </c>
      <c r="AT277" s="81">
        <f t="shared" si="44"/>
        <v>0.3376267166718579</v>
      </c>
    </row>
    <row r="278" spans="1:46" x14ac:dyDescent="0.25">
      <c r="A278" t="s">
        <v>808</v>
      </c>
      <c r="B278">
        <v>2023</v>
      </c>
      <c r="C278" t="s">
        <v>680</v>
      </c>
      <c r="D278" t="s">
        <v>810</v>
      </c>
      <c r="E278" t="s">
        <v>1028</v>
      </c>
      <c r="F278">
        <v>4</v>
      </c>
      <c r="G278" t="s">
        <v>2013</v>
      </c>
      <c r="H278" s="460">
        <v>4317.1444406274059</v>
      </c>
      <c r="I278">
        <v>1650</v>
      </c>
      <c r="J278">
        <v>119.99999997072871</v>
      </c>
      <c r="K278" s="67">
        <v>142.99199999999999</v>
      </c>
      <c r="L278" s="159">
        <v>0</v>
      </c>
      <c r="M278" s="159">
        <v>7809</v>
      </c>
      <c r="N278" s="159">
        <v>220</v>
      </c>
      <c r="O278" s="159">
        <v>0</v>
      </c>
      <c r="P278" s="159">
        <v>2613</v>
      </c>
      <c r="Q278" s="159">
        <v>1500</v>
      </c>
      <c r="R278" s="159">
        <v>2000</v>
      </c>
      <c r="S278" s="159">
        <v>27000</v>
      </c>
      <c r="T278" s="159">
        <v>3584</v>
      </c>
      <c r="U278" s="159">
        <v>50047</v>
      </c>
      <c r="V278" s="159">
        <v>4500</v>
      </c>
      <c r="W278" s="159">
        <v>186</v>
      </c>
      <c r="X278" s="159">
        <v>0</v>
      </c>
      <c r="Y278" s="159">
        <v>1500</v>
      </c>
      <c r="Z278" s="159">
        <v>4466</v>
      </c>
      <c r="AA278" s="159">
        <v>0</v>
      </c>
      <c r="AB278" s="159">
        <v>0</v>
      </c>
      <c r="AC278" s="159">
        <v>0</v>
      </c>
      <c r="AD278" s="207">
        <v>105425</v>
      </c>
      <c r="AE278" s="200">
        <v>15.199889711639379</v>
      </c>
      <c r="AF278" s="200">
        <v>9.4581670112738756</v>
      </c>
      <c r="AG278" s="200">
        <v>7.4735926274046802</v>
      </c>
      <c r="AH278" s="200">
        <v>656</v>
      </c>
      <c r="AI278" s="200">
        <v>1074</v>
      </c>
      <c r="AJ278" s="200">
        <v>1410</v>
      </c>
      <c r="AL278" s="197">
        <f t="shared" si="36"/>
        <v>120855.6056738599</v>
      </c>
      <c r="AM278" s="197" t="str">
        <f t="shared" si="37"/>
        <v>Box Medium 4</v>
      </c>
      <c r="AN278" s="3">
        <f t="shared" si="38"/>
        <v>14.639341024099938</v>
      </c>
      <c r="AO278" s="3">
        <f t="shared" si="39"/>
        <v>5.6507013306130291</v>
      </c>
      <c r="AP278" s="3">
        <f t="shared" si="40"/>
        <v>40.524687138827097</v>
      </c>
      <c r="AQ278" s="3">
        <f t="shared" si="41"/>
        <v>1.4588887369977754</v>
      </c>
      <c r="AR278" s="3">
        <f t="shared" si="42"/>
        <v>7.1095900676108048</v>
      </c>
      <c r="AS278" s="81">
        <f t="shared" si="43"/>
        <v>0.79479987972245514</v>
      </c>
      <c r="AT278" s="81">
        <f t="shared" si="44"/>
        <v>0.20520012027754486</v>
      </c>
    </row>
    <row r="279" spans="1:46" x14ac:dyDescent="0.25">
      <c r="A279" t="s">
        <v>230</v>
      </c>
      <c r="B279">
        <v>2023</v>
      </c>
      <c r="C279" t="s">
        <v>680</v>
      </c>
      <c r="D279" t="s">
        <v>810</v>
      </c>
      <c r="E279" t="s">
        <v>1028</v>
      </c>
      <c r="F279">
        <v>4</v>
      </c>
      <c r="G279" t="s">
        <v>2014</v>
      </c>
      <c r="H279" s="460">
        <v>4212.1325518287813</v>
      </c>
      <c r="I279">
        <v>1650</v>
      </c>
      <c r="J279">
        <v>150.00000001001371</v>
      </c>
      <c r="K279" s="67">
        <v>191.649</v>
      </c>
      <c r="L279" s="159">
        <v>0</v>
      </c>
      <c r="M279" s="159">
        <v>0</v>
      </c>
      <c r="N279" s="159">
        <v>0</v>
      </c>
      <c r="O279" s="159">
        <v>0</v>
      </c>
      <c r="P279" s="159">
        <v>0</v>
      </c>
      <c r="Q279" s="159">
        <v>1500</v>
      </c>
      <c r="R279" s="159">
        <v>2000</v>
      </c>
      <c r="S279" s="159">
        <v>27000</v>
      </c>
      <c r="T279" s="159">
        <v>0</v>
      </c>
      <c r="U279" s="159">
        <v>67077</v>
      </c>
      <c r="V279" s="159">
        <v>4500</v>
      </c>
      <c r="W279" s="159">
        <v>186</v>
      </c>
      <c r="X279" s="159">
        <v>0</v>
      </c>
      <c r="Y279" s="159">
        <v>1500</v>
      </c>
      <c r="Z279" s="159">
        <v>4441</v>
      </c>
      <c r="AA279" s="159">
        <v>0</v>
      </c>
      <c r="AB279" s="159">
        <v>0</v>
      </c>
      <c r="AC279" s="159">
        <v>0</v>
      </c>
      <c r="AD279" s="207">
        <v>108204</v>
      </c>
      <c r="AE279" s="200">
        <v>0</v>
      </c>
      <c r="AF279" s="200">
        <v>0</v>
      </c>
      <c r="AG279" s="200">
        <v>0</v>
      </c>
      <c r="AH279" s="200">
        <v>613</v>
      </c>
      <c r="AI279" s="200">
        <v>1117</v>
      </c>
      <c r="AJ279" s="200">
        <v>1424</v>
      </c>
      <c r="AL279" s="197">
        <f t="shared" si="36"/>
        <v>124041.3560003257</v>
      </c>
      <c r="AM279" s="197" t="str">
        <f t="shared" si="37"/>
        <v>Box Medium 4</v>
      </c>
      <c r="AN279" s="3">
        <f t="shared" si="38"/>
        <v>0</v>
      </c>
      <c r="AO279" s="3">
        <f t="shared" si="39"/>
        <v>0</v>
      </c>
      <c r="AP279" s="3">
        <f t="shared" si="40"/>
        <v>81.727291933339146</v>
      </c>
      <c r="AQ279" s="3">
        <f t="shared" si="41"/>
        <v>2.9421825096002094</v>
      </c>
      <c r="AR279" s="3">
        <f t="shared" si="42"/>
        <v>2.9421825096002094</v>
      </c>
      <c r="AS279" s="81">
        <f t="shared" si="43"/>
        <v>0</v>
      </c>
      <c r="AT279" s="81">
        <f t="shared" si="44"/>
        <v>1</v>
      </c>
    </row>
    <row r="280" spans="1:46" x14ac:dyDescent="0.25">
      <c r="A280" t="s">
        <v>496</v>
      </c>
      <c r="B280">
        <v>2023</v>
      </c>
      <c r="C280" t="s">
        <v>680</v>
      </c>
      <c r="D280" t="s">
        <v>810</v>
      </c>
      <c r="E280" t="s">
        <v>1028</v>
      </c>
      <c r="F280">
        <v>4</v>
      </c>
      <c r="G280" t="s">
        <v>2015</v>
      </c>
      <c r="H280" s="460">
        <v>3301.2892111977199</v>
      </c>
      <c r="I280">
        <v>1650</v>
      </c>
      <c r="J280">
        <v>150.00000001001371</v>
      </c>
      <c r="K280" s="67">
        <v>3.6432000000000002</v>
      </c>
      <c r="L280" s="159">
        <v>0</v>
      </c>
      <c r="M280" s="159">
        <v>0</v>
      </c>
      <c r="N280" s="159">
        <v>0</v>
      </c>
      <c r="O280" s="159">
        <v>0</v>
      </c>
      <c r="P280" s="159">
        <v>0</v>
      </c>
      <c r="Q280" s="159">
        <v>1500</v>
      </c>
      <c r="R280" s="159">
        <v>2000</v>
      </c>
      <c r="S280" s="159">
        <v>27000</v>
      </c>
      <c r="T280" s="159">
        <v>0</v>
      </c>
      <c r="U280" s="159">
        <v>2550</v>
      </c>
      <c r="V280" s="159">
        <v>4500</v>
      </c>
      <c r="W280" s="159">
        <v>186</v>
      </c>
      <c r="X280" s="159">
        <v>0</v>
      </c>
      <c r="Y280" s="159">
        <v>1500</v>
      </c>
      <c r="Z280" s="159">
        <v>4630</v>
      </c>
      <c r="AA280" s="159">
        <v>21303</v>
      </c>
      <c r="AB280" s="159">
        <v>10384</v>
      </c>
      <c r="AC280" s="159">
        <v>0</v>
      </c>
      <c r="AD280" s="207">
        <v>75553</v>
      </c>
      <c r="AE280" s="200">
        <v>35.869364788120599</v>
      </c>
      <c r="AF280" s="200">
        <v>19.590726942725496</v>
      </c>
      <c r="AG280" s="200">
        <v>14.349876498038745</v>
      </c>
      <c r="AH280" s="200">
        <v>0</v>
      </c>
      <c r="AI280" s="200">
        <v>0</v>
      </c>
      <c r="AJ280" s="200">
        <v>0</v>
      </c>
      <c r="AL280" s="197">
        <f t="shared" si="36"/>
        <v>86611.368987214955</v>
      </c>
      <c r="AM280" s="197" t="str">
        <f t="shared" si="37"/>
        <v>Box Medium 4</v>
      </c>
      <c r="AN280" s="3">
        <f t="shared" si="38"/>
        <v>15.013400819307829</v>
      </c>
      <c r="AO280" s="3">
        <f t="shared" si="39"/>
        <v>5.7950862574366067</v>
      </c>
      <c r="AP280" s="3">
        <f t="shared" si="40"/>
        <v>0</v>
      </c>
      <c r="AQ280" s="3">
        <f t="shared" si="41"/>
        <v>0</v>
      </c>
      <c r="AR280" s="3">
        <f t="shared" si="42"/>
        <v>5.7950862574366067</v>
      </c>
      <c r="AS280" s="81">
        <f t="shared" si="43"/>
        <v>1</v>
      </c>
      <c r="AT280" s="81">
        <f t="shared" si="44"/>
        <v>0</v>
      </c>
    </row>
    <row r="281" spans="1:46" x14ac:dyDescent="0.25">
      <c r="A281" t="s">
        <v>828</v>
      </c>
      <c r="B281">
        <v>2023</v>
      </c>
      <c r="C281" t="s">
        <v>680</v>
      </c>
      <c r="D281" t="s">
        <v>810</v>
      </c>
      <c r="E281" t="s">
        <v>1028</v>
      </c>
      <c r="F281">
        <v>4</v>
      </c>
      <c r="G281" t="s">
        <v>2016</v>
      </c>
      <c r="H281" s="460">
        <v>3334.7074861783085</v>
      </c>
      <c r="I281">
        <v>1650</v>
      </c>
      <c r="J281">
        <v>150.00000001001371</v>
      </c>
      <c r="K281" s="67">
        <v>14.770875</v>
      </c>
      <c r="L281" s="159">
        <v>0</v>
      </c>
      <c r="M281" s="159">
        <v>0</v>
      </c>
      <c r="N281" s="159">
        <v>0</v>
      </c>
      <c r="O281" s="159">
        <v>0</v>
      </c>
      <c r="P281" s="159">
        <v>0</v>
      </c>
      <c r="Q281" s="159">
        <v>1500</v>
      </c>
      <c r="R281" s="159">
        <v>2000</v>
      </c>
      <c r="S281" s="159">
        <v>27000</v>
      </c>
      <c r="T281" s="159">
        <v>0</v>
      </c>
      <c r="U281" s="159">
        <v>5170</v>
      </c>
      <c r="V281" s="159">
        <v>4500</v>
      </c>
      <c r="W281" s="159">
        <v>186</v>
      </c>
      <c r="X281" s="159">
        <v>0</v>
      </c>
      <c r="Y281" s="159">
        <v>1500</v>
      </c>
      <c r="Z281" s="159">
        <v>5590</v>
      </c>
      <c r="AA281" s="159">
        <v>14020</v>
      </c>
      <c r="AB281" s="159">
        <v>9360</v>
      </c>
      <c r="AC281" s="159">
        <v>0</v>
      </c>
      <c r="AD281" s="207">
        <v>70826</v>
      </c>
      <c r="AE281" s="200">
        <v>35.46225130494723</v>
      </c>
      <c r="AF281" s="200">
        <v>18.559702723304714</v>
      </c>
      <c r="AG281" s="200">
        <v>14.575461530120325</v>
      </c>
      <c r="AH281" s="200">
        <v>0</v>
      </c>
      <c r="AI281" s="200">
        <v>0</v>
      </c>
      <c r="AJ281" s="200">
        <v>281.03034080905877</v>
      </c>
      <c r="AL281" s="197">
        <f t="shared" si="36"/>
        <v>81192.49824478825</v>
      </c>
      <c r="AM281" s="197" t="str">
        <f t="shared" si="37"/>
        <v>Box Medium 4</v>
      </c>
      <c r="AN281" s="3">
        <f t="shared" si="38"/>
        <v>14.875467475603916</v>
      </c>
      <c r="AO281" s="3">
        <f t="shared" si="39"/>
        <v>5.7418447810941622</v>
      </c>
      <c r="AP281" s="3">
        <f t="shared" si="40"/>
        <v>14.14459194796237</v>
      </c>
      <c r="AQ281" s="3">
        <f t="shared" si="41"/>
        <v>0.50920531012664538</v>
      </c>
      <c r="AR281" s="3">
        <f t="shared" si="42"/>
        <v>6.251050091220808</v>
      </c>
      <c r="AS281" s="81">
        <f t="shared" si="43"/>
        <v>0.91854083670809306</v>
      </c>
      <c r="AT281" s="81">
        <f t="shared" si="44"/>
        <v>8.1459163291906916E-2</v>
      </c>
    </row>
    <row r="282" spans="1:46" x14ac:dyDescent="0.25">
      <c r="A282" t="s">
        <v>805</v>
      </c>
      <c r="B282">
        <v>2025</v>
      </c>
      <c r="C282" t="s">
        <v>680</v>
      </c>
      <c r="D282" t="s">
        <v>810</v>
      </c>
      <c r="E282" t="s">
        <v>1028</v>
      </c>
      <c r="F282">
        <v>4</v>
      </c>
      <c r="G282" t="s">
        <v>2017</v>
      </c>
      <c r="H282" s="460">
        <v>3239.3447973371722</v>
      </c>
      <c r="I282">
        <v>1650</v>
      </c>
      <c r="J282">
        <v>0</v>
      </c>
      <c r="K282" s="67">
        <v>0</v>
      </c>
      <c r="L282" s="159">
        <v>150</v>
      </c>
      <c r="M282" s="159">
        <v>13284</v>
      </c>
      <c r="N282" s="159">
        <v>1920</v>
      </c>
      <c r="O282" s="159">
        <v>506</v>
      </c>
      <c r="P282" s="159">
        <v>3641</v>
      </c>
      <c r="Q282" s="159">
        <v>1500</v>
      </c>
      <c r="R282" s="159">
        <v>2000</v>
      </c>
      <c r="S282" s="159">
        <v>27118</v>
      </c>
      <c r="T282" s="159">
        <v>92</v>
      </c>
      <c r="U282" s="159">
        <v>120</v>
      </c>
      <c r="V282" s="159">
        <v>0</v>
      </c>
      <c r="W282" s="159">
        <v>186</v>
      </c>
      <c r="X282" s="159">
        <v>0</v>
      </c>
      <c r="Y282" s="159">
        <v>0</v>
      </c>
      <c r="Z282" s="159">
        <v>0</v>
      </c>
      <c r="AA282" s="159">
        <v>0</v>
      </c>
      <c r="AB282" s="159">
        <v>0</v>
      </c>
      <c r="AC282" s="159">
        <v>0</v>
      </c>
      <c r="AD282" s="207">
        <v>50517</v>
      </c>
      <c r="AE282" s="200">
        <v>15.52205090842153</v>
      </c>
      <c r="AF282" s="200">
        <v>15.63888242564957</v>
      </c>
      <c r="AG282" s="200">
        <v>12.887220665441241</v>
      </c>
      <c r="AH282" s="200">
        <v>0</v>
      </c>
      <c r="AI282" s="200">
        <v>0</v>
      </c>
      <c r="AJ282" s="200">
        <v>0</v>
      </c>
      <c r="AL282" s="197">
        <f t="shared" si="36"/>
        <v>57910.956906107473</v>
      </c>
      <c r="AM282" s="197" t="str">
        <f t="shared" si="37"/>
        <v>Box Medium 4</v>
      </c>
      <c r="AN282" s="3">
        <f t="shared" si="38"/>
        <v>17.652964620518837</v>
      </c>
      <c r="AO282" s="3">
        <f t="shared" si="39"/>
        <v>6.8139426840467019</v>
      </c>
      <c r="AP282" s="3">
        <f t="shared" si="40"/>
        <v>0</v>
      </c>
      <c r="AQ282" s="3">
        <f t="shared" si="41"/>
        <v>0</v>
      </c>
      <c r="AR282" s="3">
        <f t="shared" si="42"/>
        <v>6.8139426840467019</v>
      </c>
      <c r="AS282" s="81">
        <f t="shared" si="43"/>
        <v>1</v>
      </c>
      <c r="AT282" s="81">
        <f t="shared" si="44"/>
        <v>0</v>
      </c>
    </row>
    <row r="283" spans="1:46" x14ac:dyDescent="0.25">
      <c r="A283" t="s">
        <v>805</v>
      </c>
      <c r="B283">
        <v>2025</v>
      </c>
      <c r="C283" t="s">
        <v>680</v>
      </c>
      <c r="D283" t="s">
        <v>810</v>
      </c>
      <c r="E283" t="s">
        <v>1028</v>
      </c>
      <c r="F283">
        <v>4</v>
      </c>
      <c r="G283" t="s">
        <v>2018</v>
      </c>
      <c r="H283" s="460">
        <v>3128.5675961805218</v>
      </c>
      <c r="I283">
        <v>1650</v>
      </c>
      <c r="J283">
        <v>0</v>
      </c>
      <c r="K283" s="67">
        <v>0</v>
      </c>
      <c r="L283" s="159">
        <v>150</v>
      </c>
      <c r="M283" s="159">
        <v>16455</v>
      </c>
      <c r="N283" s="159">
        <v>1920</v>
      </c>
      <c r="O283" s="159">
        <v>506</v>
      </c>
      <c r="P283" s="159">
        <v>3054</v>
      </c>
      <c r="Q283" s="159">
        <v>1500</v>
      </c>
      <c r="R283" s="159">
        <v>2000</v>
      </c>
      <c r="S283" s="159">
        <v>27118</v>
      </c>
      <c r="T283" s="159">
        <v>92</v>
      </c>
      <c r="U283" s="159">
        <v>120</v>
      </c>
      <c r="V283" s="159">
        <v>0</v>
      </c>
      <c r="W283" s="159">
        <v>186</v>
      </c>
      <c r="X283" s="159">
        <v>0</v>
      </c>
      <c r="Y283" s="159">
        <v>0</v>
      </c>
      <c r="Z283" s="159">
        <v>0</v>
      </c>
      <c r="AA283" s="159">
        <v>0</v>
      </c>
      <c r="AB283" s="159">
        <v>0</v>
      </c>
      <c r="AC283" s="159">
        <v>0</v>
      </c>
      <c r="AD283" s="207">
        <v>53101</v>
      </c>
      <c r="AE283" s="200">
        <v>10.346498894254182</v>
      </c>
      <c r="AF283" s="200">
        <v>11.026748912028442</v>
      </c>
      <c r="AG283" s="200">
        <v>10.545875462195939</v>
      </c>
      <c r="AH283" s="200">
        <v>0</v>
      </c>
      <c r="AI283" s="200">
        <v>0</v>
      </c>
      <c r="AJ283" s="200">
        <v>0</v>
      </c>
      <c r="AL283" s="197">
        <f t="shared" si="36"/>
        <v>60873.16591783386</v>
      </c>
      <c r="AM283" s="197" t="str">
        <f t="shared" si="37"/>
        <v>Box Medium 4</v>
      </c>
      <c r="AN283" s="3">
        <f t="shared" si="38"/>
        <v>22.259431057348774</v>
      </c>
      <c r="AO283" s="3">
        <f t="shared" si="39"/>
        <v>8.5920122010534996</v>
      </c>
      <c r="AP283" s="3">
        <f t="shared" si="40"/>
        <v>0</v>
      </c>
      <c r="AQ283" s="3">
        <f t="shared" si="41"/>
        <v>0</v>
      </c>
      <c r="AR283" s="3">
        <f t="shared" si="42"/>
        <v>8.5920122010534996</v>
      </c>
      <c r="AS283" s="81">
        <f t="shared" si="43"/>
        <v>1</v>
      </c>
      <c r="AT283" s="81">
        <f t="shared" si="44"/>
        <v>0</v>
      </c>
    </row>
    <row r="284" spans="1:46" x14ac:dyDescent="0.25">
      <c r="A284" t="s">
        <v>807</v>
      </c>
      <c r="B284">
        <v>2025</v>
      </c>
      <c r="C284" t="s">
        <v>680</v>
      </c>
      <c r="D284" t="s">
        <v>810</v>
      </c>
      <c r="E284" t="s">
        <v>1028</v>
      </c>
      <c r="F284">
        <v>4</v>
      </c>
      <c r="G284" t="s">
        <v>2019</v>
      </c>
      <c r="H284" s="460">
        <v>3316.1457770650386</v>
      </c>
      <c r="I284">
        <v>1650</v>
      </c>
      <c r="J284">
        <v>0</v>
      </c>
      <c r="K284" s="67">
        <v>3.0096000000000003</v>
      </c>
      <c r="L284" s="159">
        <v>150</v>
      </c>
      <c r="M284" s="159">
        <v>13706</v>
      </c>
      <c r="N284" s="159">
        <v>220</v>
      </c>
      <c r="O284" s="159">
        <v>392</v>
      </c>
      <c r="P284" s="159">
        <v>3832</v>
      </c>
      <c r="Q284" s="159">
        <v>1500</v>
      </c>
      <c r="R284" s="159">
        <v>2000</v>
      </c>
      <c r="S284" s="159">
        <v>27118</v>
      </c>
      <c r="T284" s="159">
        <v>0</v>
      </c>
      <c r="U284" s="159">
        <v>1422</v>
      </c>
      <c r="V284" s="159">
        <v>4500</v>
      </c>
      <c r="W284" s="159">
        <v>186</v>
      </c>
      <c r="X284" s="159">
        <v>120</v>
      </c>
      <c r="Y284" s="159">
        <v>1500</v>
      </c>
      <c r="Z284" s="159">
        <v>2161</v>
      </c>
      <c r="AA284" s="159">
        <v>0</v>
      </c>
      <c r="AB284" s="159">
        <v>0</v>
      </c>
      <c r="AC284" s="159">
        <v>0</v>
      </c>
      <c r="AD284" s="207">
        <v>58807</v>
      </c>
      <c r="AE284" s="200">
        <v>21.826751902448894</v>
      </c>
      <c r="AF284" s="200">
        <v>17.256515306933981</v>
      </c>
      <c r="AG284" s="200">
        <v>13.15084717213081</v>
      </c>
      <c r="AH284" s="200">
        <v>0</v>
      </c>
      <c r="AI284" s="200">
        <v>0</v>
      </c>
      <c r="AJ284" s="200">
        <v>0</v>
      </c>
      <c r="AL284" s="197">
        <f t="shared" si="36"/>
        <v>67414.328696824086</v>
      </c>
      <c r="AM284" s="197" t="str">
        <f t="shared" si="37"/>
        <v>Box Medium 4</v>
      </c>
      <c r="AN284" s="3">
        <f t="shared" si="38"/>
        <v>16.79199449563955</v>
      </c>
      <c r="AO284" s="3">
        <f t="shared" si="39"/>
        <v>6.4816131739776131</v>
      </c>
      <c r="AP284" s="3">
        <f t="shared" si="40"/>
        <v>0</v>
      </c>
      <c r="AQ284" s="3">
        <f t="shared" si="41"/>
        <v>0</v>
      </c>
      <c r="AR284" s="3">
        <f t="shared" si="42"/>
        <v>6.4816131739776131</v>
      </c>
      <c r="AS284" s="81">
        <f t="shared" si="43"/>
        <v>1</v>
      </c>
      <c r="AT284" s="81">
        <f t="shared" si="44"/>
        <v>0</v>
      </c>
    </row>
    <row r="285" spans="1:46" x14ac:dyDescent="0.25">
      <c r="A285" t="s">
        <v>807</v>
      </c>
      <c r="B285">
        <v>2025</v>
      </c>
      <c r="C285" t="s">
        <v>680</v>
      </c>
      <c r="D285" t="s">
        <v>810</v>
      </c>
      <c r="E285" t="s">
        <v>1028</v>
      </c>
      <c r="F285">
        <v>4</v>
      </c>
      <c r="G285" t="s">
        <v>2020</v>
      </c>
      <c r="H285" s="460">
        <v>3151.6672360934945</v>
      </c>
      <c r="I285">
        <v>1650</v>
      </c>
      <c r="J285">
        <v>0</v>
      </c>
      <c r="K285" s="67">
        <v>2.9304000000000001</v>
      </c>
      <c r="L285" s="159">
        <v>150</v>
      </c>
      <c r="M285" s="159">
        <v>12080</v>
      </c>
      <c r="N285" s="159">
        <v>220</v>
      </c>
      <c r="O285" s="159">
        <v>392</v>
      </c>
      <c r="P285" s="159">
        <v>2575</v>
      </c>
      <c r="Q285" s="159">
        <v>1500</v>
      </c>
      <c r="R285" s="159">
        <v>2000</v>
      </c>
      <c r="S285" s="159">
        <v>27118</v>
      </c>
      <c r="T285" s="159">
        <v>0</v>
      </c>
      <c r="U285" s="159">
        <v>1384</v>
      </c>
      <c r="V285" s="159">
        <v>4500</v>
      </c>
      <c r="W285" s="159">
        <v>186</v>
      </c>
      <c r="X285" s="159">
        <v>120</v>
      </c>
      <c r="Y285" s="159">
        <v>1500</v>
      </c>
      <c r="Z285" s="159">
        <v>2124</v>
      </c>
      <c r="AA285" s="159">
        <v>0</v>
      </c>
      <c r="AB285" s="159">
        <v>0</v>
      </c>
      <c r="AC285" s="159">
        <v>0</v>
      </c>
      <c r="AD285" s="207">
        <v>55849</v>
      </c>
      <c r="AE285" s="200">
        <v>18.24988386178952</v>
      </c>
      <c r="AF285" s="200">
        <v>13.077893499101068</v>
      </c>
      <c r="AG285" s="200">
        <v>10.564539451009624</v>
      </c>
      <c r="AH285" s="200">
        <v>0</v>
      </c>
      <c r="AI285" s="200">
        <v>0</v>
      </c>
      <c r="AJ285" s="200">
        <v>0</v>
      </c>
      <c r="AL285" s="197">
        <f t="shared" si="36"/>
        <v>64023.378907084669</v>
      </c>
      <c r="AM285" s="197" t="str">
        <f t="shared" si="37"/>
        <v>Box Medium 4</v>
      </c>
      <c r="AN285" s="3">
        <f t="shared" si="38"/>
        <v>20.941887868637792</v>
      </c>
      <c r="AO285" s="3">
        <f t="shared" si="39"/>
        <v>8.0834481176474977</v>
      </c>
      <c r="AP285" s="3">
        <f t="shared" si="40"/>
        <v>0</v>
      </c>
      <c r="AQ285" s="3">
        <f t="shared" si="41"/>
        <v>0</v>
      </c>
      <c r="AR285" s="3">
        <f t="shared" si="42"/>
        <v>8.0834481176474977</v>
      </c>
      <c r="AS285" s="81">
        <f t="shared" si="43"/>
        <v>1</v>
      </c>
      <c r="AT285" s="81">
        <f t="shared" si="44"/>
        <v>0</v>
      </c>
    </row>
    <row r="286" spans="1:46" x14ac:dyDescent="0.25">
      <c r="A286" t="s">
        <v>808</v>
      </c>
      <c r="B286">
        <v>2025</v>
      </c>
      <c r="C286" t="s">
        <v>680</v>
      </c>
      <c r="D286" t="s">
        <v>810</v>
      </c>
      <c r="E286" t="s">
        <v>1028</v>
      </c>
      <c r="F286">
        <v>4</v>
      </c>
      <c r="G286" t="s">
        <v>2021</v>
      </c>
      <c r="H286" s="460">
        <v>4152.4141440942021</v>
      </c>
      <c r="I286">
        <v>1650</v>
      </c>
      <c r="J286">
        <v>119.99999997072871</v>
      </c>
      <c r="K286" s="67">
        <v>135.5445</v>
      </c>
      <c r="L286" s="159">
        <v>0</v>
      </c>
      <c r="M286" s="159">
        <v>11267</v>
      </c>
      <c r="N286" s="159">
        <v>220</v>
      </c>
      <c r="O286" s="159">
        <v>0</v>
      </c>
      <c r="P286" s="159">
        <v>0</v>
      </c>
      <c r="Q286" s="159">
        <v>1500</v>
      </c>
      <c r="R286" s="159">
        <v>2000</v>
      </c>
      <c r="S286" s="159">
        <v>27118</v>
      </c>
      <c r="T286" s="159">
        <v>3351</v>
      </c>
      <c r="U286" s="159">
        <v>37952</v>
      </c>
      <c r="V286" s="159">
        <v>4500</v>
      </c>
      <c r="W286" s="159">
        <v>186</v>
      </c>
      <c r="X286" s="159">
        <v>0</v>
      </c>
      <c r="Y286" s="159">
        <v>1500</v>
      </c>
      <c r="Z286" s="159">
        <v>4003</v>
      </c>
      <c r="AA286" s="159">
        <v>0</v>
      </c>
      <c r="AB286" s="159">
        <v>0</v>
      </c>
      <c r="AC286" s="159">
        <v>0</v>
      </c>
      <c r="AD286" s="207">
        <v>93597</v>
      </c>
      <c r="AE286" s="200">
        <v>59.315649540508332</v>
      </c>
      <c r="AF286" s="200">
        <v>24.820382269796262</v>
      </c>
      <c r="AG286" s="200">
        <v>15.068595432022738</v>
      </c>
      <c r="AH286" s="200">
        <v>577</v>
      </c>
      <c r="AI286" s="200">
        <v>1047</v>
      </c>
      <c r="AJ286" s="200">
        <v>1365</v>
      </c>
      <c r="AL286" s="197">
        <f t="shared" si="36"/>
        <v>107296.3919777687</v>
      </c>
      <c r="AM286" s="197" t="str">
        <f t="shared" si="37"/>
        <v>Box Medium 4</v>
      </c>
      <c r="AN286" s="3">
        <f t="shared" si="38"/>
        <v>6.9466232219959778</v>
      </c>
      <c r="AO286" s="3">
        <f t="shared" si="39"/>
        <v>2.6813565596415518</v>
      </c>
      <c r="AP286" s="3">
        <f t="shared" si="40"/>
        <v>39.071296307803195</v>
      </c>
      <c r="AQ286" s="3">
        <f t="shared" si="41"/>
        <v>1.4065666670809152</v>
      </c>
      <c r="AR286" s="3">
        <f t="shared" si="42"/>
        <v>4.0879232267224666</v>
      </c>
      <c r="AS286" s="81">
        <f t="shared" si="43"/>
        <v>0.65592145716282357</v>
      </c>
      <c r="AT286" s="81">
        <f t="shared" si="44"/>
        <v>0.34407854283717654</v>
      </c>
    </row>
    <row r="287" spans="1:46" x14ac:dyDescent="0.25">
      <c r="A287" t="s">
        <v>808</v>
      </c>
      <c r="B287">
        <v>2025</v>
      </c>
      <c r="C287" t="s">
        <v>680</v>
      </c>
      <c r="D287" t="s">
        <v>810</v>
      </c>
      <c r="E287" t="s">
        <v>1028</v>
      </c>
      <c r="F287">
        <v>4</v>
      </c>
      <c r="G287" t="s">
        <v>2022</v>
      </c>
      <c r="H287" s="460">
        <v>4063.0436436656728</v>
      </c>
      <c r="I287">
        <v>1650</v>
      </c>
      <c r="J287">
        <v>119.99999997072871</v>
      </c>
      <c r="K287" s="67">
        <v>132.56550000000001</v>
      </c>
      <c r="L287" s="159">
        <v>0</v>
      </c>
      <c r="M287" s="159">
        <v>8153</v>
      </c>
      <c r="N287" s="159">
        <v>220</v>
      </c>
      <c r="O287" s="159">
        <v>0</v>
      </c>
      <c r="P287" s="159">
        <v>2515</v>
      </c>
      <c r="Q287" s="159">
        <v>1500</v>
      </c>
      <c r="R287" s="159">
        <v>2000</v>
      </c>
      <c r="S287" s="159">
        <v>27118</v>
      </c>
      <c r="T287" s="159">
        <v>3265</v>
      </c>
      <c r="U287" s="159">
        <v>37118</v>
      </c>
      <c r="V287" s="159">
        <v>4500</v>
      </c>
      <c r="W287" s="159">
        <v>186</v>
      </c>
      <c r="X287" s="159">
        <v>0</v>
      </c>
      <c r="Y287" s="159">
        <v>1500</v>
      </c>
      <c r="Z287" s="159">
        <v>3576</v>
      </c>
      <c r="AA287" s="159">
        <v>0</v>
      </c>
      <c r="AB287" s="159">
        <v>0</v>
      </c>
      <c r="AC287" s="159">
        <v>0</v>
      </c>
      <c r="AD287" s="207">
        <v>91651</v>
      </c>
      <c r="AE287" s="200">
        <v>17.660991790563884</v>
      </c>
      <c r="AF287" s="200">
        <v>11.113218357735548</v>
      </c>
      <c r="AG287" s="200">
        <v>8.3367614880701879</v>
      </c>
      <c r="AH287" s="200">
        <v>602</v>
      </c>
      <c r="AI287" s="200">
        <v>982</v>
      </c>
      <c r="AJ287" s="200">
        <v>1289</v>
      </c>
      <c r="AL287" s="197">
        <f t="shared" si="36"/>
        <v>105065.56429324101</v>
      </c>
      <c r="AM287" s="197" t="str">
        <f t="shared" si="37"/>
        <v>Box Medium 4</v>
      </c>
      <c r="AN287" s="3">
        <f t="shared" si="38"/>
        <v>13.045111747025597</v>
      </c>
      <c r="AO287" s="3">
        <f t="shared" si="39"/>
        <v>5.0353380104720467</v>
      </c>
      <c r="AP287" s="3">
        <f t="shared" si="40"/>
        <v>37.054631091006257</v>
      </c>
      <c r="AQ287" s="3">
        <f t="shared" si="41"/>
        <v>1.3339667192762252</v>
      </c>
      <c r="AR287" s="3">
        <f t="shared" si="42"/>
        <v>6.3693047297482721</v>
      </c>
      <c r="AS287" s="81">
        <f t="shared" si="43"/>
        <v>0.79056321280314268</v>
      </c>
      <c r="AT287" s="81">
        <f t="shared" si="44"/>
        <v>0.20943678719685724</v>
      </c>
    </row>
    <row r="288" spans="1:46" x14ac:dyDescent="0.25">
      <c r="A288" t="s">
        <v>230</v>
      </c>
      <c r="B288">
        <v>2025</v>
      </c>
      <c r="C288" t="s">
        <v>680</v>
      </c>
      <c r="D288" t="s">
        <v>810</v>
      </c>
      <c r="E288" t="s">
        <v>1028</v>
      </c>
      <c r="F288">
        <v>4</v>
      </c>
      <c r="G288" t="s">
        <v>2023</v>
      </c>
      <c r="H288" s="460">
        <v>3928.7009974036309</v>
      </c>
      <c r="I288">
        <v>1650</v>
      </c>
      <c r="J288">
        <v>150.00000001001371</v>
      </c>
      <c r="K288" s="67">
        <v>178.74</v>
      </c>
      <c r="L288" s="159">
        <v>0</v>
      </c>
      <c r="M288" s="159">
        <v>0</v>
      </c>
      <c r="N288" s="159">
        <v>0</v>
      </c>
      <c r="O288" s="159">
        <v>0</v>
      </c>
      <c r="P288" s="159">
        <v>0</v>
      </c>
      <c r="Q288" s="159">
        <v>1500</v>
      </c>
      <c r="R288" s="159">
        <v>2000</v>
      </c>
      <c r="S288" s="159">
        <v>27118</v>
      </c>
      <c r="T288" s="159">
        <v>0</v>
      </c>
      <c r="U288" s="159">
        <v>50047</v>
      </c>
      <c r="V288" s="159">
        <v>4500</v>
      </c>
      <c r="W288" s="159">
        <v>186</v>
      </c>
      <c r="X288" s="159">
        <v>0</v>
      </c>
      <c r="Y288" s="159">
        <v>1500</v>
      </c>
      <c r="Z288" s="159">
        <v>3664</v>
      </c>
      <c r="AA288" s="159">
        <v>0</v>
      </c>
      <c r="AB288" s="159">
        <v>0</v>
      </c>
      <c r="AC288" s="159">
        <v>0</v>
      </c>
      <c r="AD288" s="207">
        <v>90515</v>
      </c>
      <c r="AE288" s="200">
        <v>0</v>
      </c>
      <c r="AF288" s="200">
        <v>0</v>
      </c>
      <c r="AG288" s="200">
        <v>0</v>
      </c>
      <c r="AH288" s="200">
        <v>560</v>
      </c>
      <c r="AI288" s="200">
        <v>1022</v>
      </c>
      <c r="AJ288" s="200">
        <v>1328</v>
      </c>
      <c r="AL288" s="197">
        <f t="shared" si="36"/>
        <v>103763.29283916936</v>
      </c>
      <c r="AM288" s="197" t="str">
        <f t="shared" si="37"/>
        <v>Box Medium 4</v>
      </c>
      <c r="AN288" s="3">
        <f t="shared" si="38"/>
        <v>0</v>
      </c>
      <c r="AO288" s="3">
        <f t="shared" si="39"/>
        <v>0</v>
      </c>
      <c r="AP288" s="3">
        <f t="shared" si="40"/>
        <v>76.034896292890252</v>
      </c>
      <c r="AQ288" s="3">
        <f t="shared" si="41"/>
        <v>2.737256266544049</v>
      </c>
      <c r="AR288" s="3">
        <f t="shared" si="42"/>
        <v>2.737256266544049</v>
      </c>
      <c r="AS288" s="81">
        <f t="shared" si="43"/>
        <v>0</v>
      </c>
      <c r="AT288" s="81">
        <f t="shared" si="44"/>
        <v>1</v>
      </c>
    </row>
    <row r="289" spans="1:46" x14ac:dyDescent="0.25">
      <c r="A289" t="s">
        <v>496</v>
      </c>
      <c r="B289">
        <v>2025</v>
      </c>
      <c r="C289" t="s">
        <v>680</v>
      </c>
      <c r="D289" t="s">
        <v>810</v>
      </c>
      <c r="E289" t="s">
        <v>1028</v>
      </c>
      <c r="F289">
        <v>4</v>
      </c>
      <c r="G289" t="s">
        <v>2024</v>
      </c>
      <c r="H289" s="460">
        <v>3140.1633363146821</v>
      </c>
      <c r="I289">
        <v>1650</v>
      </c>
      <c r="J289">
        <v>150.00000001001371</v>
      </c>
      <c r="K289" s="67">
        <v>3.6115200000000005</v>
      </c>
      <c r="L289" s="159">
        <v>0</v>
      </c>
      <c r="M289" s="159">
        <v>0</v>
      </c>
      <c r="N289" s="159">
        <v>0</v>
      </c>
      <c r="O289" s="159">
        <v>0</v>
      </c>
      <c r="P289" s="159">
        <v>0</v>
      </c>
      <c r="Q289" s="159">
        <v>1500</v>
      </c>
      <c r="R289" s="159">
        <v>2000</v>
      </c>
      <c r="S289" s="159">
        <v>27118</v>
      </c>
      <c r="T289" s="159">
        <v>0</v>
      </c>
      <c r="U289" s="159">
        <v>1706</v>
      </c>
      <c r="V289" s="159">
        <v>4500</v>
      </c>
      <c r="W289" s="159">
        <v>186</v>
      </c>
      <c r="X289" s="159">
        <v>0</v>
      </c>
      <c r="Y289" s="159">
        <v>1500</v>
      </c>
      <c r="Z289" s="159">
        <v>3781</v>
      </c>
      <c r="AA289" s="159">
        <v>15199</v>
      </c>
      <c r="AB289" s="159">
        <v>7745</v>
      </c>
      <c r="AC289" s="159">
        <v>0</v>
      </c>
      <c r="AD289" s="207">
        <v>65235</v>
      </c>
      <c r="AE289" s="200">
        <v>38.717196602246901</v>
      </c>
      <c r="AF289" s="200">
        <v>21.468222162666528</v>
      </c>
      <c r="AG289" s="200">
        <v>15.712363348959142</v>
      </c>
      <c r="AH289" s="200">
        <v>0</v>
      </c>
      <c r="AI289" s="200">
        <v>0</v>
      </c>
      <c r="AJ289" s="200">
        <v>0</v>
      </c>
      <c r="AL289" s="197">
        <f t="shared" si="36"/>
        <v>74783.167523208453</v>
      </c>
      <c r="AM289" s="197" t="str">
        <f t="shared" si="37"/>
        <v>Box Medium 4</v>
      </c>
      <c r="AN289" s="3">
        <f t="shared" si="38"/>
        <v>13.719353551227668</v>
      </c>
      <c r="AO289" s="3">
        <f t="shared" si="39"/>
        <v>5.2955914640863515</v>
      </c>
      <c r="AP289" s="3">
        <f t="shared" si="40"/>
        <v>0</v>
      </c>
      <c r="AQ289" s="3">
        <f t="shared" si="41"/>
        <v>0</v>
      </c>
      <c r="AR289" s="3">
        <f t="shared" si="42"/>
        <v>5.2955914640863515</v>
      </c>
      <c r="AS289" s="81">
        <f t="shared" si="43"/>
        <v>1</v>
      </c>
      <c r="AT289" s="81">
        <f t="shared" si="44"/>
        <v>0</v>
      </c>
    </row>
    <row r="290" spans="1:46" x14ac:dyDescent="0.25">
      <c r="A290" t="s">
        <v>828</v>
      </c>
      <c r="B290">
        <v>2025</v>
      </c>
      <c r="C290" t="s">
        <v>680</v>
      </c>
      <c r="D290" t="s">
        <v>810</v>
      </c>
      <c r="E290" t="s">
        <v>1028</v>
      </c>
      <c r="F290">
        <v>4</v>
      </c>
      <c r="G290" t="s">
        <v>2025</v>
      </c>
      <c r="H290" s="460">
        <v>3151.4009771956553</v>
      </c>
      <c r="I290">
        <v>1650</v>
      </c>
      <c r="J290">
        <v>150.00000001001371</v>
      </c>
      <c r="K290" s="67">
        <v>14.522625</v>
      </c>
      <c r="L290" s="159">
        <v>0</v>
      </c>
      <c r="M290" s="159">
        <v>0</v>
      </c>
      <c r="N290" s="159">
        <v>0</v>
      </c>
      <c r="O290" s="159">
        <v>0</v>
      </c>
      <c r="P290" s="159">
        <v>0</v>
      </c>
      <c r="Q290" s="159">
        <v>1500</v>
      </c>
      <c r="R290" s="159">
        <v>2000</v>
      </c>
      <c r="S290" s="159">
        <v>27118</v>
      </c>
      <c r="T290" s="159">
        <v>0</v>
      </c>
      <c r="U290" s="159">
        <v>4066</v>
      </c>
      <c r="V290" s="159">
        <v>4500</v>
      </c>
      <c r="W290" s="159">
        <v>186</v>
      </c>
      <c r="X290" s="159">
        <v>0</v>
      </c>
      <c r="Y290" s="159">
        <v>1500</v>
      </c>
      <c r="Z290" s="159">
        <v>4558</v>
      </c>
      <c r="AA290" s="159">
        <v>9710</v>
      </c>
      <c r="AB290" s="159">
        <v>6869</v>
      </c>
      <c r="AC290" s="159">
        <v>0</v>
      </c>
      <c r="AD290" s="207">
        <v>62007</v>
      </c>
      <c r="AE290" s="200">
        <v>38.411815518308543</v>
      </c>
      <c r="AF290" s="200">
        <v>20.29481297200855</v>
      </c>
      <c r="AG290" s="200">
        <v>15.917057481119008</v>
      </c>
      <c r="AH290" s="200">
        <v>0</v>
      </c>
      <c r="AI290" s="200">
        <v>0</v>
      </c>
      <c r="AJ290" s="200">
        <v>215.59197759072939</v>
      </c>
      <c r="AL290" s="197">
        <f t="shared" si="36"/>
        <v>71082.698989983692</v>
      </c>
      <c r="AM290" s="197" t="str">
        <f t="shared" si="37"/>
        <v>Box Medium 4</v>
      </c>
      <c r="AN290" s="3">
        <f t="shared" si="38"/>
        <v>13.625258965307067</v>
      </c>
      <c r="AO290" s="3">
        <f t="shared" si="39"/>
        <v>5.2592714957906672</v>
      </c>
      <c r="AP290" s="3">
        <f t="shared" si="40"/>
        <v>10.851001146338922</v>
      </c>
      <c r="AQ290" s="3">
        <f t="shared" si="41"/>
        <v>0.39063604126820117</v>
      </c>
      <c r="AR290" s="3">
        <f t="shared" si="42"/>
        <v>5.6499075370588683</v>
      </c>
      <c r="AS290" s="81">
        <f t="shared" si="43"/>
        <v>0.93085974616293421</v>
      </c>
      <c r="AT290" s="81">
        <f t="shared" si="44"/>
        <v>6.9140253837065763E-2</v>
      </c>
    </row>
    <row r="291" spans="1:46" x14ac:dyDescent="0.25">
      <c r="A291" t="s">
        <v>805</v>
      </c>
      <c r="B291">
        <v>2030</v>
      </c>
      <c r="C291" t="s">
        <v>680</v>
      </c>
      <c r="D291" t="s">
        <v>810</v>
      </c>
      <c r="E291" t="s">
        <v>1028</v>
      </c>
      <c r="F291">
        <v>4</v>
      </c>
      <c r="G291" t="s">
        <v>2026</v>
      </c>
      <c r="H291" s="460">
        <v>3203.1051481227742</v>
      </c>
      <c r="I291">
        <v>1650</v>
      </c>
      <c r="J291">
        <v>0</v>
      </c>
      <c r="K291" s="67">
        <v>0</v>
      </c>
      <c r="L291" s="159">
        <v>150</v>
      </c>
      <c r="M291" s="159">
        <v>13318</v>
      </c>
      <c r="N291" s="159">
        <v>1920</v>
      </c>
      <c r="O291" s="159">
        <v>506</v>
      </c>
      <c r="P291" s="159">
        <v>3544</v>
      </c>
      <c r="Q291" s="159">
        <v>1500</v>
      </c>
      <c r="R291" s="159">
        <v>2000</v>
      </c>
      <c r="S291" s="159">
        <v>27251</v>
      </c>
      <c r="T291" s="159">
        <v>73</v>
      </c>
      <c r="U291" s="159">
        <v>120</v>
      </c>
      <c r="V291" s="159">
        <v>0</v>
      </c>
      <c r="W291" s="159">
        <v>186</v>
      </c>
      <c r="X291" s="159">
        <v>0</v>
      </c>
      <c r="Y291" s="159">
        <v>0</v>
      </c>
      <c r="Z291" s="159">
        <v>0</v>
      </c>
      <c r="AA291" s="159">
        <v>0</v>
      </c>
      <c r="AB291" s="159">
        <v>0</v>
      </c>
      <c r="AC291" s="159">
        <v>0</v>
      </c>
      <c r="AD291" s="207">
        <v>50568</v>
      </c>
      <c r="AE291" s="200">
        <v>16.77252063002479</v>
      </c>
      <c r="AF291" s="200">
        <v>17.436764095298319</v>
      </c>
      <c r="AG291" s="200">
        <v>14.613621181668368</v>
      </c>
      <c r="AH291" s="200">
        <v>0</v>
      </c>
      <c r="AI291" s="200">
        <v>0</v>
      </c>
      <c r="AJ291" s="200">
        <v>0</v>
      </c>
      <c r="AL291" s="197">
        <f t="shared" si="36"/>
        <v>57969.421557654707</v>
      </c>
      <c r="AM291" s="197" t="str">
        <f t="shared" si="37"/>
        <v>Box Medium 4</v>
      </c>
      <c r="AN291" s="3">
        <f t="shared" si="38"/>
        <v>15.653891146088869</v>
      </c>
      <c r="AO291" s="3">
        <f t="shared" si="39"/>
        <v>6.0423118351336003</v>
      </c>
      <c r="AP291" s="3">
        <f t="shared" si="40"/>
        <v>0</v>
      </c>
      <c r="AQ291" s="3">
        <f t="shared" si="41"/>
        <v>0</v>
      </c>
      <c r="AR291" s="3">
        <f t="shared" si="42"/>
        <v>6.0423118351336003</v>
      </c>
      <c r="AS291" s="81">
        <f t="shared" si="43"/>
        <v>1</v>
      </c>
      <c r="AT291" s="81">
        <f t="shared" si="44"/>
        <v>0</v>
      </c>
    </row>
    <row r="292" spans="1:46" x14ac:dyDescent="0.25">
      <c r="A292" t="s">
        <v>805</v>
      </c>
      <c r="B292">
        <v>2030</v>
      </c>
      <c r="C292" t="s">
        <v>680</v>
      </c>
      <c r="D292" t="s">
        <v>810</v>
      </c>
      <c r="E292" t="s">
        <v>1028</v>
      </c>
      <c r="F292">
        <v>4</v>
      </c>
      <c r="G292" t="s">
        <v>2027</v>
      </c>
      <c r="H292" s="460">
        <v>3101.5554498345364</v>
      </c>
      <c r="I292">
        <v>1650</v>
      </c>
      <c r="J292">
        <v>0</v>
      </c>
      <c r="K292" s="67">
        <v>0</v>
      </c>
      <c r="L292" s="159">
        <v>150</v>
      </c>
      <c r="M292" s="159">
        <v>16704</v>
      </c>
      <c r="N292" s="159">
        <v>1920</v>
      </c>
      <c r="O292" s="159">
        <v>506</v>
      </c>
      <c r="P292" s="159">
        <v>3047</v>
      </c>
      <c r="Q292" s="159">
        <v>1500</v>
      </c>
      <c r="R292" s="159">
        <v>2000</v>
      </c>
      <c r="S292" s="159">
        <v>27251</v>
      </c>
      <c r="T292" s="159">
        <v>73</v>
      </c>
      <c r="U292" s="159">
        <v>120</v>
      </c>
      <c r="V292" s="159">
        <v>0</v>
      </c>
      <c r="W292" s="159">
        <v>186</v>
      </c>
      <c r="X292" s="159">
        <v>0</v>
      </c>
      <c r="Y292" s="159">
        <v>0</v>
      </c>
      <c r="Z292" s="159">
        <v>0</v>
      </c>
      <c r="AA292" s="159">
        <v>0</v>
      </c>
      <c r="AB292" s="159">
        <v>0</v>
      </c>
      <c r="AC292" s="159">
        <v>0</v>
      </c>
      <c r="AD292" s="207">
        <v>53457</v>
      </c>
      <c r="AE292" s="200">
        <v>11.077102788854731</v>
      </c>
      <c r="AF292" s="200">
        <v>12.198711517802776</v>
      </c>
      <c r="AG292" s="200">
        <v>11.887843022320608</v>
      </c>
      <c r="AH292" s="200">
        <v>0</v>
      </c>
      <c r="AI292" s="200">
        <v>0</v>
      </c>
      <c r="AJ292" s="200">
        <v>0</v>
      </c>
      <c r="AL292" s="197">
        <f t="shared" si="36"/>
        <v>61281.272112947867</v>
      </c>
      <c r="AM292" s="197" t="str">
        <f t="shared" si="37"/>
        <v>Box Medium 4</v>
      </c>
      <c r="AN292" s="3">
        <f t="shared" si="38"/>
        <v>19.885625955929466</v>
      </c>
      <c r="AO292" s="3">
        <f t="shared" si="39"/>
        <v>7.6757371021181111</v>
      </c>
      <c r="AP292" s="3">
        <f t="shared" si="40"/>
        <v>0</v>
      </c>
      <c r="AQ292" s="3">
        <f t="shared" si="41"/>
        <v>0</v>
      </c>
      <c r="AR292" s="3">
        <f t="shared" si="42"/>
        <v>7.6757371021181111</v>
      </c>
      <c r="AS292" s="81">
        <f t="shared" si="43"/>
        <v>1</v>
      </c>
      <c r="AT292" s="81">
        <f t="shared" si="44"/>
        <v>0</v>
      </c>
    </row>
    <row r="293" spans="1:46" x14ac:dyDescent="0.25">
      <c r="A293" t="s">
        <v>807</v>
      </c>
      <c r="B293">
        <v>2030</v>
      </c>
      <c r="C293" t="s">
        <v>680</v>
      </c>
      <c r="D293" t="s">
        <v>810</v>
      </c>
      <c r="E293" t="s">
        <v>1028</v>
      </c>
      <c r="F293">
        <v>4</v>
      </c>
      <c r="G293" t="s">
        <v>2028</v>
      </c>
      <c r="H293" s="460">
        <v>3277.6705851748802</v>
      </c>
      <c r="I293">
        <v>1650</v>
      </c>
      <c r="J293">
        <v>0</v>
      </c>
      <c r="K293" s="67">
        <v>2.9937600000000004</v>
      </c>
      <c r="L293" s="159">
        <v>150</v>
      </c>
      <c r="M293" s="159">
        <v>13779</v>
      </c>
      <c r="N293" s="159">
        <v>220</v>
      </c>
      <c r="O293" s="159">
        <v>392</v>
      </c>
      <c r="P293" s="159">
        <v>3752</v>
      </c>
      <c r="Q293" s="159">
        <v>1500</v>
      </c>
      <c r="R293" s="159">
        <v>2000</v>
      </c>
      <c r="S293" s="159">
        <v>27251</v>
      </c>
      <c r="T293" s="159">
        <v>0</v>
      </c>
      <c r="U293" s="159">
        <v>1075</v>
      </c>
      <c r="V293" s="159">
        <v>4500</v>
      </c>
      <c r="W293" s="159">
        <v>186</v>
      </c>
      <c r="X293" s="159">
        <v>120</v>
      </c>
      <c r="Y293" s="159">
        <v>1500</v>
      </c>
      <c r="Z293" s="159">
        <v>1747</v>
      </c>
      <c r="AA293" s="159">
        <v>0</v>
      </c>
      <c r="AB293" s="159">
        <v>0</v>
      </c>
      <c r="AC293" s="159">
        <v>0</v>
      </c>
      <c r="AD293" s="207">
        <v>58172</v>
      </c>
      <c r="AE293" s="200">
        <v>23.954101733569544</v>
      </c>
      <c r="AF293" s="200">
        <v>19.290094125251837</v>
      </c>
      <c r="AG293" s="200">
        <v>14.898188233219319</v>
      </c>
      <c r="AH293" s="200">
        <v>0</v>
      </c>
      <c r="AI293" s="200">
        <v>0</v>
      </c>
      <c r="AJ293" s="200">
        <v>0</v>
      </c>
      <c r="AL293" s="197">
        <f t="shared" si="36"/>
        <v>66686.38646677522</v>
      </c>
      <c r="AM293" s="197" t="str">
        <f t="shared" si="37"/>
        <v>Box Medium 4</v>
      </c>
      <c r="AN293" s="3">
        <f t="shared" si="38"/>
        <v>14.867779412511366</v>
      </c>
      <c r="AO293" s="3">
        <f t="shared" si="39"/>
        <v>5.7388772330142723</v>
      </c>
      <c r="AP293" s="3">
        <f t="shared" si="40"/>
        <v>0</v>
      </c>
      <c r="AQ293" s="3">
        <f t="shared" si="41"/>
        <v>0</v>
      </c>
      <c r="AR293" s="3">
        <f t="shared" si="42"/>
        <v>5.7388772330142723</v>
      </c>
      <c r="AS293" s="81">
        <f t="shared" si="43"/>
        <v>1</v>
      </c>
      <c r="AT293" s="81">
        <f t="shared" si="44"/>
        <v>0</v>
      </c>
    </row>
    <row r="294" spans="1:46" x14ac:dyDescent="0.25">
      <c r="A294" t="s">
        <v>807</v>
      </c>
      <c r="B294">
        <v>2030</v>
      </c>
      <c r="C294" t="s">
        <v>680</v>
      </c>
      <c r="D294" t="s">
        <v>810</v>
      </c>
      <c r="E294" t="s">
        <v>1028</v>
      </c>
      <c r="F294">
        <v>4</v>
      </c>
      <c r="G294" t="s">
        <v>2029</v>
      </c>
      <c r="H294" s="460">
        <v>3122.2138313829773</v>
      </c>
      <c r="I294">
        <v>1650</v>
      </c>
      <c r="J294">
        <v>0</v>
      </c>
      <c r="K294" s="67">
        <v>2.9937600000000004</v>
      </c>
      <c r="L294" s="159">
        <v>150</v>
      </c>
      <c r="M294" s="159">
        <v>12462</v>
      </c>
      <c r="N294" s="159">
        <v>220</v>
      </c>
      <c r="O294" s="159">
        <v>392</v>
      </c>
      <c r="P294" s="159">
        <v>2575</v>
      </c>
      <c r="Q294" s="159">
        <v>1500</v>
      </c>
      <c r="R294" s="159">
        <v>2000</v>
      </c>
      <c r="S294" s="159">
        <v>27251</v>
      </c>
      <c r="T294" s="159">
        <v>0</v>
      </c>
      <c r="U294" s="159">
        <v>1075</v>
      </c>
      <c r="V294" s="159">
        <v>4500</v>
      </c>
      <c r="W294" s="159">
        <v>186</v>
      </c>
      <c r="X294" s="159">
        <v>120</v>
      </c>
      <c r="Y294" s="159">
        <v>1500</v>
      </c>
      <c r="Z294" s="159">
        <v>1726</v>
      </c>
      <c r="AA294" s="159">
        <v>0</v>
      </c>
      <c r="AB294" s="159">
        <v>0</v>
      </c>
      <c r="AC294" s="159">
        <v>0</v>
      </c>
      <c r="AD294" s="207">
        <v>55657</v>
      </c>
      <c r="AE294" s="200">
        <v>18.72816744591848</v>
      </c>
      <c r="AF294" s="200">
        <v>15.222152368349155</v>
      </c>
      <c r="AG294" s="200">
        <v>12.246995607101518</v>
      </c>
      <c r="AH294" s="200">
        <v>0</v>
      </c>
      <c r="AI294" s="200">
        <v>0</v>
      </c>
      <c r="AJ294" s="200">
        <v>0</v>
      </c>
      <c r="AL294" s="197">
        <f t="shared" si="36"/>
        <v>63803.276689495098</v>
      </c>
      <c r="AM294" s="197" t="str">
        <f t="shared" si="37"/>
        <v>Box Medium 4</v>
      </c>
      <c r="AN294" s="3">
        <f t="shared" si="38"/>
        <v>18.203452505053246</v>
      </c>
      <c r="AO294" s="3">
        <f t="shared" si="39"/>
        <v>7.0264278373404228</v>
      </c>
      <c r="AP294" s="3">
        <f t="shared" si="40"/>
        <v>0</v>
      </c>
      <c r="AQ294" s="3">
        <f t="shared" si="41"/>
        <v>0</v>
      </c>
      <c r="AR294" s="3">
        <f t="shared" si="42"/>
        <v>7.0264278373404228</v>
      </c>
      <c r="AS294" s="81">
        <f t="shared" si="43"/>
        <v>1</v>
      </c>
      <c r="AT294" s="81">
        <f t="shared" si="44"/>
        <v>0</v>
      </c>
    </row>
    <row r="295" spans="1:46" x14ac:dyDescent="0.25">
      <c r="A295" t="s">
        <v>808</v>
      </c>
      <c r="B295">
        <v>2030</v>
      </c>
      <c r="C295" t="s">
        <v>680</v>
      </c>
      <c r="D295" t="s">
        <v>810</v>
      </c>
      <c r="E295" t="s">
        <v>1028</v>
      </c>
      <c r="F295">
        <v>4</v>
      </c>
      <c r="G295" t="s">
        <v>2030</v>
      </c>
      <c r="H295" s="460">
        <v>3935.2708119183189</v>
      </c>
      <c r="I295">
        <v>1650</v>
      </c>
      <c r="J295">
        <v>119.99999997072871</v>
      </c>
      <c r="K295" s="67">
        <v>130.33125000000001</v>
      </c>
      <c r="L295" s="159">
        <v>0</v>
      </c>
      <c r="M295" s="159">
        <v>11516</v>
      </c>
      <c r="N295" s="159">
        <v>220</v>
      </c>
      <c r="O295" s="159">
        <v>0</v>
      </c>
      <c r="P295" s="159">
        <v>0</v>
      </c>
      <c r="Q295" s="159">
        <v>1500</v>
      </c>
      <c r="R295" s="159">
        <v>2000</v>
      </c>
      <c r="S295" s="159">
        <v>27251</v>
      </c>
      <c r="T295" s="159">
        <v>2666</v>
      </c>
      <c r="U295" s="159">
        <v>26066</v>
      </c>
      <c r="V295" s="159">
        <v>4500</v>
      </c>
      <c r="W295" s="159">
        <v>186</v>
      </c>
      <c r="X295" s="159">
        <v>0</v>
      </c>
      <c r="Y295" s="159">
        <v>1500</v>
      </c>
      <c r="Z295" s="159">
        <v>3079</v>
      </c>
      <c r="AA295" s="159">
        <v>0</v>
      </c>
      <c r="AB295" s="159">
        <v>0</v>
      </c>
      <c r="AC295" s="159">
        <v>0</v>
      </c>
      <c r="AD295" s="207">
        <v>80484</v>
      </c>
      <c r="AE295" s="200">
        <v>63.713378497492528</v>
      </c>
      <c r="AF295" s="200">
        <v>28.899006924160208</v>
      </c>
      <c r="AG295" s="200">
        <v>16.554876045598935</v>
      </c>
      <c r="AH295" s="200">
        <v>537</v>
      </c>
      <c r="AI295" s="200">
        <v>965</v>
      </c>
      <c r="AJ295" s="200">
        <v>1256</v>
      </c>
      <c r="AL295" s="197">
        <f t="shared" si="36"/>
        <v>92264.098335830597</v>
      </c>
      <c r="AM295" s="197" t="str">
        <f t="shared" si="37"/>
        <v>Box Medium 4</v>
      </c>
      <c r="AN295" s="3">
        <f t="shared" si="38"/>
        <v>6.3051771516699322</v>
      </c>
      <c r="AO295" s="3">
        <f t="shared" si="39"/>
        <v>2.4337620704401002</v>
      </c>
      <c r="AP295" s="3">
        <f t="shared" si="40"/>
        <v>35.974685274708889</v>
      </c>
      <c r="AQ295" s="3">
        <f t="shared" si="41"/>
        <v>1.2950886698895201</v>
      </c>
      <c r="AR295" s="3">
        <f t="shared" si="42"/>
        <v>3.7288507403296203</v>
      </c>
      <c r="AS295" s="81">
        <f t="shared" si="43"/>
        <v>0.65268422898175915</v>
      </c>
      <c r="AT295" s="81">
        <f t="shared" si="44"/>
        <v>0.34731577101824079</v>
      </c>
    </row>
    <row r="296" spans="1:46" x14ac:dyDescent="0.25">
      <c r="A296" t="s">
        <v>808</v>
      </c>
      <c r="B296">
        <v>2030</v>
      </c>
      <c r="C296" t="s">
        <v>680</v>
      </c>
      <c r="D296" t="s">
        <v>810</v>
      </c>
      <c r="E296" t="s">
        <v>1028</v>
      </c>
      <c r="F296">
        <v>4</v>
      </c>
      <c r="G296" t="s">
        <v>2031</v>
      </c>
      <c r="H296" s="460">
        <v>3826.3920059117636</v>
      </c>
      <c r="I296">
        <v>1650</v>
      </c>
      <c r="J296">
        <v>119.99999997072871</v>
      </c>
      <c r="K296" s="67">
        <v>125.11800000000001</v>
      </c>
      <c r="L296" s="159">
        <v>0</v>
      </c>
      <c r="M296" s="159">
        <v>8226</v>
      </c>
      <c r="N296" s="159">
        <v>220</v>
      </c>
      <c r="O296" s="159">
        <v>0</v>
      </c>
      <c r="P296" s="159">
        <v>2419</v>
      </c>
      <c r="Q296" s="159">
        <v>1500</v>
      </c>
      <c r="R296" s="159">
        <v>2000</v>
      </c>
      <c r="S296" s="159">
        <v>27251</v>
      </c>
      <c r="T296" s="159">
        <v>2383</v>
      </c>
      <c r="U296" s="159">
        <v>25024</v>
      </c>
      <c r="V296" s="159">
        <v>4500</v>
      </c>
      <c r="W296" s="159">
        <v>186</v>
      </c>
      <c r="X296" s="159">
        <v>0</v>
      </c>
      <c r="Y296" s="159">
        <v>1500</v>
      </c>
      <c r="Z296" s="159">
        <v>2680</v>
      </c>
      <c r="AA296" s="159">
        <v>0</v>
      </c>
      <c r="AB296" s="159">
        <v>0</v>
      </c>
      <c r="AC296" s="159">
        <v>0</v>
      </c>
      <c r="AD296" s="207">
        <v>77889</v>
      </c>
      <c r="AE296" s="200">
        <v>19.935494444225942</v>
      </c>
      <c r="AF296" s="200">
        <v>12.559422277387739</v>
      </c>
      <c r="AG296" s="200">
        <v>9.5603549317291208</v>
      </c>
      <c r="AH296" s="200">
        <v>560</v>
      </c>
      <c r="AI296" s="200">
        <v>901</v>
      </c>
      <c r="AJ296" s="200">
        <v>1183</v>
      </c>
      <c r="AL296" s="197">
        <f t="shared" si="36"/>
        <v>89289.279301221468</v>
      </c>
      <c r="AM296" s="197" t="str">
        <f t="shared" si="37"/>
        <v>Box Medium 4</v>
      </c>
      <c r="AN296" s="3">
        <f t="shared" si="38"/>
        <v>11.396995920071609</v>
      </c>
      <c r="AO296" s="3">
        <f t="shared" si="39"/>
        <v>4.3991747923981048</v>
      </c>
      <c r="AP296" s="3">
        <f t="shared" si="40"/>
        <v>34.030099295363314</v>
      </c>
      <c r="AQ296" s="3">
        <f t="shared" si="41"/>
        <v>1.2250835746330793</v>
      </c>
      <c r="AR296" s="3">
        <f t="shared" si="42"/>
        <v>5.6242583670311843</v>
      </c>
      <c r="AS296" s="81">
        <f t="shared" si="43"/>
        <v>0.78217864566564166</v>
      </c>
      <c r="AT296" s="81">
        <f t="shared" si="44"/>
        <v>0.21782135433435834</v>
      </c>
    </row>
    <row r="297" spans="1:46" x14ac:dyDescent="0.25">
      <c r="A297" t="s">
        <v>230</v>
      </c>
      <c r="B297">
        <v>2030</v>
      </c>
      <c r="C297" t="s">
        <v>680</v>
      </c>
      <c r="D297" t="s">
        <v>810</v>
      </c>
      <c r="E297" t="s">
        <v>1028</v>
      </c>
      <c r="F297">
        <v>4</v>
      </c>
      <c r="G297" t="s">
        <v>2032</v>
      </c>
      <c r="H297" s="460">
        <v>3644.0083674135167</v>
      </c>
      <c r="I297">
        <v>1650</v>
      </c>
      <c r="J297">
        <v>150.00000001001371</v>
      </c>
      <c r="K297" s="67">
        <v>166.82400000000001</v>
      </c>
      <c r="L297" s="159">
        <v>0</v>
      </c>
      <c r="M297" s="159">
        <v>0</v>
      </c>
      <c r="N297" s="159">
        <v>0</v>
      </c>
      <c r="O297" s="159">
        <v>0</v>
      </c>
      <c r="P297" s="159">
        <v>0</v>
      </c>
      <c r="Q297" s="159">
        <v>1500</v>
      </c>
      <c r="R297" s="159">
        <v>2000</v>
      </c>
      <c r="S297" s="159">
        <v>27251</v>
      </c>
      <c r="T297" s="159">
        <v>0</v>
      </c>
      <c r="U297" s="159">
        <v>33365</v>
      </c>
      <c r="V297" s="159">
        <v>4500</v>
      </c>
      <c r="W297" s="159">
        <v>186</v>
      </c>
      <c r="X297" s="159">
        <v>0</v>
      </c>
      <c r="Y297" s="159">
        <v>1500</v>
      </c>
      <c r="Z297" s="159">
        <v>2825</v>
      </c>
      <c r="AA297" s="159">
        <v>0</v>
      </c>
      <c r="AB297" s="159">
        <v>0</v>
      </c>
      <c r="AC297" s="159">
        <v>0</v>
      </c>
      <c r="AD297" s="207">
        <v>73127</v>
      </c>
      <c r="AE297" s="200">
        <v>0</v>
      </c>
      <c r="AF297" s="200">
        <v>0</v>
      </c>
      <c r="AG297" s="200">
        <v>0</v>
      </c>
      <c r="AH297" s="200">
        <v>519</v>
      </c>
      <c r="AI297" s="200">
        <v>939</v>
      </c>
      <c r="AJ297" s="200">
        <v>1224</v>
      </c>
      <c r="AL297" s="197">
        <f t="shared" si="36"/>
        <v>83830.285758713333</v>
      </c>
      <c r="AM297" s="197" t="str">
        <f t="shared" si="37"/>
        <v>Box Medium 4</v>
      </c>
      <c r="AN297" s="3">
        <f t="shared" si="38"/>
        <v>0</v>
      </c>
      <c r="AO297" s="3">
        <f t="shared" si="39"/>
        <v>0</v>
      </c>
      <c r="AP297" s="3">
        <f t="shared" si="40"/>
        <v>70.081524103048466</v>
      </c>
      <c r="AQ297" s="3">
        <f t="shared" si="41"/>
        <v>2.5229348677097447</v>
      </c>
      <c r="AR297" s="3">
        <f t="shared" si="42"/>
        <v>2.5229348677097447</v>
      </c>
      <c r="AS297" s="81">
        <f t="shared" si="43"/>
        <v>0</v>
      </c>
      <c r="AT297" s="81">
        <f t="shared" si="44"/>
        <v>1</v>
      </c>
    </row>
    <row r="298" spans="1:46" x14ac:dyDescent="0.25">
      <c r="A298" t="s">
        <v>496</v>
      </c>
      <c r="B298">
        <v>2030</v>
      </c>
      <c r="C298" t="s">
        <v>680</v>
      </c>
      <c r="D298" t="s">
        <v>810</v>
      </c>
      <c r="E298" t="s">
        <v>1028</v>
      </c>
      <c r="F298">
        <v>4</v>
      </c>
      <c r="G298" t="s">
        <v>2033</v>
      </c>
      <c r="H298" s="460">
        <v>3011.8582580762159</v>
      </c>
      <c r="I298">
        <v>1650</v>
      </c>
      <c r="J298">
        <v>150.00000001001371</v>
      </c>
      <c r="K298" s="67">
        <v>3.6748800000000008</v>
      </c>
      <c r="L298" s="159">
        <v>0</v>
      </c>
      <c r="M298" s="159">
        <v>0</v>
      </c>
      <c r="N298" s="159">
        <v>0</v>
      </c>
      <c r="O298" s="159">
        <v>0</v>
      </c>
      <c r="P298" s="159">
        <v>0</v>
      </c>
      <c r="Q298" s="159">
        <v>1500</v>
      </c>
      <c r="R298" s="159">
        <v>2000</v>
      </c>
      <c r="S298" s="159">
        <v>27251</v>
      </c>
      <c r="T298" s="159">
        <v>0</v>
      </c>
      <c r="U298" s="159">
        <v>1320</v>
      </c>
      <c r="V298" s="159">
        <v>4500</v>
      </c>
      <c r="W298" s="159">
        <v>186</v>
      </c>
      <c r="X298" s="159">
        <v>0</v>
      </c>
      <c r="Y298" s="159">
        <v>1500</v>
      </c>
      <c r="Z298" s="159">
        <v>2872</v>
      </c>
      <c r="AA298" s="159">
        <v>12625</v>
      </c>
      <c r="AB298" s="159">
        <v>6185</v>
      </c>
      <c r="AC298" s="159">
        <v>0</v>
      </c>
      <c r="AD298" s="207">
        <v>59939</v>
      </c>
      <c r="AE298" s="200">
        <v>41.905115553692028</v>
      </c>
      <c r="AF298" s="200">
        <v>23.74283966821481</v>
      </c>
      <c r="AG298" s="200">
        <v>17.412084245855876</v>
      </c>
      <c r="AH298" s="200">
        <v>0</v>
      </c>
      <c r="AI298" s="200">
        <v>0</v>
      </c>
      <c r="AJ298" s="200">
        <v>0</v>
      </c>
      <c r="AL298" s="197">
        <f t="shared" si="36"/>
        <v>68712.014688029303</v>
      </c>
      <c r="AM298" s="197" t="str">
        <f t="shared" si="37"/>
        <v>Box Medium 4</v>
      </c>
      <c r="AN298" s="3">
        <f t="shared" si="38"/>
        <v>12.394984494589915</v>
      </c>
      <c r="AO298" s="3">
        <f t="shared" si="39"/>
        <v>4.7843926349692616</v>
      </c>
      <c r="AP298" s="3">
        <f t="shared" si="40"/>
        <v>0</v>
      </c>
      <c r="AQ298" s="3">
        <f t="shared" si="41"/>
        <v>0</v>
      </c>
      <c r="AR298" s="3">
        <f t="shared" si="42"/>
        <v>4.7843926349692616</v>
      </c>
      <c r="AS298" s="81">
        <f t="shared" si="43"/>
        <v>1</v>
      </c>
      <c r="AT298" s="81">
        <f t="shared" si="44"/>
        <v>0</v>
      </c>
    </row>
    <row r="299" spans="1:46" x14ac:dyDescent="0.25">
      <c r="A299" t="s">
        <v>828</v>
      </c>
      <c r="B299">
        <v>2030</v>
      </c>
      <c r="C299" t="s">
        <v>680</v>
      </c>
      <c r="D299" t="s">
        <v>810</v>
      </c>
      <c r="E299" t="s">
        <v>1028</v>
      </c>
      <c r="F299">
        <v>4</v>
      </c>
      <c r="G299" t="s">
        <v>2034</v>
      </c>
      <c r="H299" s="460">
        <v>3009.3032044538959</v>
      </c>
      <c r="I299">
        <v>1650</v>
      </c>
      <c r="J299">
        <v>150.00000001001371</v>
      </c>
      <c r="K299" s="67">
        <v>14.15025</v>
      </c>
      <c r="L299" s="159">
        <v>0</v>
      </c>
      <c r="M299" s="159">
        <v>0</v>
      </c>
      <c r="N299" s="159">
        <v>0</v>
      </c>
      <c r="O299" s="159">
        <v>0</v>
      </c>
      <c r="P299" s="159">
        <v>0</v>
      </c>
      <c r="Q299" s="159">
        <v>1500</v>
      </c>
      <c r="R299" s="159">
        <v>2000</v>
      </c>
      <c r="S299" s="159">
        <v>27251</v>
      </c>
      <c r="T299" s="159">
        <v>0</v>
      </c>
      <c r="U299" s="159">
        <v>2830</v>
      </c>
      <c r="V299" s="159">
        <v>4500</v>
      </c>
      <c r="W299" s="159">
        <v>186</v>
      </c>
      <c r="X299" s="159">
        <v>0</v>
      </c>
      <c r="Y299" s="159">
        <v>1500</v>
      </c>
      <c r="Z299" s="159">
        <v>3435</v>
      </c>
      <c r="AA299" s="159">
        <v>7789</v>
      </c>
      <c r="AB299" s="159">
        <v>5466</v>
      </c>
      <c r="AC299" s="159">
        <v>0</v>
      </c>
      <c r="AD299" s="207">
        <v>56457</v>
      </c>
      <c r="AE299" s="200">
        <v>41.681237979413858</v>
      </c>
      <c r="AF299" s="200">
        <v>22.402381580552792</v>
      </c>
      <c r="AG299" s="200">
        <v>17.514012144951874</v>
      </c>
      <c r="AH299" s="200">
        <v>0</v>
      </c>
      <c r="AI299" s="200">
        <v>0</v>
      </c>
      <c r="AJ299" s="200">
        <v>200.96920295510782</v>
      </c>
      <c r="AL299" s="197">
        <f t="shared" si="36"/>
        <v>64720.369262784996</v>
      </c>
      <c r="AM299" s="197" t="str">
        <f t="shared" si="37"/>
        <v>Box Medium 4</v>
      </c>
      <c r="AN299" s="3">
        <f t="shared" si="38"/>
        <v>12.387668759281441</v>
      </c>
      <c r="AO299" s="3">
        <f t="shared" si="39"/>
        <v>4.7815688032698729</v>
      </c>
      <c r="AP299" s="3">
        <f t="shared" si="40"/>
        <v>10.115019473426209</v>
      </c>
      <c r="AQ299" s="3">
        <f t="shared" si="41"/>
        <v>0.36414070104334351</v>
      </c>
      <c r="AR299" s="3">
        <f t="shared" si="42"/>
        <v>5.1457095043132162</v>
      </c>
      <c r="AS299" s="81">
        <f t="shared" si="43"/>
        <v>0.92923411227584563</v>
      </c>
      <c r="AT299" s="81">
        <f t="shared" si="44"/>
        <v>7.0765887724154444E-2</v>
      </c>
    </row>
    <row r="300" spans="1:46" x14ac:dyDescent="0.25">
      <c r="A300" t="s">
        <v>805</v>
      </c>
      <c r="B300">
        <v>2035</v>
      </c>
      <c r="C300" t="s">
        <v>680</v>
      </c>
      <c r="D300" t="s">
        <v>810</v>
      </c>
      <c r="E300" t="s">
        <v>1028</v>
      </c>
      <c r="F300">
        <v>4</v>
      </c>
      <c r="G300" t="s">
        <v>2035</v>
      </c>
      <c r="H300" s="460">
        <v>3204.5511084180507</v>
      </c>
      <c r="I300">
        <v>1650</v>
      </c>
      <c r="J300">
        <v>0</v>
      </c>
      <c r="K300" s="67">
        <v>0</v>
      </c>
      <c r="L300" s="159">
        <v>150</v>
      </c>
      <c r="M300" s="159">
        <v>13297</v>
      </c>
      <c r="N300" s="159">
        <v>1920</v>
      </c>
      <c r="O300" s="159">
        <v>506</v>
      </c>
      <c r="P300" s="159">
        <v>3560</v>
      </c>
      <c r="Q300" s="159">
        <v>1500</v>
      </c>
      <c r="R300" s="159">
        <v>2000</v>
      </c>
      <c r="S300" s="159">
        <v>27251</v>
      </c>
      <c r="T300" s="159">
        <v>63</v>
      </c>
      <c r="U300" s="159">
        <v>120</v>
      </c>
      <c r="V300" s="159">
        <v>0</v>
      </c>
      <c r="W300" s="159">
        <v>186</v>
      </c>
      <c r="X300" s="159">
        <v>0</v>
      </c>
      <c r="Y300" s="159">
        <v>0</v>
      </c>
      <c r="Z300" s="159">
        <v>0</v>
      </c>
      <c r="AA300" s="159">
        <v>0</v>
      </c>
      <c r="AB300" s="159">
        <v>0</v>
      </c>
      <c r="AC300" s="159">
        <v>0</v>
      </c>
      <c r="AD300" s="207">
        <v>50553</v>
      </c>
      <c r="AE300" s="200">
        <v>17.639046936454466</v>
      </c>
      <c r="AF300" s="200">
        <v>19.071106348499612</v>
      </c>
      <c r="AG300" s="200">
        <v>16.448068669986821</v>
      </c>
      <c r="AH300" s="200">
        <v>0</v>
      </c>
      <c r="AI300" s="200">
        <v>0</v>
      </c>
      <c r="AJ300" s="200">
        <v>0</v>
      </c>
      <c r="AL300" s="197">
        <f t="shared" si="36"/>
        <v>57952.226071905519</v>
      </c>
      <c r="AM300" s="197" t="str">
        <f t="shared" si="37"/>
        <v>Box Medium 4</v>
      </c>
      <c r="AN300" s="3">
        <f t="shared" si="38"/>
        <v>14.026894806272274</v>
      </c>
      <c r="AO300" s="3">
        <f t="shared" si="39"/>
        <v>5.414300617472291</v>
      </c>
      <c r="AP300" s="3">
        <f t="shared" si="40"/>
        <v>0</v>
      </c>
      <c r="AQ300" s="3">
        <f t="shared" si="41"/>
        <v>0</v>
      </c>
      <c r="AR300" s="3">
        <f t="shared" si="42"/>
        <v>5.414300617472291</v>
      </c>
      <c r="AS300" s="81">
        <f t="shared" si="43"/>
        <v>1</v>
      </c>
      <c r="AT300" s="81">
        <f t="shared" si="44"/>
        <v>0</v>
      </c>
    </row>
    <row r="301" spans="1:46" x14ac:dyDescent="0.25">
      <c r="A301" t="s">
        <v>805</v>
      </c>
      <c r="B301">
        <v>2035</v>
      </c>
      <c r="C301" t="s">
        <v>680</v>
      </c>
      <c r="D301" t="s">
        <v>810</v>
      </c>
      <c r="E301" t="s">
        <v>1028</v>
      </c>
      <c r="F301">
        <v>4</v>
      </c>
      <c r="G301" t="s">
        <v>2036</v>
      </c>
      <c r="H301" s="460">
        <v>3100.9401946756379</v>
      </c>
      <c r="I301">
        <v>1650</v>
      </c>
      <c r="J301">
        <v>0</v>
      </c>
      <c r="K301" s="67">
        <v>0</v>
      </c>
      <c r="L301" s="159">
        <v>150</v>
      </c>
      <c r="M301" s="159">
        <v>16934</v>
      </c>
      <c r="N301" s="159">
        <v>1920</v>
      </c>
      <c r="O301" s="159">
        <v>506</v>
      </c>
      <c r="P301" s="159">
        <v>3038</v>
      </c>
      <c r="Q301" s="159">
        <v>1500</v>
      </c>
      <c r="R301" s="159">
        <v>2000</v>
      </c>
      <c r="S301" s="159">
        <v>27251</v>
      </c>
      <c r="T301" s="159">
        <v>63</v>
      </c>
      <c r="U301" s="159">
        <v>120</v>
      </c>
      <c r="V301" s="159">
        <v>0</v>
      </c>
      <c r="W301" s="159">
        <v>186</v>
      </c>
      <c r="X301" s="159">
        <v>0</v>
      </c>
      <c r="Y301" s="159">
        <v>0</v>
      </c>
      <c r="Z301" s="159">
        <v>0</v>
      </c>
      <c r="AA301" s="159">
        <v>0</v>
      </c>
      <c r="AB301" s="159">
        <v>0</v>
      </c>
      <c r="AC301" s="159">
        <v>0</v>
      </c>
      <c r="AD301" s="207">
        <v>53668</v>
      </c>
      <c r="AE301" s="200">
        <v>11.834062767648746</v>
      </c>
      <c r="AF301" s="200">
        <v>13.479742983902671</v>
      </c>
      <c r="AG301" s="200">
        <v>13.400674526093296</v>
      </c>
      <c r="AH301" s="200">
        <v>0</v>
      </c>
      <c r="AI301" s="200">
        <v>0</v>
      </c>
      <c r="AJ301" s="200">
        <v>0</v>
      </c>
      <c r="AL301" s="197">
        <f t="shared" si="36"/>
        <v>61523.155279153078</v>
      </c>
      <c r="AM301" s="197" t="str">
        <f t="shared" si="37"/>
        <v>Box Medium 4</v>
      </c>
      <c r="AN301" s="3">
        <f t="shared" si="38"/>
        <v>17.775579857458141</v>
      </c>
      <c r="AO301" s="3">
        <f t="shared" si="39"/>
        <v>6.861271459391558</v>
      </c>
      <c r="AP301" s="3">
        <f t="shared" si="40"/>
        <v>0</v>
      </c>
      <c r="AQ301" s="3">
        <f t="shared" si="41"/>
        <v>0</v>
      </c>
      <c r="AR301" s="3">
        <f t="shared" si="42"/>
        <v>6.861271459391558</v>
      </c>
      <c r="AS301" s="81">
        <f t="shared" si="43"/>
        <v>1</v>
      </c>
      <c r="AT301" s="81">
        <f t="shared" si="44"/>
        <v>0</v>
      </c>
    </row>
    <row r="302" spans="1:46" x14ac:dyDescent="0.25">
      <c r="A302" t="s">
        <v>807</v>
      </c>
      <c r="B302">
        <v>2035</v>
      </c>
      <c r="C302" t="s">
        <v>680</v>
      </c>
      <c r="D302" t="s">
        <v>810</v>
      </c>
      <c r="E302" t="s">
        <v>1028</v>
      </c>
      <c r="F302">
        <v>4</v>
      </c>
      <c r="G302" t="s">
        <v>2037</v>
      </c>
      <c r="H302" s="460">
        <v>3285.8827170784461</v>
      </c>
      <c r="I302">
        <v>1650</v>
      </c>
      <c r="J302">
        <v>0</v>
      </c>
      <c r="K302" s="67">
        <v>3.0412800000000004</v>
      </c>
      <c r="L302" s="159">
        <v>150</v>
      </c>
      <c r="M302" s="159">
        <v>13899</v>
      </c>
      <c r="N302" s="159">
        <v>220</v>
      </c>
      <c r="O302" s="159">
        <v>392</v>
      </c>
      <c r="P302" s="159">
        <v>3832</v>
      </c>
      <c r="Q302" s="159">
        <v>1500</v>
      </c>
      <c r="R302" s="159">
        <v>2000</v>
      </c>
      <c r="S302" s="159">
        <v>27251</v>
      </c>
      <c r="T302" s="159">
        <v>0</v>
      </c>
      <c r="U302" s="159">
        <v>1035</v>
      </c>
      <c r="V302" s="159">
        <v>4500</v>
      </c>
      <c r="W302" s="159">
        <v>186</v>
      </c>
      <c r="X302" s="159">
        <v>120</v>
      </c>
      <c r="Y302" s="159">
        <v>1500</v>
      </c>
      <c r="Z302" s="159">
        <v>1473</v>
      </c>
      <c r="AA302" s="159">
        <v>0</v>
      </c>
      <c r="AB302" s="159">
        <v>0</v>
      </c>
      <c r="AC302" s="159">
        <v>0</v>
      </c>
      <c r="AD302" s="207">
        <v>58058</v>
      </c>
      <c r="AE302" s="200">
        <v>25.372280683578353</v>
      </c>
      <c r="AF302" s="200">
        <v>21.414681164122904</v>
      </c>
      <c r="AG302" s="200">
        <v>16.623907942172472</v>
      </c>
      <c r="AH302" s="200">
        <v>0</v>
      </c>
      <c r="AI302" s="200">
        <v>0</v>
      </c>
      <c r="AJ302" s="200">
        <v>0</v>
      </c>
      <c r="AL302" s="197">
        <f t="shared" si="36"/>
        <v>66555.700775081408</v>
      </c>
      <c r="AM302" s="197" t="str">
        <f t="shared" si="37"/>
        <v>Box Medium 4</v>
      </c>
      <c r="AN302" s="3">
        <f t="shared" si="38"/>
        <v>13.376457665474685</v>
      </c>
      <c r="AO302" s="3">
        <f t="shared" si="39"/>
        <v>5.1632356268463866</v>
      </c>
      <c r="AP302" s="3">
        <f t="shared" si="40"/>
        <v>0</v>
      </c>
      <c r="AQ302" s="3">
        <f t="shared" si="41"/>
        <v>0</v>
      </c>
      <c r="AR302" s="3">
        <f t="shared" si="42"/>
        <v>5.1632356268463866</v>
      </c>
      <c r="AS302" s="81">
        <f t="shared" si="43"/>
        <v>1</v>
      </c>
      <c r="AT302" s="81">
        <f t="shared" si="44"/>
        <v>0</v>
      </c>
    </row>
    <row r="303" spans="1:46" x14ac:dyDescent="0.25">
      <c r="A303" t="s">
        <v>807</v>
      </c>
      <c r="B303">
        <v>2035</v>
      </c>
      <c r="C303" t="s">
        <v>680</v>
      </c>
      <c r="D303" t="s">
        <v>810</v>
      </c>
      <c r="E303" t="s">
        <v>1028</v>
      </c>
      <c r="F303">
        <v>4</v>
      </c>
      <c r="G303" t="s">
        <v>2038</v>
      </c>
      <c r="H303" s="460">
        <v>3102.9861788697399</v>
      </c>
      <c r="I303">
        <v>1650</v>
      </c>
      <c r="J303">
        <v>0</v>
      </c>
      <c r="K303" s="67">
        <v>3.4214400000000005</v>
      </c>
      <c r="L303" s="159">
        <v>150</v>
      </c>
      <c r="M303" s="159">
        <v>11166</v>
      </c>
      <c r="N303" s="159">
        <v>220</v>
      </c>
      <c r="O303" s="159">
        <v>392</v>
      </c>
      <c r="P303" s="159">
        <v>2271</v>
      </c>
      <c r="Q303" s="159">
        <v>1500</v>
      </c>
      <c r="R303" s="159">
        <v>2000</v>
      </c>
      <c r="S303" s="159">
        <v>27251</v>
      </c>
      <c r="T303" s="159">
        <v>0</v>
      </c>
      <c r="U303" s="159">
        <v>1164</v>
      </c>
      <c r="V303" s="159">
        <v>4500</v>
      </c>
      <c r="W303" s="159">
        <v>186</v>
      </c>
      <c r="X303" s="159">
        <v>120</v>
      </c>
      <c r="Y303" s="159">
        <v>1500</v>
      </c>
      <c r="Z303" s="159">
        <v>1455</v>
      </c>
      <c r="AA303" s="159">
        <v>0</v>
      </c>
      <c r="AB303" s="159">
        <v>0</v>
      </c>
      <c r="AC303" s="159">
        <v>0</v>
      </c>
      <c r="AD303" s="207">
        <v>53875</v>
      </c>
      <c r="AE303" s="200">
        <v>22.607392873676304</v>
      </c>
      <c r="AF303" s="200">
        <v>17.747807164974859</v>
      </c>
      <c r="AG303" s="200">
        <v>13.51717754073157</v>
      </c>
      <c r="AH303" s="200">
        <v>0</v>
      </c>
      <c r="AI303" s="200">
        <v>0</v>
      </c>
      <c r="AJ303" s="200">
        <v>0</v>
      </c>
      <c r="AL303" s="197">
        <f t="shared" si="36"/>
        <v>61760.452982491835</v>
      </c>
      <c r="AM303" s="197" t="str">
        <f t="shared" si="37"/>
        <v>Box Medium 4</v>
      </c>
      <c r="AN303" s="3">
        <f t="shared" si="38"/>
        <v>16.328194481366438</v>
      </c>
      <c r="AO303" s="3">
        <f t="shared" si="39"/>
        <v>6.3025890393887032</v>
      </c>
      <c r="AP303" s="3">
        <f t="shared" si="40"/>
        <v>0</v>
      </c>
      <c r="AQ303" s="3">
        <f t="shared" ref="AQ303:AQ366" si="45">AP303*3.6/100</f>
        <v>0</v>
      </c>
      <c r="AR303" s="3">
        <f t="shared" ref="AR303:AR366" si="46">AO303+AQ303</f>
        <v>6.3025890393887032</v>
      </c>
      <c r="AS303" s="81">
        <f t="shared" ref="AS303:AS366" si="47">AO303/AR303</f>
        <v>1</v>
      </c>
      <c r="AT303" s="81">
        <f t="shared" ref="AT303:AT366" si="48">AQ303/AR303</f>
        <v>0</v>
      </c>
    </row>
    <row r="304" spans="1:46" x14ac:dyDescent="0.25">
      <c r="A304" t="s">
        <v>808</v>
      </c>
      <c r="B304">
        <v>2035</v>
      </c>
      <c r="C304" t="s">
        <v>680</v>
      </c>
      <c r="D304" t="s">
        <v>810</v>
      </c>
      <c r="E304" t="s">
        <v>1028</v>
      </c>
      <c r="F304">
        <v>4</v>
      </c>
      <c r="G304" t="s">
        <v>2039</v>
      </c>
      <c r="H304" s="460">
        <v>3740.1347933807865</v>
      </c>
      <c r="I304">
        <v>1650</v>
      </c>
      <c r="J304">
        <v>119.99999997072871</v>
      </c>
      <c r="K304" s="67">
        <v>117.91875</v>
      </c>
      <c r="L304" s="159">
        <v>0</v>
      </c>
      <c r="M304" s="159">
        <v>11158</v>
      </c>
      <c r="N304" s="159">
        <v>220</v>
      </c>
      <c r="O304" s="159">
        <v>0</v>
      </c>
      <c r="P304" s="159">
        <v>0</v>
      </c>
      <c r="Q304" s="159">
        <v>1500</v>
      </c>
      <c r="R304" s="159">
        <v>2000</v>
      </c>
      <c r="S304" s="159">
        <v>27251</v>
      </c>
      <c r="T304" s="159">
        <v>2123</v>
      </c>
      <c r="U304" s="159">
        <v>18867</v>
      </c>
      <c r="V304" s="159">
        <v>4500</v>
      </c>
      <c r="W304" s="159">
        <v>186</v>
      </c>
      <c r="X304" s="159">
        <v>0</v>
      </c>
      <c r="Y304" s="159">
        <v>1500</v>
      </c>
      <c r="Z304" s="159">
        <v>2499</v>
      </c>
      <c r="AA304" s="159">
        <v>0</v>
      </c>
      <c r="AB304" s="159">
        <v>0</v>
      </c>
      <c r="AC304" s="159">
        <v>0</v>
      </c>
      <c r="AD304" s="207">
        <v>71804</v>
      </c>
      <c r="AE304" s="200">
        <v>69.156239370016266</v>
      </c>
      <c r="AF304" s="200">
        <v>32.404645701627935</v>
      </c>
      <c r="AG304" s="200">
        <v>18.5795078742673</v>
      </c>
      <c r="AH304" s="200">
        <v>496</v>
      </c>
      <c r="AI304" s="200">
        <v>880</v>
      </c>
      <c r="AJ304" s="200">
        <v>1144</v>
      </c>
      <c r="AL304" s="197">
        <f t="shared" si="36"/>
        <v>82313.643915635155</v>
      </c>
      <c r="AM304" s="197" t="str">
        <f t="shared" si="37"/>
        <v>Box Medium 4</v>
      </c>
      <c r="AN304" s="3">
        <f t="shared" si="38"/>
        <v>5.6239698764358499</v>
      </c>
      <c r="AO304" s="3">
        <f t="shared" si="39"/>
        <v>2.1708199851200285</v>
      </c>
      <c r="AP304" s="3">
        <f t="shared" si="40"/>
        <v>32.791082058483603</v>
      </c>
      <c r="AQ304" s="3">
        <f t="shared" si="45"/>
        <v>1.1804789541054097</v>
      </c>
      <c r="AR304" s="3">
        <f t="shared" si="46"/>
        <v>3.3512989392254382</v>
      </c>
      <c r="AS304" s="81">
        <f t="shared" si="47"/>
        <v>0.64775480328285917</v>
      </c>
      <c r="AT304" s="81">
        <f t="shared" si="48"/>
        <v>0.35224519671714077</v>
      </c>
    </row>
    <row r="305" spans="1:46" x14ac:dyDescent="0.25">
      <c r="A305" t="s">
        <v>808</v>
      </c>
      <c r="B305">
        <v>2035</v>
      </c>
      <c r="C305" t="s">
        <v>680</v>
      </c>
      <c r="D305" t="s">
        <v>810</v>
      </c>
      <c r="E305" t="s">
        <v>1028</v>
      </c>
      <c r="F305">
        <v>4</v>
      </c>
      <c r="G305" t="s">
        <v>2040</v>
      </c>
      <c r="H305" s="460">
        <v>3634.0967226816156</v>
      </c>
      <c r="I305">
        <v>1650</v>
      </c>
      <c r="J305">
        <v>119.99999997072871</v>
      </c>
      <c r="K305" s="67">
        <v>111.71250000000001</v>
      </c>
      <c r="L305" s="159">
        <v>0</v>
      </c>
      <c r="M305" s="159">
        <v>8324</v>
      </c>
      <c r="N305" s="159">
        <v>220</v>
      </c>
      <c r="O305" s="159">
        <v>0</v>
      </c>
      <c r="P305" s="159">
        <v>2341</v>
      </c>
      <c r="Q305" s="159">
        <v>1500</v>
      </c>
      <c r="R305" s="159">
        <v>2000</v>
      </c>
      <c r="S305" s="159">
        <v>27251</v>
      </c>
      <c r="T305" s="159">
        <v>1871</v>
      </c>
      <c r="U305" s="159">
        <v>17874</v>
      </c>
      <c r="V305" s="159">
        <v>4500</v>
      </c>
      <c r="W305" s="159">
        <v>186</v>
      </c>
      <c r="X305" s="159">
        <v>0</v>
      </c>
      <c r="Y305" s="159">
        <v>1500</v>
      </c>
      <c r="Z305" s="159">
        <v>2097</v>
      </c>
      <c r="AA305" s="159">
        <v>0</v>
      </c>
      <c r="AB305" s="159">
        <v>0</v>
      </c>
      <c r="AC305" s="159">
        <v>0</v>
      </c>
      <c r="AD305" s="207">
        <v>69664</v>
      </c>
      <c r="AE305" s="200">
        <v>22.663647790411712</v>
      </c>
      <c r="AF305" s="200">
        <v>14.49375974904051</v>
      </c>
      <c r="AG305" s="200">
        <v>10.980771959524574</v>
      </c>
      <c r="AH305" s="200">
        <v>518</v>
      </c>
      <c r="AI305" s="200">
        <v>819</v>
      </c>
      <c r="AJ305" s="200">
        <v>1074</v>
      </c>
      <c r="AL305" s="197">
        <f t="shared" si="36"/>
        <v>79860.421282084673</v>
      </c>
      <c r="AM305" s="197" t="str">
        <f t="shared" si="37"/>
        <v>Box Medium 4</v>
      </c>
      <c r="AN305" s="3">
        <f t="shared" si="38"/>
        <v>9.9245758242012805</v>
      </c>
      <c r="AO305" s="3">
        <f t="shared" si="39"/>
        <v>3.8308291147300504</v>
      </c>
      <c r="AP305" s="3">
        <f t="shared" si="40"/>
        <v>30.927274534902509</v>
      </c>
      <c r="AQ305" s="3">
        <f t="shared" si="45"/>
        <v>1.1133818832564903</v>
      </c>
      <c r="AR305" s="3">
        <f t="shared" si="46"/>
        <v>4.9442109979865405</v>
      </c>
      <c r="AS305" s="81">
        <f t="shared" si="47"/>
        <v>0.7748110095402686</v>
      </c>
      <c r="AT305" s="81">
        <f t="shared" si="48"/>
        <v>0.22518899045973145</v>
      </c>
    </row>
    <row r="306" spans="1:46" x14ac:dyDescent="0.25">
      <c r="A306" t="s">
        <v>230</v>
      </c>
      <c r="B306">
        <v>2035</v>
      </c>
      <c r="C306" t="s">
        <v>680</v>
      </c>
      <c r="D306" t="s">
        <v>810</v>
      </c>
      <c r="E306" t="s">
        <v>1028</v>
      </c>
      <c r="F306">
        <v>4</v>
      </c>
      <c r="G306" t="s">
        <v>2041</v>
      </c>
      <c r="H306" s="460">
        <v>3416.115086003846</v>
      </c>
      <c r="I306">
        <v>1650</v>
      </c>
      <c r="J306">
        <v>150.00000001001371</v>
      </c>
      <c r="K306" s="67">
        <v>150.31537500000002</v>
      </c>
      <c r="L306" s="159">
        <v>0</v>
      </c>
      <c r="M306" s="159">
        <v>0</v>
      </c>
      <c r="N306" s="159">
        <v>0</v>
      </c>
      <c r="O306" s="159">
        <v>0</v>
      </c>
      <c r="P306" s="159">
        <v>0</v>
      </c>
      <c r="Q306" s="159">
        <v>1500</v>
      </c>
      <c r="R306" s="159">
        <v>2000</v>
      </c>
      <c r="S306" s="159">
        <v>27251</v>
      </c>
      <c r="T306" s="159">
        <v>0</v>
      </c>
      <c r="U306" s="159">
        <v>24050</v>
      </c>
      <c r="V306" s="159">
        <v>4500</v>
      </c>
      <c r="W306" s="159">
        <v>186</v>
      </c>
      <c r="X306" s="159">
        <v>0</v>
      </c>
      <c r="Y306" s="159">
        <v>1500</v>
      </c>
      <c r="Z306" s="159">
        <v>2256</v>
      </c>
      <c r="AA306" s="159">
        <v>0</v>
      </c>
      <c r="AB306" s="159">
        <v>0</v>
      </c>
      <c r="AC306" s="159">
        <v>0</v>
      </c>
      <c r="AD306" s="207">
        <v>63243</v>
      </c>
      <c r="AE306" s="200">
        <v>0</v>
      </c>
      <c r="AF306" s="200">
        <v>0</v>
      </c>
      <c r="AG306" s="200">
        <v>0</v>
      </c>
      <c r="AH306" s="200">
        <v>476</v>
      </c>
      <c r="AI306" s="200">
        <v>854</v>
      </c>
      <c r="AJ306" s="200">
        <v>1112</v>
      </c>
      <c r="AL306" s="197">
        <f t="shared" si="36"/>
        <v>72499.607015716596</v>
      </c>
      <c r="AM306" s="197" t="str">
        <f t="shared" si="37"/>
        <v>Box Medium 4</v>
      </c>
      <c r="AN306" s="3">
        <f t="shared" si="38"/>
        <v>0</v>
      </c>
      <c r="AO306" s="3">
        <f t="shared" si="39"/>
        <v>0</v>
      </c>
      <c r="AP306" s="3">
        <f t="shared" si="40"/>
        <v>63.701890215864893</v>
      </c>
      <c r="AQ306" s="3">
        <f t="shared" si="45"/>
        <v>2.2932680477711362</v>
      </c>
      <c r="AR306" s="3">
        <f t="shared" si="46"/>
        <v>2.2932680477711362</v>
      </c>
      <c r="AS306" s="81">
        <f t="shared" si="47"/>
        <v>0</v>
      </c>
      <c r="AT306" s="81">
        <f t="shared" si="48"/>
        <v>1</v>
      </c>
    </row>
    <row r="307" spans="1:46" x14ac:dyDescent="0.25">
      <c r="A307" t="s">
        <v>496</v>
      </c>
      <c r="B307">
        <v>2035</v>
      </c>
      <c r="C307" t="s">
        <v>680</v>
      </c>
      <c r="D307" t="s">
        <v>810</v>
      </c>
      <c r="E307" t="s">
        <v>1028</v>
      </c>
      <c r="F307">
        <v>4</v>
      </c>
      <c r="G307" t="s">
        <v>2042</v>
      </c>
      <c r="H307" s="460">
        <v>2960.5440514157053</v>
      </c>
      <c r="I307">
        <v>1650</v>
      </c>
      <c r="J307">
        <v>150.00000001001371</v>
      </c>
      <c r="K307" s="67">
        <v>3.6432000000000002</v>
      </c>
      <c r="L307" s="159">
        <v>0</v>
      </c>
      <c r="M307" s="159">
        <v>0</v>
      </c>
      <c r="N307" s="159">
        <v>0</v>
      </c>
      <c r="O307" s="159">
        <v>0</v>
      </c>
      <c r="P307" s="159">
        <v>0</v>
      </c>
      <c r="Q307" s="159">
        <v>1500</v>
      </c>
      <c r="R307" s="159">
        <v>2000</v>
      </c>
      <c r="S307" s="159">
        <v>27251</v>
      </c>
      <c r="T307" s="159">
        <v>0</v>
      </c>
      <c r="U307" s="159">
        <v>1239</v>
      </c>
      <c r="V307" s="159">
        <v>4500</v>
      </c>
      <c r="W307" s="159">
        <v>186</v>
      </c>
      <c r="X307" s="159">
        <v>0</v>
      </c>
      <c r="Y307" s="159">
        <v>1500</v>
      </c>
      <c r="Z307" s="159">
        <v>2257</v>
      </c>
      <c r="AA307" s="159">
        <v>10408</v>
      </c>
      <c r="AB307" s="159">
        <v>4899</v>
      </c>
      <c r="AC307" s="159">
        <v>0</v>
      </c>
      <c r="AD307" s="207">
        <v>55740</v>
      </c>
      <c r="AE307" s="200">
        <v>44.810412886999856</v>
      </c>
      <c r="AF307" s="200">
        <v>26.101428384058252</v>
      </c>
      <c r="AG307" s="200">
        <v>19.210830990223279</v>
      </c>
      <c r="AH307" s="200">
        <v>0</v>
      </c>
      <c r="AI307" s="200">
        <v>0</v>
      </c>
      <c r="AJ307" s="200">
        <v>0</v>
      </c>
      <c r="AL307" s="197">
        <f t="shared" si="36"/>
        <v>63898.425043973926</v>
      </c>
      <c r="AM307" s="197" t="str">
        <f t="shared" si="37"/>
        <v>Box Medium 4</v>
      </c>
      <c r="AN307" s="3">
        <f t="shared" si="38"/>
        <v>11.253497191963856</v>
      </c>
      <c r="AO307" s="3">
        <f t="shared" si="39"/>
        <v>4.3437851097255811</v>
      </c>
      <c r="AP307" s="3">
        <f t="shared" si="40"/>
        <v>0</v>
      </c>
      <c r="AQ307" s="3">
        <f t="shared" si="45"/>
        <v>0</v>
      </c>
      <c r="AR307" s="3">
        <f t="shared" si="46"/>
        <v>4.3437851097255811</v>
      </c>
      <c r="AS307" s="81">
        <f t="shared" si="47"/>
        <v>1</v>
      </c>
      <c r="AT307" s="81">
        <f t="shared" si="48"/>
        <v>0</v>
      </c>
    </row>
    <row r="308" spans="1:46" x14ac:dyDescent="0.25">
      <c r="A308" t="s">
        <v>828</v>
      </c>
      <c r="B308">
        <v>2035</v>
      </c>
      <c r="C308" t="s">
        <v>680</v>
      </c>
      <c r="D308" t="s">
        <v>810</v>
      </c>
      <c r="E308" t="s">
        <v>1028</v>
      </c>
      <c r="F308">
        <v>4</v>
      </c>
      <c r="G308" t="s">
        <v>2043</v>
      </c>
      <c r="H308" s="460">
        <v>2942.3843946848283</v>
      </c>
      <c r="I308">
        <v>1650</v>
      </c>
      <c r="J308">
        <v>150.00000001001371</v>
      </c>
      <c r="K308" s="67">
        <v>13.529625000000001</v>
      </c>
      <c r="L308" s="159">
        <v>0</v>
      </c>
      <c r="M308" s="159">
        <v>0</v>
      </c>
      <c r="N308" s="159">
        <v>0</v>
      </c>
      <c r="O308" s="159">
        <v>0</v>
      </c>
      <c r="P308" s="159">
        <v>0</v>
      </c>
      <c r="Q308" s="159">
        <v>1500</v>
      </c>
      <c r="R308" s="159">
        <v>2000</v>
      </c>
      <c r="S308" s="159">
        <v>27251</v>
      </c>
      <c r="T308" s="159">
        <v>0</v>
      </c>
      <c r="U308" s="159">
        <v>2165</v>
      </c>
      <c r="V308" s="159">
        <v>4500</v>
      </c>
      <c r="W308" s="159">
        <v>186</v>
      </c>
      <c r="X308" s="159">
        <v>0</v>
      </c>
      <c r="Y308" s="159">
        <v>1500</v>
      </c>
      <c r="Z308" s="159">
        <v>2663</v>
      </c>
      <c r="AA308" s="159">
        <v>6058</v>
      </c>
      <c r="AB308" s="159">
        <v>4268</v>
      </c>
      <c r="AC308" s="159">
        <v>0</v>
      </c>
      <c r="AD308" s="207">
        <v>52091</v>
      </c>
      <c r="AE308" s="200">
        <v>44.711514152428151</v>
      </c>
      <c r="AF308" s="200">
        <v>24.557015643300339</v>
      </c>
      <c r="AG308" s="200">
        <v>19.287909436306094</v>
      </c>
      <c r="AH308" s="200">
        <v>0</v>
      </c>
      <c r="AI308" s="200">
        <v>0</v>
      </c>
      <c r="AJ308" s="200">
        <v>198.05062958765922</v>
      </c>
      <c r="AL308" s="197">
        <f t="shared" si="36"/>
        <v>59715.336544055361</v>
      </c>
      <c r="AM308" s="197" t="str">
        <f t="shared" si="37"/>
        <v>Box Medium 4</v>
      </c>
      <c r="AN308" s="3">
        <f t="shared" si="38"/>
        <v>11.266032894527843</v>
      </c>
      <c r="AO308" s="3">
        <f t="shared" si="39"/>
        <v>4.3486238187249739</v>
      </c>
      <c r="AP308" s="3">
        <f t="shared" si="40"/>
        <v>9.968124197870182</v>
      </c>
      <c r="AQ308" s="3">
        <f t="shared" si="45"/>
        <v>0.35885247112332658</v>
      </c>
      <c r="AR308" s="3">
        <f t="shared" si="46"/>
        <v>4.7074762898483007</v>
      </c>
      <c r="AS308" s="81">
        <f t="shared" si="47"/>
        <v>0.92376966998279009</v>
      </c>
      <c r="AT308" s="81">
        <f t="shared" si="48"/>
        <v>7.6230330017209857E-2</v>
      </c>
    </row>
    <row r="309" spans="1:46" x14ac:dyDescent="0.25">
      <c r="A309" t="s">
        <v>805</v>
      </c>
      <c r="B309">
        <v>2050</v>
      </c>
      <c r="C309" t="s">
        <v>680</v>
      </c>
      <c r="D309" t="s">
        <v>810</v>
      </c>
      <c r="E309" t="s">
        <v>1028</v>
      </c>
      <c r="F309">
        <v>4</v>
      </c>
      <c r="G309" t="s">
        <v>2044</v>
      </c>
      <c r="H309" s="460">
        <v>3185.5741004057809</v>
      </c>
      <c r="I309">
        <v>1650</v>
      </c>
      <c r="J309">
        <v>0</v>
      </c>
      <c r="K309" s="67">
        <v>0</v>
      </c>
      <c r="L309" s="159">
        <v>150</v>
      </c>
      <c r="M309" s="159">
        <v>13365</v>
      </c>
      <c r="N309" s="159">
        <v>1920</v>
      </c>
      <c r="O309" s="159">
        <v>506</v>
      </c>
      <c r="P309" s="159">
        <v>3518</v>
      </c>
      <c r="Q309" s="159">
        <v>1500</v>
      </c>
      <c r="R309" s="159">
        <v>2000</v>
      </c>
      <c r="S309" s="159">
        <v>27325</v>
      </c>
      <c r="T309" s="159">
        <v>44</v>
      </c>
      <c r="U309" s="159">
        <v>120</v>
      </c>
      <c r="V309" s="159">
        <v>0</v>
      </c>
      <c r="W309" s="159">
        <v>186</v>
      </c>
      <c r="X309" s="159">
        <v>0</v>
      </c>
      <c r="Y309" s="159">
        <v>0</v>
      </c>
      <c r="Z309" s="159">
        <v>0</v>
      </c>
      <c r="AA309" s="159">
        <v>0</v>
      </c>
      <c r="AB309" s="159">
        <v>0</v>
      </c>
      <c r="AC309" s="159">
        <v>0</v>
      </c>
      <c r="AD309" s="207">
        <v>50634</v>
      </c>
      <c r="AE309" s="200">
        <v>19.114536888946262</v>
      </c>
      <c r="AF309" s="200">
        <v>21.246673992991642</v>
      </c>
      <c r="AG309" s="200">
        <v>18.606898695061748</v>
      </c>
      <c r="AH309" s="200">
        <v>0</v>
      </c>
      <c r="AI309" s="200">
        <v>0</v>
      </c>
      <c r="AJ309" s="200">
        <v>0</v>
      </c>
      <c r="AL309" s="197">
        <f t="shared" si="36"/>
        <v>58045.081694951121</v>
      </c>
      <c r="AM309" s="197" t="str">
        <f t="shared" si="37"/>
        <v>Box Medium 4</v>
      </c>
      <c r="AN309" s="3">
        <f t="shared" si="38"/>
        <v>12.466358641416614</v>
      </c>
      <c r="AO309" s="3">
        <f t="shared" si="39"/>
        <v>4.8119426446166242</v>
      </c>
      <c r="AP309" s="3">
        <f t="shared" si="40"/>
        <v>0</v>
      </c>
      <c r="AQ309" s="3">
        <f t="shared" si="45"/>
        <v>0</v>
      </c>
      <c r="AR309" s="3">
        <f t="shared" si="46"/>
        <v>4.8119426446166242</v>
      </c>
      <c r="AS309" s="81">
        <f t="shared" si="47"/>
        <v>1</v>
      </c>
      <c r="AT309" s="81">
        <f t="shared" si="48"/>
        <v>0</v>
      </c>
    </row>
    <row r="310" spans="1:46" x14ac:dyDescent="0.25">
      <c r="A310" t="s">
        <v>805</v>
      </c>
      <c r="B310">
        <v>2050</v>
      </c>
      <c r="C310" t="s">
        <v>680</v>
      </c>
      <c r="D310" t="s">
        <v>810</v>
      </c>
      <c r="E310" t="s">
        <v>1028</v>
      </c>
      <c r="F310">
        <v>4</v>
      </c>
      <c r="G310" t="s">
        <v>2045</v>
      </c>
      <c r="H310" s="460">
        <v>3085.2084414218079</v>
      </c>
      <c r="I310">
        <v>1650</v>
      </c>
      <c r="J310">
        <v>0</v>
      </c>
      <c r="K310" s="67">
        <v>0</v>
      </c>
      <c r="L310" s="159">
        <v>150</v>
      </c>
      <c r="M310" s="159">
        <v>17076</v>
      </c>
      <c r="N310" s="159">
        <v>1920</v>
      </c>
      <c r="O310" s="159">
        <v>506</v>
      </c>
      <c r="P310" s="159">
        <v>3023</v>
      </c>
      <c r="Q310" s="159">
        <v>1500</v>
      </c>
      <c r="R310" s="159">
        <v>2000</v>
      </c>
      <c r="S310" s="159">
        <v>27325</v>
      </c>
      <c r="T310" s="159">
        <v>44</v>
      </c>
      <c r="U310" s="159">
        <v>120</v>
      </c>
      <c r="V310" s="159">
        <v>0</v>
      </c>
      <c r="W310" s="159">
        <v>186</v>
      </c>
      <c r="X310" s="159">
        <v>0</v>
      </c>
      <c r="Y310" s="159">
        <v>0</v>
      </c>
      <c r="Z310" s="159">
        <v>0</v>
      </c>
      <c r="AA310" s="159">
        <v>0</v>
      </c>
      <c r="AB310" s="159">
        <v>0</v>
      </c>
      <c r="AC310" s="159">
        <v>0</v>
      </c>
      <c r="AD310" s="207">
        <v>53850</v>
      </c>
      <c r="AE310" s="200">
        <v>12.705483185090566</v>
      </c>
      <c r="AF310" s="200">
        <v>14.79842216711941</v>
      </c>
      <c r="AG310" s="200">
        <v>14.951658254583176</v>
      </c>
      <c r="AH310" s="200">
        <v>0</v>
      </c>
      <c r="AI310" s="200">
        <v>0</v>
      </c>
      <c r="AJ310" s="200">
        <v>0</v>
      </c>
      <c r="AL310" s="197">
        <f t="shared" si="36"/>
        <v>61731.79383957653</v>
      </c>
      <c r="AM310" s="197" t="str">
        <f t="shared" si="37"/>
        <v>Box Medium 4</v>
      </c>
      <c r="AN310" s="3">
        <f t="shared" si="38"/>
        <v>16.024486327082748</v>
      </c>
      <c r="AO310" s="3">
        <f t="shared" si="39"/>
        <v>6.1853594408225074</v>
      </c>
      <c r="AP310" s="3">
        <f t="shared" si="40"/>
        <v>0</v>
      </c>
      <c r="AQ310" s="3">
        <f t="shared" si="45"/>
        <v>0</v>
      </c>
      <c r="AR310" s="3">
        <f t="shared" si="46"/>
        <v>6.1853594408225074</v>
      </c>
      <c r="AS310" s="81">
        <f t="shared" si="47"/>
        <v>1</v>
      </c>
      <c r="AT310" s="81">
        <f t="shared" si="48"/>
        <v>0</v>
      </c>
    </row>
    <row r="311" spans="1:46" x14ac:dyDescent="0.25">
      <c r="A311" t="s">
        <v>807</v>
      </c>
      <c r="B311">
        <v>2050</v>
      </c>
      <c r="C311" t="s">
        <v>680</v>
      </c>
      <c r="D311" t="s">
        <v>810</v>
      </c>
      <c r="E311" t="s">
        <v>1028</v>
      </c>
      <c r="F311">
        <v>4</v>
      </c>
      <c r="G311" t="s">
        <v>2046</v>
      </c>
      <c r="H311" s="460">
        <v>3262.6640093382821</v>
      </c>
      <c r="I311">
        <v>1650</v>
      </c>
      <c r="J311">
        <v>0</v>
      </c>
      <c r="K311" s="67">
        <v>3.0096000000000003</v>
      </c>
      <c r="L311" s="159">
        <v>150</v>
      </c>
      <c r="M311" s="159">
        <v>13895</v>
      </c>
      <c r="N311" s="159">
        <v>220</v>
      </c>
      <c r="O311" s="159">
        <v>392</v>
      </c>
      <c r="P311" s="159">
        <v>3756</v>
      </c>
      <c r="Q311" s="159">
        <v>1500</v>
      </c>
      <c r="R311" s="159">
        <v>2000</v>
      </c>
      <c r="S311" s="159">
        <v>27325</v>
      </c>
      <c r="T311" s="159">
        <v>0</v>
      </c>
      <c r="U311" s="159">
        <v>967</v>
      </c>
      <c r="V311" s="159">
        <v>4500</v>
      </c>
      <c r="W311" s="159">
        <v>186</v>
      </c>
      <c r="X311" s="159">
        <v>120</v>
      </c>
      <c r="Y311" s="159">
        <v>1500</v>
      </c>
      <c r="Z311" s="159">
        <v>1101</v>
      </c>
      <c r="AA311" s="159">
        <v>0</v>
      </c>
      <c r="AB311" s="159">
        <v>0</v>
      </c>
      <c r="AC311" s="159">
        <v>0</v>
      </c>
      <c r="AD311" s="207">
        <v>57612</v>
      </c>
      <c r="AE311" s="200">
        <v>28.210190949326947</v>
      </c>
      <c r="AF311" s="200">
        <v>24.034004238845043</v>
      </c>
      <c r="AG311" s="200">
        <v>18.687098353694417</v>
      </c>
      <c r="AH311" s="200">
        <v>0</v>
      </c>
      <c r="AI311" s="200">
        <v>0</v>
      </c>
      <c r="AJ311" s="200">
        <v>0</v>
      </c>
      <c r="AL311" s="197">
        <f t="shared" si="36"/>
        <v>66044.421665472299</v>
      </c>
      <c r="AM311" s="197" t="str">
        <f t="shared" si="37"/>
        <v>Box Medium 4</v>
      </c>
      <c r="AN311" s="3">
        <f t="shared" si="38"/>
        <v>11.910100117789799</v>
      </c>
      <c r="AO311" s="3">
        <f t="shared" si="39"/>
        <v>4.5972300578650538</v>
      </c>
      <c r="AP311" s="3">
        <f t="shared" si="40"/>
        <v>0</v>
      </c>
      <c r="AQ311" s="3">
        <f t="shared" si="45"/>
        <v>0</v>
      </c>
      <c r="AR311" s="3">
        <f t="shared" si="46"/>
        <v>4.5972300578650538</v>
      </c>
      <c r="AS311" s="81">
        <f t="shared" si="47"/>
        <v>1</v>
      </c>
      <c r="AT311" s="81">
        <f t="shared" si="48"/>
        <v>0</v>
      </c>
    </row>
    <row r="312" spans="1:46" x14ac:dyDescent="0.25">
      <c r="A312" t="s">
        <v>807</v>
      </c>
      <c r="B312">
        <v>2050</v>
      </c>
      <c r="C312" t="s">
        <v>680</v>
      </c>
      <c r="D312" t="s">
        <v>810</v>
      </c>
      <c r="E312" t="s">
        <v>1028</v>
      </c>
      <c r="F312">
        <v>4</v>
      </c>
      <c r="G312" t="s">
        <v>2047</v>
      </c>
      <c r="H312" s="460">
        <v>3084.9017389862574</v>
      </c>
      <c r="I312">
        <v>1650</v>
      </c>
      <c r="J312">
        <v>0</v>
      </c>
      <c r="K312" s="67">
        <v>2.5660800000000004</v>
      </c>
      <c r="L312" s="159">
        <v>150</v>
      </c>
      <c r="M312" s="159">
        <v>11548</v>
      </c>
      <c r="N312" s="159">
        <v>220</v>
      </c>
      <c r="O312" s="159">
        <v>392</v>
      </c>
      <c r="P312" s="159">
        <v>2271</v>
      </c>
      <c r="Q312" s="159">
        <v>1500</v>
      </c>
      <c r="R312" s="159">
        <v>2000</v>
      </c>
      <c r="S312" s="159">
        <v>27325</v>
      </c>
      <c r="T312" s="159">
        <v>0</v>
      </c>
      <c r="U312" s="159">
        <v>824</v>
      </c>
      <c r="V312" s="159">
        <v>4500</v>
      </c>
      <c r="W312" s="159">
        <v>186</v>
      </c>
      <c r="X312" s="159">
        <v>120</v>
      </c>
      <c r="Y312" s="159">
        <v>1500</v>
      </c>
      <c r="Z312" s="159">
        <v>1093</v>
      </c>
      <c r="AA312" s="159">
        <v>0</v>
      </c>
      <c r="AB312" s="159">
        <v>0</v>
      </c>
      <c r="AC312" s="159">
        <v>0</v>
      </c>
      <c r="AD312" s="207">
        <v>53629</v>
      </c>
      <c r="AE312" s="200">
        <v>25.138772319900504</v>
      </c>
      <c r="AF312" s="200">
        <v>20.166332564045483</v>
      </c>
      <c r="AG312" s="200">
        <v>15.647320386350639</v>
      </c>
      <c r="AH312" s="200">
        <v>0</v>
      </c>
      <c r="AI312" s="200">
        <v>0</v>
      </c>
      <c r="AJ312" s="200">
        <v>0</v>
      </c>
      <c r="AL312" s="197">
        <f t="shared" si="36"/>
        <v>61478.447016205195</v>
      </c>
      <c r="AM312" s="197" t="str">
        <f t="shared" si="37"/>
        <v>Box Medium 4</v>
      </c>
      <c r="AN312" s="3">
        <f t="shared" si="38"/>
        <v>14.161562531517738</v>
      </c>
      <c r="AO312" s="3">
        <f t="shared" si="39"/>
        <v>5.466281583895741</v>
      </c>
      <c r="AP312" s="3">
        <f t="shared" si="40"/>
        <v>0</v>
      </c>
      <c r="AQ312" s="3">
        <f t="shared" si="45"/>
        <v>0</v>
      </c>
      <c r="AR312" s="3">
        <f t="shared" si="46"/>
        <v>5.466281583895741</v>
      </c>
      <c r="AS312" s="81">
        <f t="shared" si="47"/>
        <v>1</v>
      </c>
      <c r="AT312" s="81">
        <f t="shared" si="48"/>
        <v>0</v>
      </c>
    </row>
    <row r="313" spans="1:46" x14ac:dyDescent="0.25">
      <c r="A313" t="s">
        <v>808</v>
      </c>
      <c r="B313">
        <v>2050</v>
      </c>
      <c r="C313" t="s">
        <v>680</v>
      </c>
      <c r="D313" t="s">
        <v>810</v>
      </c>
      <c r="E313" t="s">
        <v>1028</v>
      </c>
      <c r="F313">
        <v>4</v>
      </c>
      <c r="G313" t="s">
        <v>2048</v>
      </c>
      <c r="H313" s="460">
        <v>3460.8331952254721</v>
      </c>
      <c r="I313">
        <v>1650</v>
      </c>
      <c r="J313">
        <v>119.99999997072871</v>
      </c>
      <c r="K313" s="67">
        <v>104.265</v>
      </c>
      <c r="L313" s="159">
        <v>0</v>
      </c>
      <c r="M313" s="159">
        <v>10942</v>
      </c>
      <c r="N313" s="159">
        <v>220</v>
      </c>
      <c r="O313" s="159">
        <v>0</v>
      </c>
      <c r="P313" s="159">
        <v>0</v>
      </c>
      <c r="Q313" s="159">
        <v>1500</v>
      </c>
      <c r="R313" s="159">
        <v>2000</v>
      </c>
      <c r="S313" s="159">
        <v>27325</v>
      </c>
      <c r="T313" s="159">
        <v>1354</v>
      </c>
      <c r="U313" s="159">
        <v>9384</v>
      </c>
      <c r="V313" s="159">
        <v>4500</v>
      </c>
      <c r="W313" s="159">
        <v>186</v>
      </c>
      <c r="X313" s="159">
        <v>0</v>
      </c>
      <c r="Y313" s="159">
        <v>1500</v>
      </c>
      <c r="Z313" s="159">
        <v>1809</v>
      </c>
      <c r="AA313" s="159">
        <v>0</v>
      </c>
      <c r="AB313" s="159">
        <v>0</v>
      </c>
      <c r="AC313" s="159">
        <v>0</v>
      </c>
      <c r="AD313" s="207">
        <v>60720</v>
      </c>
      <c r="AE313" s="200">
        <v>78.338685743353551</v>
      </c>
      <c r="AF313" s="200">
        <v>36.326850557476476</v>
      </c>
      <c r="AG313" s="200">
        <v>21.268820677880111</v>
      </c>
      <c r="AH313" s="200">
        <v>438</v>
      </c>
      <c r="AI313" s="200">
        <v>796</v>
      </c>
      <c r="AJ313" s="200">
        <v>1036</v>
      </c>
      <c r="AL313" s="197">
        <f t="shared" si="36"/>
        <v>69607.326312703561</v>
      </c>
      <c r="AM313" s="197" t="str">
        <f t="shared" si="37"/>
        <v>Box Medium 4</v>
      </c>
      <c r="AN313" s="3">
        <f t="shared" si="38"/>
        <v>4.9204570499675775</v>
      </c>
      <c r="AO313" s="3">
        <f t="shared" si="39"/>
        <v>1.8992680854762389</v>
      </c>
      <c r="AP313" s="3">
        <f t="shared" si="40"/>
        <v>29.658120720295273</v>
      </c>
      <c r="AQ313" s="3">
        <f t="shared" si="45"/>
        <v>1.06769234593063</v>
      </c>
      <c r="AR313" s="3">
        <f t="shared" si="46"/>
        <v>2.9669604314068687</v>
      </c>
      <c r="AS313" s="81">
        <f t="shared" si="47"/>
        <v>0.64013933767753251</v>
      </c>
      <c r="AT313" s="81">
        <f t="shared" si="48"/>
        <v>0.35986066232246761</v>
      </c>
    </row>
    <row r="314" spans="1:46" x14ac:dyDescent="0.25">
      <c r="A314" t="s">
        <v>808</v>
      </c>
      <c r="B314">
        <v>2050</v>
      </c>
      <c r="C314" t="s">
        <v>680</v>
      </c>
      <c r="D314" t="s">
        <v>810</v>
      </c>
      <c r="E314" t="s">
        <v>1028</v>
      </c>
      <c r="F314">
        <v>4</v>
      </c>
      <c r="G314" t="s">
        <v>2049</v>
      </c>
      <c r="H314" s="460">
        <v>3380.3488925116262</v>
      </c>
      <c r="I314">
        <v>1650</v>
      </c>
      <c r="J314">
        <v>119.99999997072871</v>
      </c>
      <c r="K314" s="67">
        <v>98.8035</v>
      </c>
      <c r="L314" s="159">
        <v>0</v>
      </c>
      <c r="M314" s="159">
        <v>8442</v>
      </c>
      <c r="N314" s="159">
        <v>220</v>
      </c>
      <c r="O314" s="159">
        <v>0</v>
      </c>
      <c r="P314" s="159">
        <v>2296</v>
      </c>
      <c r="Q314" s="159">
        <v>1500</v>
      </c>
      <c r="R314" s="159">
        <v>2000</v>
      </c>
      <c r="S314" s="159">
        <v>27325</v>
      </c>
      <c r="T314" s="159">
        <v>1205</v>
      </c>
      <c r="U314" s="159">
        <v>8892</v>
      </c>
      <c r="V314" s="159">
        <v>4500</v>
      </c>
      <c r="W314" s="159">
        <v>186</v>
      </c>
      <c r="X314" s="159">
        <v>0</v>
      </c>
      <c r="Y314" s="159">
        <v>1500</v>
      </c>
      <c r="Z314" s="159">
        <v>1493</v>
      </c>
      <c r="AA314" s="159">
        <v>0</v>
      </c>
      <c r="AB314" s="159">
        <v>0</v>
      </c>
      <c r="AC314" s="159">
        <v>0</v>
      </c>
      <c r="AD314" s="207">
        <v>59559</v>
      </c>
      <c r="AE314" s="200">
        <v>26.690252570041874</v>
      </c>
      <c r="AF314" s="200">
        <v>16.847071223660773</v>
      </c>
      <c r="AG314" s="200">
        <v>12.642048495313775</v>
      </c>
      <c r="AH314" s="200">
        <v>460</v>
      </c>
      <c r="AI314" s="200">
        <v>738</v>
      </c>
      <c r="AJ314" s="200">
        <v>972</v>
      </c>
      <c r="AL314" s="197">
        <f t="shared" si="36"/>
        <v>68276.395715716586</v>
      </c>
      <c r="AM314" s="197" t="str">
        <f t="shared" si="37"/>
        <v>Box Medium 4</v>
      </c>
      <c r="AN314" s="3">
        <f t="shared" si="38"/>
        <v>8.6042579382938165</v>
      </c>
      <c r="AO314" s="3">
        <f t="shared" si="39"/>
        <v>3.3211940141850658</v>
      </c>
      <c r="AP314" s="3">
        <f t="shared" si="40"/>
        <v>27.953695303664858</v>
      </c>
      <c r="AQ314" s="3">
        <f t="shared" si="45"/>
        <v>1.0063330309319349</v>
      </c>
      <c r="AR314" s="3">
        <f t="shared" si="46"/>
        <v>4.3275270451170007</v>
      </c>
      <c r="AS314" s="81">
        <f t="shared" si="47"/>
        <v>0.76745771420020614</v>
      </c>
      <c r="AT314" s="81">
        <f t="shared" si="48"/>
        <v>0.23254228579979386</v>
      </c>
    </row>
    <row r="315" spans="1:46" x14ac:dyDescent="0.25">
      <c r="A315" t="s">
        <v>230</v>
      </c>
      <c r="B315">
        <v>2050</v>
      </c>
      <c r="C315" t="s">
        <v>680</v>
      </c>
      <c r="D315" t="s">
        <v>810</v>
      </c>
      <c r="E315" t="s">
        <v>1028</v>
      </c>
      <c r="F315">
        <v>4</v>
      </c>
      <c r="G315" t="s">
        <v>2050</v>
      </c>
      <c r="H315" s="460">
        <v>3113.6701960873479</v>
      </c>
      <c r="I315">
        <v>1650</v>
      </c>
      <c r="J315">
        <v>150.00000001001371</v>
      </c>
      <c r="K315" s="67">
        <v>136.28925000000001</v>
      </c>
      <c r="L315" s="159">
        <v>0</v>
      </c>
      <c r="M315" s="159">
        <v>0</v>
      </c>
      <c r="N315" s="159">
        <v>0</v>
      </c>
      <c r="O315" s="159">
        <v>0</v>
      </c>
      <c r="P315" s="159">
        <v>0</v>
      </c>
      <c r="Q315" s="159">
        <v>1500</v>
      </c>
      <c r="R315" s="159">
        <v>2000</v>
      </c>
      <c r="S315" s="159">
        <v>27325</v>
      </c>
      <c r="T315" s="159">
        <v>0</v>
      </c>
      <c r="U315" s="159">
        <v>12266</v>
      </c>
      <c r="V315" s="159">
        <v>4500</v>
      </c>
      <c r="W315" s="159">
        <v>186</v>
      </c>
      <c r="X315" s="159">
        <v>0</v>
      </c>
      <c r="Y315" s="159">
        <v>1500</v>
      </c>
      <c r="Z315" s="159">
        <v>1613</v>
      </c>
      <c r="AA315" s="159">
        <v>0</v>
      </c>
      <c r="AB315" s="159">
        <v>0</v>
      </c>
      <c r="AC315" s="159">
        <v>0</v>
      </c>
      <c r="AD315" s="207">
        <v>50890</v>
      </c>
      <c r="AE315" s="200">
        <v>0</v>
      </c>
      <c r="AF315" s="200">
        <v>0</v>
      </c>
      <c r="AG315" s="200">
        <v>0</v>
      </c>
      <c r="AH315" s="200">
        <v>418</v>
      </c>
      <c r="AI315" s="200">
        <v>769</v>
      </c>
      <c r="AJ315" s="200">
        <v>1005</v>
      </c>
      <c r="AL315" s="197">
        <f t="shared" si="36"/>
        <v>58338.551318403894</v>
      </c>
      <c r="AM315" s="197" t="str">
        <f t="shared" si="37"/>
        <v>Box Medium 4</v>
      </c>
      <c r="AN315" s="3">
        <f t="shared" si="38"/>
        <v>0</v>
      </c>
      <c r="AO315" s="3">
        <f t="shared" si="39"/>
        <v>0</v>
      </c>
      <c r="AP315" s="3">
        <f t="shared" si="40"/>
        <v>57.480706376527031</v>
      </c>
      <c r="AQ315" s="3">
        <f t="shared" si="45"/>
        <v>2.0693054295549733</v>
      </c>
      <c r="AR315" s="3">
        <f t="shared" si="46"/>
        <v>2.0693054295549733</v>
      </c>
      <c r="AS315" s="81">
        <f t="shared" si="47"/>
        <v>0</v>
      </c>
      <c r="AT315" s="81">
        <f t="shared" si="48"/>
        <v>1</v>
      </c>
    </row>
    <row r="316" spans="1:46" x14ac:dyDescent="0.25">
      <c r="A316" t="s">
        <v>496</v>
      </c>
      <c r="B316">
        <v>2050</v>
      </c>
      <c r="C316" t="s">
        <v>680</v>
      </c>
      <c r="D316" t="s">
        <v>810</v>
      </c>
      <c r="E316" t="s">
        <v>1028</v>
      </c>
      <c r="F316">
        <v>4</v>
      </c>
      <c r="G316" t="s">
        <v>2051</v>
      </c>
      <c r="H316" s="460">
        <v>2864.5715920917974</v>
      </c>
      <c r="I316">
        <v>1650</v>
      </c>
      <c r="J316">
        <v>150.00000001001371</v>
      </c>
      <c r="K316" s="67">
        <v>3.6115200000000005</v>
      </c>
      <c r="L316" s="159">
        <v>0</v>
      </c>
      <c r="M316" s="159">
        <v>0</v>
      </c>
      <c r="N316" s="159">
        <v>0</v>
      </c>
      <c r="O316" s="159">
        <v>0</v>
      </c>
      <c r="P316" s="159">
        <v>0</v>
      </c>
      <c r="Q316" s="159">
        <v>1500</v>
      </c>
      <c r="R316" s="159">
        <v>2000</v>
      </c>
      <c r="S316" s="159">
        <v>27325</v>
      </c>
      <c r="T316" s="159">
        <v>0</v>
      </c>
      <c r="U316" s="159">
        <v>1160</v>
      </c>
      <c r="V316" s="159">
        <v>4500</v>
      </c>
      <c r="W316" s="159">
        <v>186</v>
      </c>
      <c r="X316" s="159">
        <v>0</v>
      </c>
      <c r="Y316" s="159">
        <v>1500</v>
      </c>
      <c r="Z316" s="159">
        <v>1572</v>
      </c>
      <c r="AA316" s="159">
        <v>8304</v>
      </c>
      <c r="AB316" s="159">
        <v>2971</v>
      </c>
      <c r="AC316" s="159">
        <v>0</v>
      </c>
      <c r="AD316" s="207">
        <v>51018</v>
      </c>
      <c r="AE316" s="200">
        <v>50.458289392802833</v>
      </c>
      <c r="AF316" s="200">
        <v>29.361548569312067</v>
      </c>
      <c r="AG316" s="200">
        <v>21.61670113608853</v>
      </c>
      <c r="AH316" s="200">
        <v>0</v>
      </c>
      <c r="AI316" s="200">
        <v>0</v>
      </c>
      <c r="AJ316" s="200">
        <v>0</v>
      </c>
      <c r="AL316" s="197">
        <f t="shared" si="36"/>
        <v>58485.286130130276</v>
      </c>
      <c r="AM316" s="197" t="str">
        <f t="shared" si="37"/>
        <v>Box Medium 4</v>
      </c>
      <c r="AN316" s="3">
        <f t="shared" si="38"/>
        <v>10.00089895408507</v>
      </c>
      <c r="AO316" s="3">
        <f t="shared" si="39"/>
        <v>3.8602894033373651</v>
      </c>
      <c r="AP316" s="3">
        <f t="shared" si="40"/>
        <v>0</v>
      </c>
      <c r="AQ316" s="3">
        <f t="shared" si="45"/>
        <v>0</v>
      </c>
      <c r="AR316" s="3">
        <f t="shared" si="46"/>
        <v>3.8602894033373651</v>
      </c>
      <c r="AS316" s="81">
        <f t="shared" si="47"/>
        <v>1</v>
      </c>
      <c r="AT316" s="81">
        <f t="shared" si="48"/>
        <v>0</v>
      </c>
    </row>
    <row r="317" spans="1:46" x14ac:dyDescent="0.25">
      <c r="A317" t="s">
        <v>828</v>
      </c>
      <c r="B317">
        <v>2050</v>
      </c>
      <c r="C317" t="s">
        <v>680</v>
      </c>
      <c r="D317" t="s">
        <v>810</v>
      </c>
      <c r="E317" t="s">
        <v>1028</v>
      </c>
      <c r="F317">
        <v>4</v>
      </c>
      <c r="G317" t="s">
        <v>2052</v>
      </c>
      <c r="H317" s="460">
        <v>2846.9669406492403</v>
      </c>
      <c r="I317">
        <v>1650</v>
      </c>
      <c r="J317">
        <v>150.00000001001371</v>
      </c>
      <c r="K317" s="67">
        <v>18.991125</v>
      </c>
      <c r="L317" s="159">
        <v>0</v>
      </c>
      <c r="M317" s="159">
        <v>0</v>
      </c>
      <c r="N317" s="159">
        <v>0</v>
      </c>
      <c r="O317" s="159">
        <v>0</v>
      </c>
      <c r="P317" s="159">
        <v>0</v>
      </c>
      <c r="Q317" s="159">
        <v>1500</v>
      </c>
      <c r="R317" s="159">
        <v>2000</v>
      </c>
      <c r="S317" s="159">
        <v>27325</v>
      </c>
      <c r="T317" s="159">
        <v>0</v>
      </c>
      <c r="U317" s="159">
        <v>1709</v>
      </c>
      <c r="V317" s="159">
        <v>4500</v>
      </c>
      <c r="W317" s="159">
        <v>186</v>
      </c>
      <c r="X317" s="159">
        <v>0</v>
      </c>
      <c r="Y317" s="159">
        <v>1500</v>
      </c>
      <c r="Z317" s="159">
        <v>1864</v>
      </c>
      <c r="AA317" s="159">
        <v>4822</v>
      </c>
      <c r="AB317" s="159">
        <v>2381</v>
      </c>
      <c r="AC317" s="159">
        <v>0</v>
      </c>
      <c r="AD317" s="207">
        <v>47787</v>
      </c>
      <c r="AE317" s="200">
        <v>50.452779704868263</v>
      </c>
      <c r="AF317" s="200">
        <v>27.596062564687944</v>
      </c>
      <c r="AG317" s="200">
        <v>21.466944291723063</v>
      </c>
      <c r="AH317" s="200">
        <v>0</v>
      </c>
      <c r="AI317" s="200">
        <v>0</v>
      </c>
      <c r="AJ317" s="200">
        <v>126.43477714371804</v>
      </c>
      <c r="AL317" s="197">
        <f t="shared" si="36"/>
        <v>54781.378499755687</v>
      </c>
      <c r="AM317" s="197" t="str">
        <f t="shared" si="37"/>
        <v>Box Medium 4</v>
      </c>
      <c r="AN317" s="3">
        <f t="shared" si="38"/>
        <v>10.108562024598861</v>
      </c>
      <c r="AO317" s="3">
        <f t="shared" si="39"/>
        <v>3.9018467285481542</v>
      </c>
      <c r="AP317" s="3">
        <f t="shared" si="40"/>
        <v>6.363613002001542</v>
      </c>
      <c r="AQ317" s="3">
        <f t="shared" si="45"/>
        <v>0.22909006807205551</v>
      </c>
      <c r="AR317" s="3">
        <f t="shared" si="46"/>
        <v>4.13093679662021</v>
      </c>
      <c r="AS317" s="81">
        <f t="shared" si="47"/>
        <v>0.94454282906010822</v>
      </c>
      <c r="AT317" s="81">
        <f t="shared" si="48"/>
        <v>5.5457170939891672E-2</v>
      </c>
    </row>
    <row r="318" spans="1:46" x14ac:dyDescent="0.25">
      <c r="A318" t="s">
        <v>805</v>
      </c>
      <c r="B318">
        <v>2023</v>
      </c>
      <c r="C318" t="s">
        <v>680</v>
      </c>
      <c r="D318" t="s">
        <v>830</v>
      </c>
      <c r="E318" t="s">
        <v>1028</v>
      </c>
      <c r="F318">
        <v>4</v>
      </c>
      <c r="G318" t="s">
        <v>2053</v>
      </c>
      <c r="H318" s="460">
        <v>3464.0255998835519</v>
      </c>
      <c r="I318">
        <v>1650</v>
      </c>
      <c r="J318">
        <v>0</v>
      </c>
      <c r="K318" s="67">
        <v>0</v>
      </c>
      <c r="L318" s="159">
        <v>150</v>
      </c>
      <c r="M318" s="159">
        <v>20452</v>
      </c>
      <c r="N318" s="159">
        <v>1920</v>
      </c>
      <c r="O318" s="159">
        <v>506</v>
      </c>
      <c r="P318" s="159">
        <v>5497</v>
      </c>
      <c r="Q318" s="159">
        <v>1500</v>
      </c>
      <c r="R318" s="159">
        <v>2000</v>
      </c>
      <c r="S318" s="159">
        <v>27000</v>
      </c>
      <c r="T318" s="159">
        <v>98</v>
      </c>
      <c r="U318" s="159">
        <v>120</v>
      </c>
      <c r="V318" s="159">
        <v>0</v>
      </c>
      <c r="W318" s="159">
        <v>186</v>
      </c>
      <c r="X318" s="159">
        <v>0</v>
      </c>
      <c r="Y318" s="159">
        <v>0</v>
      </c>
      <c r="Z318" s="159">
        <v>0</v>
      </c>
      <c r="AA318" s="159">
        <v>0</v>
      </c>
      <c r="AB318" s="159">
        <v>0</v>
      </c>
      <c r="AC318" s="159">
        <v>0</v>
      </c>
      <c r="AD318" s="207">
        <v>59429</v>
      </c>
      <c r="AE318" s="200">
        <v>12.776962597482038</v>
      </c>
      <c r="AF318" s="200">
        <v>19.284761836432551</v>
      </c>
      <c r="AG318" s="200">
        <v>15.604324174495066</v>
      </c>
      <c r="AH318" s="200">
        <v>0</v>
      </c>
      <c r="AI318" s="200">
        <v>0</v>
      </c>
      <c r="AJ318" s="200">
        <v>0</v>
      </c>
      <c r="AL318" s="197">
        <f t="shared" si="36"/>
        <v>68127.368172556977</v>
      </c>
      <c r="AM318" s="197" t="str">
        <f t="shared" si="37"/>
        <v>Box Medium 4</v>
      </c>
      <c r="AN318" s="3">
        <f t="shared" si="38"/>
        <v>15.14836450361812</v>
      </c>
      <c r="AO318" s="3">
        <f t="shared" si="39"/>
        <v>5.847181462354718</v>
      </c>
      <c r="AP318" s="3">
        <f t="shared" si="40"/>
        <v>0</v>
      </c>
      <c r="AQ318" s="3">
        <f t="shared" si="45"/>
        <v>0</v>
      </c>
      <c r="AR318" s="3">
        <f t="shared" si="46"/>
        <v>5.847181462354718</v>
      </c>
      <c r="AS318" s="81">
        <f t="shared" si="47"/>
        <v>1</v>
      </c>
      <c r="AT318" s="81">
        <f t="shared" si="48"/>
        <v>0</v>
      </c>
    </row>
    <row r="319" spans="1:46" x14ac:dyDescent="0.25">
      <c r="A319" t="s">
        <v>805</v>
      </c>
      <c r="B319">
        <v>2023</v>
      </c>
      <c r="C319" t="s">
        <v>680</v>
      </c>
      <c r="D319" t="s">
        <v>830</v>
      </c>
      <c r="E319" t="s">
        <v>1028</v>
      </c>
      <c r="F319">
        <v>4</v>
      </c>
      <c r="G319" t="s">
        <v>2054</v>
      </c>
      <c r="H319" s="460">
        <v>3211.9682773253335</v>
      </c>
      <c r="I319">
        <v>1650</v>
      </c>
      <c r="J319">
        <v>0</v>
      </c>
      <c r="K319" s="67">
        <v>0</v>
      </c>
      <c r="L319" s="159">
        <v>150</v>
      </c>
      <c r="M319" s="159">
        <v>27711</v>
      </c>
      <c r="N319" s="159">
        <v>1920</v>
      </c>
      <c r="O319" s="159">
        <v>506</v>
      </c>
      <c r="P319" s="159">
        <v>3926</v>
      </c>
      <c r="Q319" s="159">
        <v>1500</v>
      </c>
      <c r="R319" s="159">
        <v>2000</v>
      </c>
      <c r="S319" s="159">
        <v>27000</v>
      </c>
      <c r="T319" s="159">
        <v>98</v>
      </c>
      <c r="U319" s="159">
        <v>120</v>
      </c>
      <c r="V319" s="159">
        <v>0</v>
      </c>
      <c r="W319" s="159">
        <v>186</v>
      </c>
      <c r="X319" s="159">
        <v>0</v>
      </c>
      <c r="Y319" s="159">
        <v>0</v>
      </c>
      <c r="Z319" s="159">
        <v>0</v>
      </c>
      <c r="AA319" s="159">
        <v>0</v>
      </c>
      <c r="AB319" s="159">
        <v>0</v>
      </c>
      <c r="AC319" s="159">
        <v>0</v>
      </c>
      <c r="AD319" s="207">
        <v>65117</v>
      </c>
      <c r="AE319" s="200">
        <v>8.9857502028937972</v>
      </c>
      <c r="AF319" s="200">
        <v>13.114217031631563</v>
      </c>
      <c r="AG319" s="200">
        <v>10.722814552046778</v>
      </c>
      <c r="AH319" s="200">
        <v>0</v>
      </c>
      <c r="AI319" s="200">
        <v>0</v>
      </c>
      <c r="AJ319" s="200">
        <v>0</v>
      </c>
      <c r="AL319" s="197">
        <f t="shared" si="36"/>
        <v>74647.896368648187</v>
      </c>
      <c r="AM319" s="197" t="str">
        <f t="shared" si="37"/>
        <v>Box Medium 4</v>
      </c>
      <c r="AN319" s="3">
        <f t="shared" si="38"/>
        <v>21.999994882657948</v>
      </c>
      <c r="AO319" s="3">
        <f t="shared" si="39"/>
        <v>8.491871331657725</v>
      </c>
      <c r="AP319" s="3">
        <f t="shared" si="40"/>
        <v>0</v>
      </c>
      <c r="AQ319" s="3">
        <f t="shared" si="45"/>
        <v>0</v>
      </c>
      <c r="AR319" s="3">
        <f t="shared" si="46"/>
        <v>8.491871331657725</v>
      </c>
      <c r="AS319" s="81">
        <f t="shared" si="47"/>
        <v>1</v>
      </c>
      <c r="AT319" s="81">
        <f t="shared" si="48"/>
        <v>0</v>
      </c>
    </row>
    <row r="320" spans="1:46" x14ac:dyDescent="0.25">
      <c r="A320" t="s">
        <v>807</v>
      </c>
      <c r="B320">
        <v>2023</v>
      </c>
      <c r="C320" t="s">
        <v>680</v>
      </c>
      <c r="D320" t="s">
        <v>830</v>
      </c>
      <c r="E320" t="s">
        <v>1028</v>
      </c>
      <c r="F320">
        <v>4</v>
      </c>
      <c r="G320" t="s">
        <v>2055</v>
      </c>
      <c r="H320" s="460">
        <v>3447.7014452345238</v>
      </c>
      <c r="I320">
        <v>1650</v>
      </c>
      <c r="J320">
        <v>0</v>
      </c>
      <c r="K320" s="67">
        <v>3.1680000000000006</v>
      </c>
      <c r="L320" s="159">
        <v>150</v>
      </c>
      <c r="M320" s="159">
        <v>16415</v>
      </c>
      <c r="N320" s="159">
        <v>220</v>
      </c>
      <c r="O320" s="159">
        <v>392</v>
      </c>
      <c r="P320" s="159">
        <v>4811</v>
      </c>
      <c r="Q320" s="159">
        <v>1500</v>
      </c>
      <c r="R320" s="159">
        <v>2000</v>
      </c>
      <c r="S320" s="159">
        <v>27000</v>
      </c>
      <c r="T320" s="159">
        <v>0</v>
      </c>
      <c r="U320" s="159">
        <v>2218</v>
      </c>
      <c r="V320" s="159">
        <v>4500</v>
      </c>
      <c r="W320" s="159">
        <v>186</v>
      </c>
      <c r="X320" s="159">
        <v>120</v>
      </c>
      <c r="Y320" s="159">
        <v>1500</v>
      </c>
      <c r="Z320" s="159">
        <v>2621</v>
      </c>
      <c r="AA320" s="159">
        <v>0</v>
      </c>
      <c r="AB320" s="159">
        <v>0</v>
      </c>
      <c r="AC320" s="159">
        <v>0</v>
      </c>
      <c r="AD320" s="207">
        <v>63633</v>
      </c>
      <c r="AE320" s="200">
        <v>21.531074652739878</v>
      </c>
      <c r="AF320" s="200">
        <v>21.059971956570802</v>
      </c>
      <c r="AG320" s="200">
        <v>16.766886913469516</v>
      </c>
      <c r="AH320" s="200">
        <v>0</v>
      </c>
      <c r="AI320" s="200">
        <v>0</v>
      </c>
      <c r="AJ320" s="200">
        <v>0</v>
      </c>
      <c r="AL320" s="197">
        <f t="shared" si="36"/>
        <v>72946.689645195424</v>
      </c>
      <c r="AM320" s="197" t="str">
        <f t="shared" si="37"/>
        <v>Box Medium 4</v>
      </c>
      <c r="AN320" s="3">
        <f t="shared" si="38"/>
        <v>13.460764898274997</v>
      </c>
      <c r="AO320" s="3">
        <f t="shared" si="39"/>
        <v>5.1957777332008162</v>
      </c>
      <c r="AP320" s="3">
        <f t="shared" si="40"/>
        <v>0</v>
      </c>
      <c r="AQ320" s="3">
        <f t="shared" si="45"/>
        <v>0</v>
      </c>
      <c r="AR320" s="3">
        <f t="shared" si="46"/>
        <v>5.1957777332008162</v>
      </c>
      <c r="AS320" s="81">
        <f t="shared" si="47"/>
        <v>1</v>
      </c>
      <c r="AT320" s="81">
        <f t="shared" si="48"/>
        <v>0</v>
      </c>
    </row>
    <row r="321" spans="1:46" x14ac:dyDescent="0.25">
      <c r="A321" t="s">
        <v>807</v>
      </c>
      <c r="B321">
        <v>2023</v>
      </c>
      <c r="C321" t="s">
        <v>680</v>
      </c>
      <c r="D321" t="s">
        <v>830</v>
      </c>
      <c r="E321" t="s">
        <v>1028</v>
      </c>
      <c r="F321">
        <v>4</v>
      </c>
      <c r="G321" t="s">
        <v>2056</v>
      </c>
      <c r="H321" s="460">
        <v>3209.4196035283649</v>
      </c>
      <c r="I321">
        <v>1650</v>
      </c>
      <c r="J321">
        <v>0</v>
      </c>
      <c r="K321" s="67">
        <v>2.5660800000000004</v>
      </c>
      <c r="L321" s="159">
        <v>150</v>
      </c>
      <c r="M321" s="159">
        <v>15343</v>
      </c>
      <c r="N321" s="159">
        <v>220</v>
      </c>
      <c r="O321" s="159">
        <v>392</v>
      </c>
      <c r="P321" s="159">
        <v>3015</v>
      </c>
      <c r="Q321" s="159">
        <v>1500</v>
      </c>
      <c r="R321" s="159">
        <v>2000</v>
      </c>
      <c r="S321" s="159">
        <v>27000</v>
      </c>
      <c r="T321" s="159">
        <v>0</v>
      </c>
      <c r="U321" s="159">
        <v>1796</v>
      </c>
      <c r="V321" s="159">
        <v>4500</v>
      </c>
      <c r="W321" s="159">
        <v>186</v>
      </c>
      <c r="X321" s="159">
        <v>120</v>
      </c>
      <c r="Y321" s="159">
        <v>1500</v>
      </c>
      <c r="Z321" s="159">
        <v>2754</v>
      </c>
      <c r="AA321" s="159">
        <v>0</v>
      </c>
      <c r="AB321" s="159">
        <v>0</v>
      </c>
      <c r="AC321" s="159">
        <v>0</v>
      </c>
      <c r="AD321" s="207">
        <v>60476</v>
      </c>
      <c r="AE321" s="200">
        <v>16.048313532103467</v>
      </c>
      <c r="AF321" s="200">
        <v>15.768295899404036</v>
      </c>
      <c r="AG321" s="200">
        <v>14.995157662591874</v>
      </c>
      <c r="AH321" s="200">
        <v>0</v>
      </c>
      <c r="AI321" s="200">
        <v>0</v>
      </c>
      <c r="AJ321" s="200">
        <v>0</v>
      </c>
      <c r="AL321" s="197">
        <f t="shared" si="36"/>
        <v>69327.613077850139</v>
      </c>
      <c r="AM321" s="197" t="str">
        <f t="shared" si="37"/>
        <v>Box Medium 4</v>
      </c>
      <c r="AN321" s="3">
        <f t="shared" si="38"/>
        <v>15.513913755568343</v>
      </c>
      <c r="AO321" s="3">
        <f t="shared" si="39"/>
        <v>5.9882813684911511</v>
      </c>
      <c r="AP321" s="3">
        <f t="shared" si="40"/>
        <v>0</v>
      </c>
      <c r="AQ321" s="3">
        <f t="shared" si="45"/>
        <v>0</v>
      </c>
      <c r="AR321" s="3">
        <f t="shared" si="46"/>
        <v>5.9882813684911511</v>
      </c>
      <c r="AS321" s="81">
        <f t="shared" si="47"/>
        <v>1</v>
      </c>
      <c r="AT321" s="81">
        <f t="shared" si="48"/>
        <v>0</v>
      </c>
    </row>
    <row r="322" spans="1:46" x14ac:dyDescent="0.25">
      <c r="A322" t="s">
        <v>808</v>
      </c>
      <c r="B322">
        <v>2023</v>
      </c>
      <c r="C322" t="s">
        <v>680</v>
      </c>
      <c r="D322" t="s">
        <v>830</v>
      </c>
      <c r="E322" t="s">
        <v>1028</v>
      </c>
      <c r="F322">
        <v>4</v>
      </c>
      <c r="G322" t="s">
        <v>2057</v>
      </c>
      <c r="H322" s="460">
        <v>4514.4864023828713</v>
      </c>
      <c r="I322">
        <v>1650</v>
      </c>
      <c r="J322">
        <v>160.0000000231087</v>
      </c>
      <c r="K322" s="67">
        <v>135.5445</v>
      </c>
      <c r="L322" s="159">
        <v>0</v>
      </c>
      <c r="M322" s="159">
        <v>11139</v>
      </c>
      <c r="N322" s="159">
        <v>220</v>
      </c>
      <c r="O322" s="159">
        <v>0</v>
      </c>
      <c r="P322" s="159">
        <v>0</v>
      </c>
      <c r="Q322" s="159">
        <v>1500</v>
      </c>
      <c r="R322" s="159">
        <v>2000</v>
      </c>
      <c r="S322" s="159">
        <v>27000</v>
      </c>
      <c r="T322" s="159">
        <v>3793</v>
      </c>
      <c r="U322" s="159">
        <v>47441</v>
      </c>
      <c r="V322" s="159">
        <v>4500</v>
      </c>
      <c r="W322" s="159">
        <v>186</v>
      </c>
      <c r="X322" s="159">
        <v>0</v>
      </c>
      <c r="Y322" s="159">
        <v>1500</v>
      </c>
      <c r="Z322" s="159">
        <v>8187</v>
      </c>
      <c r="AA322" s="159">
        <v>0</v>
      </c>
      <c r="AB322" s="159">
        <v>0</v>
      </c>
      <c r="AC322" s="159">
        <v>0</v>
      </c>
      <c r="AD322" s="207">
        <v>107466</v>
      </c>
      <c r="AE322" s="200">
        <v>60.291272657716959</v>
      </c>
      <c r="AF322" s="200">
        <v>40.470622643836705</v>
      </c>
      <c r="AG322" s="200">
        <v>25.119603001254625</v>
      </c>
      <c r="AH322" s="200">
        <v>573</v>
      </c>
      <c r="AI322" s="200">
        <v>829</v>
      </c>
      <c r="AJ322" s="200">
        <v>1047</v>
      </c>
      <c r="AL322" s="197">
        <f t="shared" si="36"/>
        <v>123195.33810146576</v>
      </c>
      <c r="AM322" s="197" t="str">
        <f t="shared" si="37"/>
        <v>Box Medium 4</v>
      </c>
      <c r="AN322" s="3">
        <f t="shared" si="38"/>
        <v>4.2489474021008746</v>
      </c>
      <c r="AO322" s="3">
        <f t="shared" si="39"/>
        <v>1.6400692284735099</v>
      </c>
      <c r="AP322" s="3">
        <f t="shared" si="40"/>
        <v>30.446642723103881</v>
      </c>
      <c r="AQ322" s="3">
        <f t="shared" si="45"/>
        <v>1.0960791380317396</v>
      </c>
      <c r="AR322" s="3">
        <f t="shared" si="46"/>
        <v>2.7361483665052493</v>
      </c>
      <c r="AS322" s="81">
        <f t="shared" si="47"/>
        <v>0.59940800307122655</v>
      </c>
      <c r="AT322" s="81">
        <f t="shared" si="48"/>
        <v>0.40059199692877356</v>
      </c>
    </row>
    <row r="323" spans="1:46" x14ac:dyDescent="0.25">
      <c r="A323" t="s">
        <v>808</v>
      </c>
      <c r="B323">
        <v>2023</v>
      </c>
      <c r="C323" t="s">
        <v>680</v>
      </c>
      <c r="D323" t="s">
        <v>830</v>
      </c>
      <c r="E323" t="s">
        <v>1028</v>
      </c>
      <c r="F323">
        <v>4</v>
      </c>
      <c r="G323" t="s">
        <v>2058</v>
      </c>
      <c r="H323" s="460">
        <v>4243.3147948381202</v>
      </c>
      <c r="I323">
        <v>1650</v>
      </c>
      <c r="J323">
        <v>160.0000000231087</v>
      </c>
      <c r="K323" s="67">
        <v>125.11800000000001</v>
      </c>
      <c r="L323" s="159">
        <v>0</v>
      </c>
      <c r="M323" s="159">
        <v>7139</v>
      </c>
      <c r="N323" s="159">
        <v>220</v>
      </c>
      <c r="O323" s="159">
        <v>0</v>
      </c>
      <c r="P323" s="159">
        <v>3093</v>
      </c>
      <c r="Q323" s="159">
        <v>1500</v>
      </c>
      <c r="R323" s="159">
        <v>2000</v>
      </c>
      <c r="S323" s="159">
        <v>27000</v>
      </c>
      <c r="T323" s="159">
        <v>2962</v>
      </c>
      <c r="U323" s="159">
        <v>43791</v>
      </c>
      <c r="V323" s="159">
        <v>4500</v>
      </c>
      <c r="W323" s="159">
        <v>186</v>
      </c>
      <c r="X323" s="159">
        <v>0</v>
      </c>
      <c r="Y323" s="159">
        <v>1500</v>
      </c>
      <c r="Z323" s="159">
        <v>5630</v>
      </c>
      <c r="AA323" s="159">
        <v>0</v>
      </c>
      <c r="AB323" s="159">
        <v>0</v>
      </c>
      <c r="AC323" s="159">
        <v>0</v>
      </c>
      <c r="AD323" s="207">
        <v>99521</v>
      </c>
      <c r="AE323" s="200">
        <v>17.308252731717573</v>
      </c>
      <c r="AF323" s="200">
        <v>14.713746041860112</v>
      </c>
      <c r="AG323" s="200">
        <v>11.492612317383571</v>
      </c>
      <c r="AH323" s="200">
        <v>580</v>
      </c>
      <c r="AI323" s="200">
        <v>686</v>
      </c>
      <c r="AJ323" s="200">
        <v>860</v>
      </c>
      <c r="AL323" s="197">
        <f t="shared" ref="AL323:AL386" si="49">AD323*USD2023_to_CAD2020</f>
        <v>114087.46248298042</v>
      </c>
      <c r="AM323" s="197" t="str">
        <f t="shared" ref="AM323:AM386" si="50">IF(AND(F323&lt;5, D323="School"), $BF$2, IF(F323&lt;5, $BA$2,
IF(AND(F323&lt;=7, D323="School"), $BE$2, IF(F323&lt;7, $AZ$2,
IF(AND(F323&lt;8, E323="DayCab"), $BC$2, IF(F323&lt;8, $AZ$2,
IF(VLOOKUP(D323, $BH$3:$BI$10, 2, FALSE)="Longhaul", $AY$2,
IF(VLOOKUP(D323, $BH$3:$BI$10, 2, FALSE)="Drayage", $BB$2,
IF(VLOOKUP(D323, $BH$3:$BI$10, 2, FALSE)="Regional", $BC$2,
IF(VLOOKUP(D323, $BH$3:$BI$10, 2, FALSE)="Transit", $BE$2,
IF(VLOOKUP(D323, $BH$3:$BI$10, 2, FALSE)="Vocational", $BD$2, NA())))))))))))</f>
        <v>Box Medium 4</v>
      </c>
      <c r="AN323" s="3">
        <f t="shared" ref="AN323:AN386" si="51">(IFERROR(L_100km_to_mpg/AE323 * HLOOKUP($AM323, $AY$2:$BF$6, 2, FALSE) +
L_100km_to_mpg/AF323 * HLOOKUP($AM323, $AY$2:$BF$6, 3, FALSE) +
L_100km_to_mpg/AG323 * HLOOKUP($AM323, $AY$2:$BF$6, 4, FALSE), 0)) *
IF(ISERROR(SEARCH("PHEV",$A323)), 1, 1-HLOOKUP($AM323, $AY$2:$BF$6, 5, FALSE))</f>
        <v>9.6878497365691238</v>
      </c>
      <c r="AO323" s="3">
        <f t="shared" ref="AO323:AO386" si="52">AN323*DSL_PJ_ML*10</f>
        <v>3.7394542081566118</v>
      </c>
      <c r="AP323" s="3">
        <f t="shared" ref="AP323:AP386" si="53">(AH323/km_mile/10 * HLOOKUP($AM323, $AY$2:$BF$6, 2, FALSE) +
AI323/km_mile/10 * HLOOKUP($AM323, $AY$2:$BF$6, 3, FALSE) +
AJ323/km_mile/10 * HLOOKUP($AM323, $AY$2:$BF$6, 4, FALSE)) *
IF(ISERROR(SEARCH("PHEV",$A323)), 1, HLOOKUP($AM323, $AY$2:$BF$6, 5, FALSE))</f>
        <v>25.362570991835167</v>
      </c>
      <c r="AQ323" s="3">
        <f t="shared" si="45"/>
        <v>0.91305255570606603</v>
      </c>
      <c r="AR323" s="3">
        <f t="shared" si="46"/>
        <v>4.6525067638626778</v>
      </c>
      <c r="AS323" s="81">
        <f t="shared" si="47"/>
        <v>0.80375040767312778</v>
      </c>
      <c r="AT323" s="81">
        <f t="shared" si="48"/>
        <v>0.1962495923268722</v>
      </c>
    </row>
    <row r="324" spans="1:46" x14ac:dyDescent="0.25">
      <c r="A324" t="s">
        <v>230</v>
      </c>
      <c r="B324">
        <v>2023</v>
      </c>
      <c r="C324" t="s">
        <v>680</v>
      </c>
      <c r="D324" t="s">
        <v>830</v>
      </c>
      <c r="E324" t="s">
        <v>1028</v>
      </c>
      <c r="F324">
        <v>4</v>
      </c>
      <c r="G324" t="s">
        <v>2059</v>
      </c>
      <c r="H324" s="460">
        <v>4221.2886038073757</v>
      </c>
      <c r="I324">
        <v>1650</v>
      </c>
      <c r="J324">
        <v>200.00000001335161</v>
      </c>
      <c r="K324" s="67">
        <v>174.768</v>
      </c>
      <c r="L324" s="159">
        <v>0</v>
      </c>
      <c r="M324" s="159">
        <v>0</v>
      </c>
      <c r="N324" s="159">
        <v>0</v>
      </c>
      <c r="O324" s="159">
        <v>0</v>
      </c>
      <c r="P324" s="159">
        <v>0</v>
      </c>
      <c r="Q324" s="159">
        <v>1500</v>
      </c>
      <c r="R324" s="159">
        <v>2000</v>
      </c>
      <c r="S324" s="159">
        <v>27000</v>
      </c>
      <c r="T324" s="159">
        <v>0</v>
      </c>
      <c r="U324" s="159">
        <v>61169</v>
      </c>
      <c r="V324" s="159">
        <v>4500</v>
      </c>
      <c r="W324" s="159">
        <v>186</v>
      </c>
      <c r="X324" s="159">
        <v>0</v>
      </c>
      <c r="Y324" s="159">
        <v>1500</v>
      </c>
      <c r="Z324" s="159">
        <v>6943</v>
      </c>
      <c r="AA324" s="159">
        <v>0</v>
      </c>
      <c r="AB324" s="159">
        <v>0</v>
      </c>
      <c r="AC324" s="159">
        <v>0</v>
      </c>
      <c r="AD324" s="207">
        <v>104798</v>
      </c>
      <c r="AE324" s="200">
        <v>0</v>
      </c>
      <c r="AF324" s="200">
        <v>0</v>
      </c>
      <c r="AG324" s="200">
        <v>0</v>
      </c>
      <c r="AH324" s="200">
        <v>545</v>
      </c>
      <c r="AI324" s="200">
        <v>789</v>
      </c>
      <c r="AJ324" s="200">
        <v>984</v>
      </c>
      <c r="AL324" s="197">
        <f t="shared" si="49"/>
        <v>120136.83436954394</v>
      </c>
      <c r="AM324" s="197" t="str">
        <f t="shared" si="50"/>
        <v>Box Medium 4</v>
      </c>
      <c r="AN324" s="3">
        <f t="shared" si="51"/>
        <v>0</v>
      </c>
      <c r="AO324" s="3">
        <f t="shared" si="52"/>
        <v>0</v>
      </c>
      <c r="AP324" s="3">
        <f t="shared" si="53"/>
        <v>57.324741819627924</v>
      </c>
      <c r="AQ324" s="3">
        <f t="shared" si="45"/>
        <v>2.0636907055066054</v>
      </c>
      <c r="AR324" s="3">
        <f t="shared" si="46"/>
        <v>2.0636907055066054</v>
      </c>
      <c r="AS324" s="81">
        <f t="shared" si="47"/>
        <v>0</v>
      </c>
      <c r="AT324" s="81">
        <f t="shared" si="48"/>
        <v>1</v>
      </c>
    </row>
    <row r="325" spans="1:46" x14ac:dyDescent="0.25">
      <c r="A325" t="s">
        <v>496</v>
      </c>
      <c r="B325">
        <v>2023</v>
      </c>
      <c r="C325" t="s">
        <v>680</v>
      </c>
      <c r="D325" t="s">
        <v>830</v>
      </c>
      <c r="E325" t="s">
        <v>1028</v>
      </c>
      <c r="F325">
        <v>4</v>
      </c>
      <c r="G325" t="s">
        <v>2060</v>
      </c>
      <c r="H325" s="460">
        <v>3551.0620296367615</v>
      </c>
      <c r="I325">
        <v>1650</v>
      </c>
      <c r="J325">
        <v>200.00000001335161</v>
      </c>
      <c r="K325" s="67">
        <v>3.6432000000000002</v>
      </c>
      <c r="L325" s="159">
        <v>0</v>
      </c>
      <c r="M325" s="159">
        <v>0</v>
      </c>
      <c r="N325" s="159">
        <v>0</v>
      </c>
      <c r="O325" s="159">
        <v>0</v>
      </c>
      <c r="P325" s="159">
        <v>0</v>
      </c>
      <c r="Q325" s="159">
        <v>1500</v>
      </c>
      <c r="R325" s="159">
        <v>2000</v>
      </c>
      <c r="S325" s="159">
        <v>27000</v>
      </c>
      <c r="T325" s="159">
        <v>0</v>
      </c>
      <c r="U325" s="159">
        <v>2550</v>
      </c>
      <c r="V325" s="159">
        <v>4500</v>
      </c>
      <c r="W325" s="159">
        <v>186</v>
      </c>
      <c r="X325" s="159">
        <v>0</v>
      </c>
      <c r="Y325" s="159">
        <v>1500</v>
      </c>
      <c r="Z325" s="159">
        <v>7354</v>
      </c>
      <c r="AA325" s="159">
        <v>34571</v>
      </c>
      <c r="AB325" s="159">
        <v>9560</v>
      </c>
      <c r="AC325" s="159">
        <v>0</v>
      </c>
      <c r="AD325" s="207">
        <v>90721</v>
      </c>
      <c r="AE325" s="200">
        <v>37.905200512370591</v>
      </c>
      <c r="AF325" s="200">
        <v>29.296665386331934</v>
      </c>
      <c r="AG325" s="200">
        <v>22.83966193829179</v>
      </c>
      <c r="AH325" s="200">
        <v>0</v>
      </c>
      <c r="AI325" s="200">
        <v>0</v>
      </c>
      <c r="AJ325" s="200">
        <v>0</v>
      </c>
      <c r="AL325" s="197">
        <f t="shared" si="49"/>
        <v>103999.4441767915</v>
      </c>
      <c r="AM325" s="197" t="str">
        <f t="shared" si="50"/>
        <v>Box Medium 4</v>
      </c>
      <c r="AN325" s="3">
        <f t="shared" si="51"/>
        <v>9.6849367627644192</v>
      </c>
      <c r="AO325" s="3">
        <f t="shared" si="52"/>
        <v>3.73832981704316</v>
      </c>
      <c r="AP325" s="3">
        <f t="shared" si="53"/>
        <v>0</v>
      </c>
      <c r="AQ325" s="3">
        <f t="shared" si="45"/>
        <v>0</v>
      </c>
      <c r="AR325" s="3">
        <f t="shared" si="46"/>
        <v>3.73832981704316</v>
      </c>
      <c r="AS325" s="81">
        <f t="shared" si="47"/>
        <v>1</v>
      </c>
      <c r="AT325" s="81">
        <f t="shared" si="48"/>
        <v>0</v>
      </c>
    </row>
    <row r="326" spans="1:46" x14ac:dyDescent="0.25">
      <c r="A326" t="s">
        <v>828</v>
      </c>
      <c r="B326">
        <v>2023</v>
      </c>
      <c r="C326" t="s">
        <v>680</v>
      </c>
      <c r="D326" t="s">
        <v>830</v>
      </c>
      <c r="E326" t="s">
        <v>1028</v>
      </c>
      <c r="F326">
        <v>4</v>
      </c>
      <c r="G326" t="s">
        <v>2061</v>
      </c>
      <c r="H326" s="460">
        <v>3620.4086119299272</v>
      </c>
      <c r="I326">
        <v>1650</v>
      </c>
      <c r="J326">
        <v>200.00000001335161</v>
      </c>
      <c r="K326" s="67">
        <v>35.747999999999998</v>
      </c>
      <c r="L326" s="159">
        <v>0</v>
      </c>
      <c r="M326" s="159">
        <v>0</v>
      </c>
      <c r="N326" s="159">
        <v>0</v>
      </c>
      <c r="O326" s="159">
        <v>0</v>
      </c>
      <c r="P326" s="159">
        <v>0</v>
      </c>
      <c r="Q326" s="159">
        <v>1500</v>
      </c>
      <c r="R326" s="159">
        <v>2000</v>
      </c>
      <c r="S326" s="159">
        <v>27000</v>
      </c>
      <c r="T326" s="159">
        <v>0</v>
      </c>
      <c r="U326" s="159">
        <v>12512</v>
      </c>
      <c r="V326" s="159">
        <v>4500</v>
      </c>
      <c r="W326" s="159">
        <v>186</v>
      </c>
      <c r="X326" s="159">
        <v>0</v>
      </c>
      <c r="Y326" s="159">
        <v>1500</v>
      </c>
      <c r="Z326" s="159">
        <v>9377</v>
      </c>
      <c r="AA326" s="159">
        <v>13359</v>
      </c>
      <c r="AB326" s="159">
        <v>7233</v>
      </c>
      <c r="AC326" s="159">
        <v>0</v>
      </c>
      <c r="AD326" s="207">
        <v>79167</v>
      </c>
      <c r="AE326" s="200">
        <v>39.026681214142293</v>
      </c>
      <c r="AF326" s="200">
        <v>26.403214698089453</v>
      </c>
      <c r="AG326" s="200">
        <v>20.178202767652348</v>
      </c>
      <c r="AH326" s="200">
        <v>0</v>
      </c>
      <c r="AI326" s="200">
        <v>0</v>
      </c>
      <c r="AJ326" s="200">
        <v>0</v>
      </c>
      <c r="AL326" s="197">
        <f t="shared" si="49"/>
        <v>90754.334687052091</v>
      </c>
      <c r="AM326" s="197" t="str">
        <f t="shared" si="50"/>
        <v>Box Medium 4</v>
      </c>
      <c r="AN326" s="3">
        <f t="shared" si="51"/>
        <v>10.846557525893759</v>
      </c>
      <c r="AO326" s="3">
        <f t="shared" si="52"/>
        <v>4.1867087420970126</v>
      </c>
      <c r="AP326" s="3">
        <f t="shared" si="53"/>
        <v>0</v>
      </c>
      <c r="AQ326" s="3">
        <f t="shared" si="45"/>
        <v>0</v>
      </c>
      <c r="AR326" s="3">
        <f t="shared" si="46"/>
        <v>4.1867087420970126</v>
      </c>
      <c r="AS326" s="81">
        <f t="shared" si="47"/>
        <v>1</v>
      </c>
      <c r="AT326" s="81">
        <f t="shared" si="48"/>
        <v>0</v>
      </c>
    </row>
    <row r="327" spans="1:46" x14ac:dyDescent="0.25">
      <c r="A327" t="s">
        <v>805</v>
      </c>
      <c r="B327">
        <v>2025</v>
      </c>
      <c r="C327" t="s">
        <v>680</v>
      </c>
      <c r="D327" t="s">
        <v>830</v>
      </c>
      <c r="E327" t="s">
        <v>1028</v>
      </c>
      <c r="F327">
        <v>4</v>
      </c>
      <c r="G327" t="s">
        <v>2062</v>
      </c>
      <c r="H327" s="460">
        <v>3436.5224167240503</v>
      </c>
      <c r="I327">
        <v>1650</v>
      </c>
      <c r="J327">
        <v>0</v>
      </c>
      <c r="K327" s="67">
        <v>0</v>
      </c>
      <c r="L327" s="159">
        <v>150</v>
      </c>
      <c r="M327" s="159">
        <v>20584</v>
      </c>
      <c r="N327" s="159">
        <v>1920</v>
      </c>
      <c r="O327" s="159">
        <v>506</v>
      </c>
      <c r="P327" s="159">
        <v>5468</v>
      </c>
      <c r="Q327" s="159">
        <v>1500</v>
      </c>
      <c r="R327" s="159">
        <v>2000</v>
      </c>
      <c r="S327" s="159">
        <v>27118</v>
      </c>
      <c r="T327" s="159">
        <v>92</v>
      </c>
      <c r="U327" s="159">
        <v>120</v>
      </c>
      <c r="V327" s="159">
        <v>0</v>
      </c>
      <c r="W327" s="159">
        <v>186</v>
      </c>
      <c r="X327" s="159">
        <v>0</v>
      </c>
      <c r="Y327" s="159">
        <v>0</v>
      </c>
      <c r="Z327" s="159">
        <v>0</v>
      </c>
      <c r="AA327" s="159">
        <v>0</v>
      </c>
      <c r="AB327" s="159">
        <v>0</v>
      </c>
      <c r="AC327" s="159">
        <v>0</v>
      </c>
      <c r="AD327" s="207">
        <v>59644</v>
      </c>
      <c r="AE327" s="200">
        <v>13.703019122064623</v>
      </c>
      <c r="AF327" s="200">
        <v>21.207634773588588</v>
      </c>
      <c r="AG327" s="200">
        <v>17.168389247648655</v>
      </c>
      <c r="AH327" s="200">
        <v>0</v>
      </c>
      <c r="AI327" s="200">
        <v>0</v>
      </c>
      <c r="AJ327" s="200">
        <v>0</v>
      </c>
      <c r="AL327" s="197">
        <f t="shared" si="49"/>
        <v>68373.83680162864</v>
      </c>
      <c r="AM327" s="197" t="str">
        <f t="shared" si="50"/>
        <v>Box Medium 4</v>
      </c>
      <c r="AN327" s="3">
        <f t="shared" si="51"/>
        <v>13.812101914119092</v>
      </c>
      <c r="AO327" s="3">
        <f t="shared" si="52"/>
        <v>5.3313917980453702</v>
      </c>
      <c r="AP327" s="3">
        <f t="shared" si="53"/>
        <v>0</v>
      </c>
      <c r="AQ327" s="3">
        <f t="shared" si="45"/>
        <v>0</v>
      </c>
      <c r="AR327" s="3">
        <f t="shared" si="46"/>
        <v>5.3313917980453702</v>
      </c>
      <c r="AS327" s="81">
        <f t="shared" si="47"/>
        <v>1</v>
      </c>
      <c r="AT327" s="81">
        <f t="shared" si="48"/>
        <v>0</v>
      </c>
    </row>
    <row r="328" spans="1:46" x14ac:dyDescent="0.25">
      <c r="A328" t="s">
        <v>805</v>
      </c>
      <c r="B328">
        <v>2025</v>
      </c>
      <c r="C328" t="s">
        <v>680</v>
      </c>
      <c r="D328" t="s">
        <v>830</v>
      </c>
      <c r="E328" t="s">
        <v>1028</v>
      </c>
      <c r="F328">
        <v>4</v>
      </c>
      <c r="G328" t="s">
        <v>2063</v>
      </c>
      <c r="H328" s="460">
        <v>3187.1498351165737</v>
      </c>
      <c r="I328">
        <v>1650</v>
      </c>
      <c r="J328">
        <v>0</v>
      </c>
      <c r="K328" s="67">
        <v>0</v>
      </c>
      <c r="L328" s="159">
        <v>150</v>
      </c>
      <c r="M328" s="159">
        <v>28021</v>
      </c>
      <c r="N328" s="159">
        <v>1920</v>
      </c>
      <c r="O328" s="159">
        <v>506</v>
      </c>
      <c r="P328" s="159">
        <v>3910</v>
      </c>
      <c r="Q328" s="159">
        <v>1500</v>
      </c>
      <c r="R328" s="159">
        <v>2000</v>
      </c>
      <c r="S328" s="159">
        <v>27118</v>
      </c>
      <c r="T328" s="159">
        <v>92</v>
      </c>
      <c r="U328" s="159">
        <v>120</v>
      </c>
      <c r="V328" s="159">
        <v>0</v>
      </c>
      <c r="W328" s="159">
        <v>186</v>
      </c>
      <c r="X328" s="159">
        <v>0</v>
      </c>
      <c r="Y328" s="159">
        <v>0</v>
      </c>
      <c r="Z328" s="159">
        <v>0</v>
      </c>
      <c r="AA328" s="159">
        <v>0</v>
      </c>
      <c r="AB328" s="159">
        <v>0</v>
      </c>
      <c r="AC328" s="159">
        <v>0</v>
      </c>
      <c r="AD328" s="207">
        <v>65523</v>
      </c>
      <c r="AE328" s="200">
        <v>9.691460173347167</v>
      </c>
      <c r="AF328" s="200">
        <v>14.451081187241691</v>
      </c>
      <c r="AG328" s="200">
        <v>11.875004590175756</v>
      </c>
      <c r="AH328" s="200">
        <v>0</v>
      </c>
      <c r="AI328" s="200">
        <v>0</v>
      </c>
      <c r="AJ328" s="200">
        <v>0</v>
      </c>
      <c r="AL328" s="197">
        <f t="shared" si="49"/>
        <v>75113.320849592812</v>
      </c>
      <c r="AM328" s="197" t="str">
        <f t="shared" si="50"/>
        <v>Box Medium 4</v>
      </c>
      <c r="AN328" s="3">
        <f t="shared" si="51"/>
        <v>19.936073819388977</v>
      </c>
      <c r="AO328" s="3">
        <f t="shared" si="52"/>
        <v>7.6952096868955238</v>
      </c>
      <c r="AP328" s="3">
        <f t="shared" si="53"/>
        <v>0</v>
      </c>
      <c r="AQ328" s="3">
        <f t="shared" si="45"/>
        <v>0</v>
      </c>
      <c r="AR328" s="3">
        <f t="shared" si="46"/>
        <v>7.6952096868955238</v>
      </c>
      <c r="AS328" s="81">
        <f t="shared" si="47"/>
        <v>1</v>
      </c>
      <c r="AT328" s="81">
        <f t="shared" si="48"/>
        <v>0</v>
      </c>
    </row>
    <row r="329" spans="1:46" x14ac:dyDescent="0.25">
      <c r="A329" t="s">
        <v>807</v>
      </c>
      <c r="B329">
        <v>2025</v>
      </c>
      <c r="C329" t="s">
        <v>680</v>
      </c>
      <c r="D329" t="s">
        <v>830</v>
      </c>
      <c r="E329" t="s">
        <v>1028</v>
      </c>
      <c r="F329">
        <v>4</v>
      </c>
      <c r="G329" t="s">
        <v>2064</v>
      </c>
      <c r="H329" s="460">
        <v>3413.6149521513798</v>
      </c>
      <c r="I329">
        <v>1650</v>
      </c>
      <c r="J329">
        <v>0</v>
      </c>
      <c r="K329" s="67">
        <v>2.5344000000000002</v>
      </c>
      <c r="L329" s="159">
        <v>150</v>
      </c>
      <c r="M329" s="159">
        <v>16631</v>
      </c>
      <c r="N329" s="159">
        <v>220</v>
      </c>
      <c r="O329" s="159">
        <v>392</v>
      </c>
      <c r="P329" s="159">
        <v>4763</v>
      </c>
      <c r="Q329" s="159">
        <v>1500</v>
      </c>
      <c r="R329" s="159">
        <v>2000</v>
      </c>
      <c r="S329" s="159">
        <v>27118</v>
      </c>
      <c r="T329" s="159">
        <v>0</v>
      </c>
      <c r="U329" s="159">
        <v>1197</v>
      </c>
      <c r="V329" s="159">
        <v>4500</v>
      </c>
      <c r="W329" s="159">
        <v>186</v>
      </c>
      <c r="X329" s="159">
        <v>120</v>
      </c>
      <c r="Y329" s="159">
        <v>1500</v>
      </c>
      <c r="Z329" s="159">
        <v>2237</v>
      </c>
      <c r="AA329" s="159">
        <v>0</v>
      </c>
      <c r="AB329" s="159">
        <v>0</v>
      </c>
      <c r="AC329" s="159">
        <v>0</v>
      </c>
      <c r="AD329" s="207">
        <v>62514</v>
      </c>
      <c r="AE329" s="200">
        <v>23.329443730114654</v>
      </c>
      <c r="AF329" s="200">
        <v>23.395984595285569</v>
      </c>
      <c r="AG329" s="200">
        <v>18.642766726133019</v>
      </c>
      <c r="AH329" s="200">
        <v>0</v>
      </c>
      <c r="AI329" s="200">
        <v>0</v>
      </c>
      <c r="AJ329" s="200">
        <v>0</v>
      </c>
      <c r="AL329" s="197">
        <f t="shared" si="49"/>
        <v>71663.906408306168</v>
      </c>
      <c r="AM329" s="197" t="str">
        <f t="shared" si="50"/>
        <v>Box Medium 4</v>
      </c>
      <c r="AN329" s="3">
        <f t="shared" si="51"/>
        <v>12.132802622081854</v>
      </c>
      <c r="AO329" s="3">
        <f t="shared" si="52"/>
        <v>4.6831919420278929</v>
      </c>
      <c r="AP329" s="3">
        <f t="shared" si="53"/>
        <v>0</v>
      </c>
      <c r="AQ329" s="3">
        <f t="shared" si="45"/>
        <v>0</v>
      </c>
      <c r="AR329" s="3">
        <f t="shared" si="46"/>
        <v>4.6831919420278929</v>
      </c>
      <c r="AS329" s="81">
        <f t="shared" si="47"/>
        <v>1</v>
      </c>
      <c r="AT329" s="81">
        <f t="shared" si="48"/>
        <v>0</v>
      </c>
    </row>
    <row r="330" spans="1:46" x14ac:dyDescent="0.25">
      <c r="A330" t="s">
        <v>807</v>
      </c>
      <c r="B330">
        <v>2025</v>
      </c>
      <c r="C330" t="s">
        <v>680</v>
      </c>
      <c r="D330" t="s">
        <v>830</v>
      </c>
      <c r="E330" t="s">
        <v>1028</v>
      </c>
      <c r="F330">
        <v>4</v>
      </c>
      <c r="G330" t="s">
        <v>2065</v>
      </c>
      <c r="H330" s="460">
        <v>3192.1984703108437</v>
      </c>
      <c r="I330">
        <v>1650</v>
      </c>
      <c r="J330">
        <v>0</v>
      </c>
      <c r="K330" s="67">
        <v>3.7065600000000005</v>
      </c>
      <c r="L330" s="159">
        <v>150</v>
      </c>
      <c r="M330" s="159">
        <v>15782</v>
      </c>
      <c r="N330" s="159">
        <v>220</v>
      </c>
      <c r="O330" s="159">
        <v>392</v>
      </c>
      <c r="P330" s="159">
        <v>3015</v>
      </c>
      <c r="Q330" s="159">
        <v>1500</v>
      </c>
      <c r="R330" s="159">
        <v>2000</v>
      </c>
      <c r="S330" s="159">
        <v>27118</v>
      </c>
      <c r="T330" s="159">
        <v>0</v>
      </c>
      <c r="U330" s="159">
        <v>1751</v>
      </c>
      <c r="V330" s="159">
        <v>4500</v>
      </c>
      <c r="W330" s="159">
        <v>186</v>
      </c>
      <c r="X330" s="159">
        <v>120</v>
      </c>
      <c r="Y330" s="159">
        <v>1500</v>
      </c>
      <c r="Z330" s="159">
        <v>2350</v>
      </c>
      <c r="AA330" s="159">
        <v>0</v>
      </c>
      <c r="AB330" s="159">
        <v>0</v>
      </c>
      <c r="AC330" s="159">
        <v>0</v>
      </c>
      <c r="AD330" s="207">
        <v>60584</v>
      </c>
      <c r="AE330" s="200">
        <v>19.095122927199835</v>
      </c>
      <c r="AF330" s="200">
        <v>17.740567517368632</v>
      </c>
      <c r="AG330" s="200">
        <v>16.993971315710514</v>
      </c>
      <c r="AH330" s="200">
        <v>0</v>
      </c>
      <c r="AI330" s="200">
        <v>0</v>
      </c>
      <c r="AJ330" s="200">
        <v>0</v>
      </c>
      <c r="AL330" s="197">
        <f t="shared" si="49"/>
        <v>69451.420575244279</v>
      </c>
      <c r="AM330" s="197" t="str">
        <f t="shared" si="50"/>
        <v>Box Medium 4</v>
      </c>
      <c r="AN330" s="3">
        <f t="shared" si="51"/>
        <v>13.636365925217362</v>
      </c>
      <c r="AO330" s="3">
        <f t="shared" si="52"/>
        <v>5.2635587183535435</v>
      </c>
      <c r="AP330" s="3">
        <f t="shared" si="53"/>
        <v>0</v>
      </c>
      <c r="AQ330" s="3">
        <f t="shared" si="45"/>
        <v>0</v>
      </c>
      <c r="AR330" s="3">
        <f t="shared" si="46"/>
        <v>5.2635587183535435</v>
      </c>
      <c r="AS330" s="81">
        <f t="shared" si="47"/>
        <v>1</v>
      </c>
      <c r="AT330" s="81">
        <f t="shared" si="48"/>
        <v>0</v>
      </c>
    </row>
    <row r="331" spans="1:46" x14ac:dyDescent="0.25">
      <c r="A331" t="s">
        <v>808</v>
      </c>
      <c r="B331">
        <v>2025</v>
      </c>
      <c r="C331" t="s">
        <v>680</v>
      </c>
      <c r="D331" t="s">
        <v>830</v>
      </c>
      <c r="E331" t="s">
        <v>1028</v>
      </c>
      <c r="F331">
        <v>4</v>
      </c>
      <c r="G331" t="s">
        <v>2066</v>
      </c>
      <c r="H331" s="460">
        <v>4200.584380532393</v>
      </c>
      <c r="I331">
        <v>1650</v>
      </c>
      <c r="J331">
        <v>160.0000000231087</v>
      </c>
      <c r="K331" s="67">
        <v>126.6075</v>
      </c>
      <c r="L331" s="159">
        <v>0</v>
      </c>
      <c r="M331" s="159">
        <v>11267</v>
      </c>
      <c r="N331" s="159">
        <v>220</v>
      </c>
      <c r="O331" s="159">
        <v>0</v>
      </c>
      <c r="P331" s="159">
        <v>0</v>
      </c>
      <c r="Q331" s="159">
        <v>1500</v>
      </c>
      <c r="R331" s="159">
        <v>2000</v>
      </c>
      <c r="S331" s="159">
        <v>27118</v>
      </c>
      <c r="T331" s="159">
        <v>3351</v>
      </c>
      <c r="U331" s="159">
        <v>35450</v>
      </c>
      <c r="V331" s="159">
        <v>4500</v>
      </c>
      <c r="W331" s="159">
        <v>186</v>
      </c>
      <c r="X331" s="159">
        <v>0</v>
      </c>
      <c r="Y331" s="159">
        <v>1500</v>
      </c>
      <c r="Z331" s="159">
        <v>6852</v>
      </c>
      <c r="AA331" s="159">
        <v>0</v>
      </c>
      <c r="AB331" s="159">
        <v>0</v>
      </c>
      <c r="AC331" s="159">
        <v>0</v>
      </c>
      <c r="AD331" s="207">
        <v>93944</v>
      </c>
      <c r="AE331" s="200">
        <v>65.835278357343554</v>
      </c>
      <c r="AF331" s="200">
        <v>44.09719681095234</v>
      </c>
      <c r="AG331" s="200">
        <v>28.015611817363972</v>
      </c>
      <c r="AH331" s="200">
        <v>525</v>
      </c>
      <c r="AI331" s="200">
        <v>761</v>
      </c>
      <c r="AJ331" s="200">
        <v>965</v>
      </c>
      <c r="AL331" s="197">
        <f t="shared" si="49"/>
        <v>107694.18088143319</v>
      </c>
      <c r="AM331" s="197" t="str">
        <f t="shared" si="50"/>
        <v>Box Medium 4</v>
      </c>
      <c r="AN331" s="3">
        <f t="shared" si="51"/>
        <v>3.8189925900979791</v>
      </c>
      <c r="AO331" s="3">
        <f t="shared" si="52"/>
        <v>1.4741091470539565</v>
      </c>
      <c r="AP331" s="3">
        <f t="shared" si="53"/>
        <v>28.043794350479079</v>
      </c>
      <c r="AQ331" s="3">
        <f t="shared" si="45"/>
        <v>1.009576596617247</v>
      </c>
      <c r="AR331" s="3">
        <f t="shared" si="46"/>
        <v>2.4836857436712032</v>
      </c>
      <c r="AS331" s="81">
        <f t="shared" si="47"/>
        <v>0.59351677272787162</v>
      </c>
      <c r="AT331" s="81">
        <f t="shared" si="48"/>
        <v>0.40648322727212843</v>
      </c>
    </row>
    <row r="332" spans="1:46" x14ac:dyDescent="0.25">
      <c r="A332" t="s">
        <v>808</v>
      </c>
      <c r="B332">
        <v>2025</v>
      </c>
      <c r="C332" t="s">
        <v>680</v>
      </c>
      <c r="D332" t="s">
        <v>830</v>
      </c>
      <c r="E332" t="s">
        <v>1028</v>
      </c>
      <c r="F332">
        <v>4</v>
      </c>
      <c r="G332" t="s">
        <v>2067</v>
      </c>
      <c r="H332" s="460">
        <v>3987.5590521093081</v>
      </c>
      <c r="I332">
        <v>1650</v>
      </c>
      <c r="J332">
        <v>160.0000000231087</v>
      </c>
      <c r="K332" s="67">
        <v>116.05687500000001</v>
      </c>
      <c r="L332" s="159">
        <v>0</v>
      </c>
      <c r="M332" s="159">
        <v>7350</v>
      </c>
      <c r="N332" s="159">
        <v>220</v>
      </c>
      <c r="O332" s="159">
        <v>0</v>
      </c>
      <c r="P332" s="159">
        <v>3062</v>
      </c>
      <c r="Q332" s="159">
        <v>1500</v>
      </c>
      <c r="R332" s="159">
        <v>2000</v>
      </c>
      <c r="S332" s="159">
        <v>27118</v>
      </c>
      <c r="T332" s="159">
        <v>2567</v>
      </c>
      <c r="U332" s="159">
        <v>32496</v>
      </c>
      <c r="V332" s="159">
        <v>4500</v>
      </c>
      <c r="W332" s="159">
        <v>186</v>
      </c>
      <c r="X332" s="159">
        <v>0</v>
      </c>
      <c r="Y332" s="159">
        <v>1500</v>
      </c>
      <c r="Z332" s="159">
        <v>4705</v>
      </c>
      <c r="AA332" s="159">
        <v>0</v>
      </c>
      <c r="AB332" s="159">
        <v>0</v>
      </c>
      <c r="AC332" s="159">
        <v>0</v>
      </c>
      <c r="AD332" s="207">
        <v>87204</v>
      </c>
      <c r="AE332" s="200">
        <v>20.031778207971108</v>
      </c>
      <c r="AF332" s="200">
        <v>16.888315315804046</v>
      </c>
      <c r="AG332" s="200">
        <v>13.369722120003795</v>
      </c>
      <c r="AH332" s="200">
        <v>534</v>
      </c>
      <c r="AI332" s="200">
        <v>629</v>
      </c>
      <c r="AJ332" s="200">
        <v>787</v>
      </c>
      <c r="AL332" s="197">
        <f t="shared" si="49"/>
        <v>99967.675951465775</v>
      </c>
      <c r="AM332" s="197" t="str">
        <f t="shared" si="50"/>
        <v>Box Medium 4</v>
      </c>
      <c r="AN332" s="3">
        <f t="shared" si="51"/>
        <v>8.3390641282327955</v>
      </c>
      <c r="AO332" s="3">
        <f t="shared" si="52"/>
        <v>3.2188307306933295</v>
      </c>
      <c r="AP332" s="3">
        <f t="shared" si="53"/>
        <v>23.223184659549879</v>
      </c>
      <c r="AQ332" s="3">
        <f t="shared" si="45"/>
        <v>0.83603464774379577</v>
      </c>
      <c r="AR332" s="3">
        <f t="shared" si="46"/>
        <v>4.0548653784371256</v>
      </c>
      <c r="AS332" s="81">
        <f t="shared" si="47"/>
        <v>0.79381938246590311</v>
      </c>
      <c r="AT332" s="81">
        <f t="shared" si="48"/>
        <v>0.20618061753409683</v>
      </c>
    </row>
    <row r="333" spans="1:46" x14ac:dyDescent="0.25">
      <c r="A333" t="s">
        <v>230</v>
      </c>
      <c r="B333">
        <v>2025</v>
      </c>
      <c r="C333" t="s">
        <v>680</v>
      </c>
      <c r="D333" t="s">
        <v>830</v>
      </c>
      <c r="E333" t="s">
        <v>1028</v>
      </c>
      <c r="F333">
        <v>4</v>
      </c>
      <c r="G333" t="s">
        <v>2068</v>
      </c>
      <c r="H333" s="460">
        <v>3920.4137099085774</v>
      </c>
      <c r="I333">
        <v>1650</v>
      </c>
      <c r="J333">
        <v>200.00000001335161</v>
      </c>
      <c r="K333" s="67">
        <v>165.08625000000001</v>
      </c>
      <c r="L333" s="159">
        <v>0</v>
      </c>
      <c r="M333" s="159">
        <v>0</v>
      </c>
      <c r="N333" s="159">
        <v>0</v>
      </c>
      <c r="O333" s="159">
        <v>0</v>
      </c>
      <c r="P333" s="159">
        <v>0</v>
      </c>
      <c r="Q333" s="159">
        <v>1500</v>
      </c>
      <c r="R333" s="159">
        <v>2000</v>
      </c>
      <c r="S333" s="159">
        <v>27118</v>
      </c>
      <c r="T333" s="159">
        <v>0</v>
      </c>
      <c r="U333" s="159">
        <v>46224</v>
      </c>
      <c r="V333" s="159">
        <v>4500</v>
      </c>
      <c r="W333" s="159">
        <v>186</v>
      </c>
      <c r="X333" s="159">
        <v>0</v>
      </c>
      <c r="Y333" s="159">
        <v>1500</v>
      </c>
      <c r="Z333" s="159">
        <v>5808</v>
      </c>
      <c r="AA333" s="159">
        <v>0</v>
      </c>
      <c r="AB333" s="159">
        <v>0</v>
      </c>
      <c r="AC333" s="159">
        <v>0</v>
      </c>
      <c r="AD333" s="207">
        <v>88836</v>
      </c>
      <c r="AE333" s="200">
        <v>0</v>
      </c>
      <c r="AF333" s="200">
        <v>0</v>
      </c>
      <c r="AG333" s="200">
        <v>0</v>
      </c>
      <c r="AH333" s="200">
        <v>499</v>
      </c>
      <c r="AI333" s="200">
        <v>725</v>
      </c>
      <c r="AJ333" s="200">
        <v>907</v>
      </c>
      <c r="AL333" s="197">
        <f t="shared" si="49"/>
        <v>101838.54480097716</v>
      </c>
      <c r="AM333" s="197" t="str">
        <f t="shared" si="50"/>
        <v>Box Medium 4</v>
      </c>
      <c r="AN333" s="3">
        <f t="shared" si="51"/>
        <v>0</v>
      </c>
      <c r="AO333" s="3">
        <f t="shared" si="52"/>
        <v>0</v>
      </c>
      <c r="AP333" s="3">
        <f t="shared" si="53"/>
        <v>52.80549790597388</v>
      </c>
      <c r="AQ333" s="3">
        <f t="shared" si="45"/>
        <v>1.9009979246150599</v>
      </c>
      <c r="AR333" s="3">
        <f t="shared" si="46"/>
        <v>1.9009979246150599</v>
      </c>
      <c r="AS333" s="81">
        <f t="shared" si="47"/>
        <v>0</v>
      </c>
      <c r="AT333" s="81">
        <f t="shared" si="48"/>
        <v>1</v>
      </c>
    </row>
    <row r="334" spans="1:46" x14ac:dyDescent="0.25">
      <c r="A334" t="s">
        <v>496</v>
      </c>
      <c r="B334">
        <v>2025</v>
      </c>
      <c r="C334" t="s">
        <v>680</v>
      </c>
      <c r="D334" t="s">
        <v>830</v>
      </c>
      <c r="E334" t="s">
        <v>1028</v>
      </c>
      <c r="F334">
        <v>4</v>
      </c>
      <c r="G334" t="s">
        <v>2069</v>
      </c>
      <c r="H334" s="460">
        <v>3337.8371812959576</v>
      </c>
      <c r="I334">
        <v>1650</v>
      </c>
      <c r="J334">
        <v>200.00000001335161</v>
      </c>
      <c r="K334" s="67">
        <v>3.6115200000000005</v>
      </c>
      <c r="L334" s="159">
        <v>0</v>
      </c>
      <c r="M334" s="159">
        <v>0</v>
      </c>
      <c r="N334" s="159">
        <v>0</v>
      </c>
      <c r="O334" s="159">
        <v>0</v>
      </c>
      <c r="P334" s="159">
        <v>0</v>
      </c>
      <c r="Q334" s="159">
        <v>1500</v>
      </c>
      <c r="R334" s="159">
        <v>2000</v>
      </c>
      <c r="S334" s="159">
        <v>27118</v>
      </c>
      <c r="T334" s="159">
        <v>0</v>
      </c>
      <c r="U334" s="159">
        <v>1706</v>
      </c>
      <c r="V334" s="159">
        <v>4500</v>
      </c>
      <c r="W334" s="159">
        <v>186</v>
      </c>
      <c r="X334" s="159">
        <v>0</v>
      </c>
      <c r="Y334" s="159">
        <v>1500</v>
      </c>
      <c r="Z334" s="159">
        <v>6154</v>
      </c>
      <c r="AA334" s="159">
        <v>25240</v>
      </c>
      <c r="AB334" s="159">
        <v>7232</v>
      </c>
      <c r="AC334" s="159">
        <v>0</v>
      </c>
      <c r="AD334" s="207">
        <v>77136</v>
      </c>
      <c r="AE334" s="200">
        <v>40.589569530428584</v>
      </c>
      <c r="AF334" s="200">
        <v>31.863410702510585</v>
      </c>
      <c r="AG334" s="200">
        <v>24.825999841763462</v>
      </c>
      <c r="AH334" s="200">
        <v>0</v>
      </c>
      <c r="AI334" s="200">
        <v>0</v>
      </c>
      <c r="AJ334" s="200">
        <v>0</v>
      </c>
      <c r="AL334" s="197">
        <f t="shared" si="49"/>
        <v>88426.065916612351</v>
      </c>
      <c r="AM334" s="197" t="str">
        <f t="shared" si="50"/>
        <v>Box Medium 4</v>
      </c>
      <c r="AN334" s="3">
        <f t="shared" si="51"/>
        <v>8.9182584495016606</v>
      </c>
      <c r="AO334" s="3">
        <f t="shared" si="52"/>
        <v>3.4423964032526042</v>
      </c>
      <c r="AP334" s="3">
        <f t="shared" si="53"/>
        <v>0</v>
      </c>
      <c r="AQ334" s="3">
        <f t="shared" si="45"/>
        <v>0</v>
      </c>
      <c r="AR334" s="3">
        <f t="shared" si="46"/>
        <v>3.4423964032526042</v>
      </c>
      <c r="AS334" s="81">
        <f t="shared" si="47"/>
        <v>1</v>
      </c>
      <c r="AT334" s="81">
        <f t="shared" si="48"/>
        <v>0</v>
      </c>
    </row>
    <row r="335" spans="1:46" x14ac:dyDescent="0.25">
      <c r="A335" t="s">
        <v>828</v>
      </c>
      <c r="B335">
        <v>2025</v>
      </c>
      <c r="C335" t="s">
        <v>680</v>
      </c>
      <c r="D335" t="s">
        <v>830</v>
      </c>
      <c r="E335" t="s">
        <v>1028</v>
      </c>
      <c r="F335">
        <v>4</v>
      </c>
      <c r="G335" t="s">
        <v>2070</v>
      </c>
      <c r="H335" s="460">
        <v>3364.5426510187335</v>
      </c>
      <c r="I335">
        <v>1650</v>
      </c>
      <c r="J335">
        <v>200.00000001335161</v>
      </c>
      <c r="K335" s="67">
        <v>35.747999999999998</v>
      </c>
      <c r="L335" s="159">
        <v>0</v>
      </c>
      <c r="M335" s="159">
        <v>0</v>
      </c>
      <c r="N335" s="159">
        <v>0</v>
      </c>
      <c r="O335" s="159">
        <v>0</v>
      </c>
      <c r="P335" s="159">
        <v>0</v>
      </c>
      <c r="Q335" s="159">
        <v>1500</v>
      </c>
      <c r="R335" s="159">
        <v>2000</v>
      </c>
      <c r="S335" s="159">
        <v>27118</v>
      </c>
      <c r="T335" s="159">
        <v>0</v>
      </c>
      <c r="U335" s="159">
        <v>10009</v>
      </c>
      <c r="V335" s="159">
        <v>4500</v>
      </c>
      <c r="W335" s="159">
        <v>186</v>
      </c>
      <c r="X335" s="159">
        <v>0</v>
      </c>
      <c r="Y335" s="159">
        <v>1500</v>
      </c>
      <c r="Z335" s="159">
        <v>7804</v>
      </c>
      <c r="AA335" s="159">
        <v>9291</v>
      </c>
      <c r="AB335" s="159">
        <v>5287</v>
      </c>
      <c r="AC335" s="159">
        <v>0</v>
      </c>
      <c r="AD335" s="207">
        <v>69195</v>
      </c>
      <c r="AE335" s="200">
        <v>42.368279123913837</v>
      </c>
      <c r="AF335" s="200">
        <v>28.842502302580794</v>
      </c>
      <c r="AG335" s="200">
        <v>21.940114688887217</v>
      </c>
      <c r="AH335" s="200">
        <v>0</v>
      </c>
      <c r="AI335" s="200">
        <v>0</v>
      </c>
      <c r="AJ335" s="200">
        <v>0</v>
      </c>
      <c r="AL335" s="197">
        <f t="shared" si="49"/>
        <v>79322.775760993463</v>
      </c>
      <c r="AM335" s="197" t="str">
        <f t="shared" si="50"/>
        <v>Box Medium 4</v>
      </c>
      <c r="AN335" s="3">
        <f t="shared" si="51"/>
        <v>9.9729629938542494</v>
      </c>
      <c r="AO335" s="3">
        <f t="shared" si="52"/>
        <v>3.849506283565213</v>
      </c>
      <c r="AP335" s="3">
        <f t="shared" si="53"/>
        <v>0</v>
      </c>
      <c r="AQ335" s="3">
        <f t="shared" si="45"/>
        <v>0</v>
      </c>
      <c r="AR335" s="3">
        <f t="shared" si="46"/>
        <v>3.849506283565213</v>
      </c>
      <c r="AS335" s="81">
        <f t="shared" si="47"/>
        <v>1</v>
      </c>
      <c r="AT335" s="81">
        <f t="shared" si="48"/>
        <v>0</v>
      </c>
    </row>
    <row r="336" spans="1:46" x14ac:dyDescent="0.25">
      <c r="A336" t="s">
        <v>805</v>
      </c>
      <c r="B336">
        <v>2030</v>
      </c>
      <c r="C336" t="s">
        <v>680</v>
      </c>
      <c r="D336" t="s">
        <v>830</v>
      </c>
      <c r="E336" t="s">
        <v>1028</v>
      </c>
      <c r="F336">
        <v>4</v>
      </c>
      <c r="G336" t="s">
        <v>2071</v>
      </c>
      <c r="H336" s="460">
        <v>3407.370393223182</v>
      </c>
      <c r="I336">
        <v>1650</v>
      </c>
      <c r="J336">
        <v>0</v>
      </c>
      <c r="K336" s="67">
        <v>0</v>
      </c>
      <c r="L336" s="159">
        <v>150</v>
      </c>
      <c r="M336" s="159">
        <v>20628</v>
      </c>
      <c r="N336" s="159">
        <v>1920</v>
      </c>
      <c r="O336" s="159">
        <v>506</v>
      </c>
      <c r="P336" s="159">
        <v>5444</v>
      </c>
      <c r="Q336" s="159">
        <v>1500</v>
      </c>
      <c r="R336" s="159">
        <v>2000</v>
      </c>
      <c r="S336" s="159">
        <v>27251</v>
      </c>
      <c r="T336" s="159">
        <v>73</v>
      </c>
      <c r="U336" s="159">
        <v>120</v>
      </c>
      <c r="V336" s="159">
        <v>0</v>
      </c>
      <c r="W336" s="159">
        <v>186</v>
      </c>
      <c r="X336" s="159">
        <v>0</v>
      </c>
      <c r="Y336" s="159">
        <v>0</v>
      </c>
      <c r="Z336" s="159">
        <v>0</v>
      </c>
      <c r="AA336" s="159">
        <v>0</v>
      </c>
      <c r="AB336" s="159">
        <v>0</v>
      </c>
      <c r="AC336" s="159">
        <v>0</v>
      </c>
      <c r="AD336" s="207">
        <v>59778</v>
      </c>
      <c r="AE336" s="200">
        <v>14.588153639682236</v>
      </c>
      <c r="AF336" s="200">
        <v>23.211341706783298</v>
      </c>
      <c r="AG336" s="200">
        <v>18.799704984613275</v>
      </c>
      <c r="AH336" s="200">
        <v>0</v>
      </c>
      <c r="AI336" s="200">
        <v>0</v>
      </c>
      <c r="AJ336" s="200">
        <v>0</v>
      </c>
      <c r="AL336" s="197">
        <f t="shared" si="49"/>
        <v>68527.449807654702</v>
      </c>
      <c r="AM336" s="197" t="str">
        <f t="shared" si="50"/>
        <v>Box Medium 4</v>
      </c>
      <c r="AN336" s="3">
        <f t="shared" si="51"/>
        <v>12.658824783256495</v>
      </c>
      <c r="AO336" s="3">
        <f t="shared" si="52"/>
        <v>4.8862334669973704</v>
      </c>
      <c r="AP336" s="3">
        <f t="shared" si="53"/>
        <v>0</v>
      </c>
      <c r="AQ336" s="3">
        <f t="shared" si="45"/>
        <v>0</v>
      </c>
      <c r="AR336" s="3">
        <f t="shared" si="46"/>
        <v>4.8862334669973704</v>
      </c>
      <c r="AS336" s="81">
        <f t="shared" si="47"/>
        <v>1</v>
      </c>
      <c r="AT336" s="81">
        <f t="shared" si="48"/>
        <v>0</v>
      </c>
    </row>
    <row r="337" spans="1:46" x14ac:dyDescent="0.25">
      <c r="A337" t="s">
        <v>805</v>
      </c>
      <c r="B337">
        <v>2030</v>
      </c>
      <c r="C337" t="s">
        <v>680</v>
      </c>
      <c r="D337" t="s">
        <v>830</v>
      </c>
      <c r="E337" t="s">
        <v>1028</v>
      </c>
      <c r="F337">
        <v>4</v>
      </c>
      <c r="G337" t="s">
        <v>2072</v>
      </c>
      <c r="H337" s="460">
        <v>3159.5103009134</v>
      </c>
      <c r="I337">
        <v>1650</v>
      </c>
      <c r="J337">
        <v>0</v>
      </c>
      <c r="K337" s="67">
        <v>0</v>
      </c>
      <c r="L337" s="159">
        <v>150</v>
      </c>
      <c r="M337" s="159">
        <v>28266</v>
      </c>
      <c r="N337" s="159">
        <v>1920</v>
      </c>
      <c r="O337" s="159">
        <v>506</v>
      </c>
      <c r="P337" s="159">
        <v>3893</v>
      </c>
      <c r="Q337" s="159">
        <v>1500</v>
      </c>
      <c r="R337" s="159">
        <v>2000</v>
      </c>
      <c r="S337" s="159">
        <v>27251</v>
      </c>
      <c r="T337" s="159">
        <v>73</v>
      </c>
      <c r="U337" s="159">
        <v>120</v>
      </c>
      <c r="V337" s="159">
        <v>0</v>
      </c>
      <c r="W337" s="159">
        <v>186</v>
      </c>
      <c r="X337" s="159">
        <v>0</v>
      </c>
      <c r="Y337" s="159">
        <v>0</v>
      </c>
      <c r="Z337" s="159">
        <v>0</v>
      </c>
      <c r="AA337" s="159">
        <v>0</v>
      </c>
      <c r="AB337" s="159">
        <v>0</v>
      </c>
      <c r="AC337" s="159">
        <v>0</v>
      </c>
      <c r="AD337" s="207">
        <v>65865</v>
      </c>
      <c r="AE337" s="200">
        <v>10.344423058100078</v>
      </c>
      <c r="AF337" s="200">
        <v>15.756429085492309</v>
      </c>
      <c r="AG337" s="200">
        <v>13.013036168469425</v>
      </c>
      <c r="AH337" s="200">
        <v>0</v>
      </c>
      <c r="AI337" s="200">
        <v>0</v>
      </c>
      <c r="AJ337" s="200">
        <v>0</v>
      </c>
      <c r="AL337" s="197">
        <f t="shared" si="49"/>
        <v>75505.377924674249</v>
      </c>
      <c r="AM337" s="197" t="str">
        <f t="shared" si="50"/>
        <v>Box Medium 4</v>
      </c>
      <c r="AN337" s="3">
        <f t="shared" si="51"/>
        <v>18.258402550729851</v>
      </c>
      <c r="AO337" s="3">
        <f t="shared" si="52"/>
        <v>7.0476382385265746</v>
      </c>
      <c r="AP337" s="3">
        <f t="shared" si="53"/>
        <v>0</v>
      </c>
      <c r="AQ337" s="3">
        <f t="shared" si="45"/>
        <v>0</v>
      </c>
      <c r="AR337" s="3">
        <f t="shared" si="46"/>
        <v>7.0476382385265746</v>
      </c>
      <c r="AS337" s="81">
        <f t="shared" si="47"/>
        <v>1</v>
      </c>
      <c r="AT337" s="81">
        <f t="shared" si="48"/>
        <v>0</v>
      </c>
    </row>
    <row r="338" spans="1:46" x14ac:dyDescent="0.25">
      <c r="A338" t="s">
        <v>807</v>
      </c>
      <c r="B338">
        <v>2030</v>
      </c>
      <c r="C338" t="s">
        <v>680</v>
      </c>
      <c r="D338" t="s">
        <v>830</v>
      </c>
      <c r="E338" t="s">
        <v>1028</v>
      </c>
      <c r="F338">
        <v>4</v>
      </c>
      <c r="G338" t="s">
        <v>2073</v>
      </c>
      <c r="H338" s="460">
        <v>3381.8472918164971</v>
      </c>
      <c r="I338">
        <v>1650</v>
      </c>
      <c r="J338">
        <v>0</v>
      </c>
      <c r="K338" s="67">
        <v>3.2155200000000006</v>
      </c>
      <c r="L338" s="159">
        <v>150</v>
      </c>
      <c r="M338" s="159">
        <v>16714</v>
      </c>
      <c r="N338" s="159">
        <v>220</v>
      </c>
      <c r="O338" s="159">
        <v>392</v>
      </c>
      <c r="P338" s="159">
        <v>4714</v>
      </c>
      <c r="Q338" s="159">
        <v>1500</v>
      </c>
      <c r="R338" s="159">
        <v>2000</v>
      </c>
      <c r="S338" s="159">
        <v>27251</v>
      </c>
      <c r="T338" s="159">
        <v>0</v>
      </c>
      <c r="U338" s="159">
        <v>1155</v>
      </c>
      <c r="V338" s="159">
        <v>4500</v>
      </c>
      <c r="W338" s="159">
        <v>186</v>
      </c>
      <c r="X338" s="159">
        <v>120</v>
      </c>
      <c r="Y338" s="159">
        <v>1500</v>
      </c>
      <c r="Z338" s="159">
        <v>1801</v>
      </c>
      <c r="AA338" s="159">
        <v>0</v>
      </c>
      <c r="AB338" s="159">
        <v>0</v>
      </c>
      <c r="AC338" s="159">
        <v>0</v>
      </c>
      <c r="AD338" s="207">
        <v>62203</v>
      </c>
      <c r="AE338" s="200">
        <v>25.528499001597893</v>
      </c>
      <c r="AF338" s="200">
        <v>25.926439561620104</v>
      </c>
      <c r="AG338" s="200">
        <v>20.698130726717643</v>
      </c>
      <c r="AH338" s="200">
        <v>0</v>
      </c>
      <c r="AI338" s="200">
        <v>0</v>
      </c>
      <c r="AJ338" s="200">
        <v>0</v>
      </c>
      <c r="AL338" s="197">
        <f t="shared" si="49"/>
        <v>71307.386670439722</v>
      </c>
      <c r="AM338" s="197" t="str">
        <f t="shared" si="50"/>
        <v>Box Medium 4</v>
      </c>
      <c r="AN338" s="3">
        <f t="shared" si="51"/>
        <v>10.942799910858962</v>
      </c>
      <c r="AO338" s="3">
        <f t="shared" si="52"/>
        <v>4.2238577484552184</v>
      </c>
      <c r="AP338" s="3">
        <f t="shared" si="53"/>
        <v>0</v>
      </c>
      <c r="AQ338" s="3">
        <f t="shared" si="45"/>
        <v>0</v>
      </c>
      <c r="AR338" s="3">
        <f t="shared" si="46"/>
        <v>4.2238577484552184</v>
      </c>
      <c r="AS338" s="81">
        <f t="shared" si="47"/>
        <v>1</v>
      </c>
      <c r="AT338" s="81">
        <f t="shared" si="48"/>
        <v>0</v>
      </c>
    </row>
    <row r="339" spans="1:46" x14ac:dyDescent="0.25">
      <c r="A339" t="s">
        <v>807</v>
      </c>
      <c r="B339">
        <v>2030</v>
      </c>
      <c r="C339" t="s">
        <v>680</v>
      </c>
      <c r="D339" t="s">
        <v>830</v>
      </c>
      <c r="E339" t="s">
        <v>1028</v>
      </c>
      <c r="F339">
        <v>4</v>
      </c>
      <c r="G339" t="s">
        <v>2074</v>
      </c>
      <c r="H339" s="460">
        <v>3152.8268693438058</v>
      </c>
      <c r="I339">
        <v>1650</v>
      </c>
      <c r="J339">
        <v>0</v>
      </c>
      <c r="K339" s="67">
        <v>3.8016000000000005</v>
      </c>
      <c r="L339" s="159">
        <v>150</v>
      </c>
      <c r="M339" s="159">
        <v>14524</v>
      </c>
      <c r="N339" s="159">
        <v>220</v>
      </c>
      <c r="O339" s="159">
        <v>392</v>
      </c>
      <c r="P339" s="159">
        <v>2896</v>
      </c>
      <c r="Q339" s="159">
        <v>1500</v>
      </c>
      <c r="R339" s="159">
        <v>2000</v>
      </c>
      <c r="S339" s="159">
        <v>27251</v>
      </c>
      <c r="T339" s="159">
        <v>0</v>
      </c>
      <c r="U339" s="159">
        <v>1365</v>
      </c>
      <c r="V339" s="159">
        <v>4500</v>
      </c>
      <c r="W339" s="159">
        <v>186</v>
      </c>
      <c r="X339" s="159">
        <v>120</v>
      </c>
      <c r="Y339" s="159">
        <v>1500</v>
      </c>
      <c r="Z339" s="159">
        <v>1884</v>
      </c>
      <c r="AA339" s="159">
        <v>0</v>
      </c>
      <c r="AB339" s="159">
        <v>0</v>
      </c>
      <c r="AC339" s="159">
        <v>0</v>
      </c>
      <c r="AD339" s="207">
        <v>58488</v>
      </c>
      <c r="AE339" s="200">
        <v>3.2601274751098321</v>
      </c>
      <c r="AF339" s="200">
        <v>20.111529091762382</v>
      </c>
      <c r="AG339" s="200">
        <v>19.191276447675804</v>
      </c>
      <c r="AH339" s="200">
        <v>0</v>
      </c>
      <c r="AI339" s="200">
        <v>0</v>
      </c>
      <c r="AJ339" s="200">
        <v>0</v>
      </c>
      <c r="AL339" s="197">
        <f t="shared" si="49"/>
        <v>67048.638033224735</v>
      </c>
      <c r="AM339" s="197" t="str">
        <f t="shared" si="50"/>
        <v>Box Medium 4</v>
      </c>
      <c r="AN339" s="3">
        <f t="shared" si="51"/>
        <v>18.195152340757353</v>
      </c>
      <c r="AO339" s="3">
        <f t="shared" si="52"/>
        <v>7.0232240217209974</v>
      </c>
      <c r="AP339" s="3">
        <f t="shared" si="53"/>
        <v>0</v>
      </c>
      <c r="AQ339" s="3">
        <f t="shared" si="45"/>
        <v>0</v>
      </c>
      <c r="AR339" s="3">
        <f t="shared" si="46"/>
        <v>7.0232240217209974</v>
      </c>
      <c r="AS339" s="81">
        <f t="shared" si="47"/>
        <v>1</v>
      </c>
      <c r="AT339" s="81">
        <f t="shared" si="48"/>
        <v>0</v>
      </c>
    </row>
    <row r="340" spans="1:46" x14ac:dyDescent="0.25">
      <c r="A340" t="s">
        <v>808</v>
      </c>
      <c r="B340">
        <v>2030</v>
      </c>
      <c r="C340" t="s">
        <v>680</v>
      </c>
      <c r="D340" t="s">
        <v>830</v>
      </c>
      <c r="E340" t="s">
        <v>1028</v>
      </c>
      <c r="F340">
        <v>4</v>
      </c>
      <c r="G340" t="s">
        <v>2075</v>
      </c>
      <c r="H340" s="460">
        <v>3933.8660748173415</v>
      </c>
      <c r="I340">
        <v>1650</v>
      </c>
      <c r="J340">
        <v>160.0000000231087</v>
      </c>
      <c r="K340" s="67">
        <v>119.16</v>
      </c>
      <c r="L340" s="159">
        <v>0</v>
      </c>
      <c r="M340" s="159">
        <v>11372</v>
      </c>
      <c r="N340" s="159">
        <v>220</v>
      </c>
      <c r="O340" s="159">
        <v>0</v>
      </c>
      <c r="P340" s="159">
        <v>0</v>
      </c>
      <c r="Q340" s="159">
        <v>1500</v>
      </c>
      <c r="R340" s="159">
        <v>2000</v>
      </c>
      <c r="S340" s="159">
        <v>27251</v>
      </c>
      <c r="T340" s="159">
        <v>2579</v>
      </c>
      <c r="U340" s="159">
        <v>23832</v>
      </c>
      <c r="V340" s="159">
        <v>4500</v>
      </c>
      <c r="W340" s="159">
        <v>186</v>
      </c>
      <c r="X340" s="159">
        <v>0</v>
      </c>
      <c r="Y340" s="159">
        <v>1500</v>
      </c>
      <c r="Z340" s="159">
        <v>5368</v>
      </c>
      <c r="AA340" s="159">
        <v>0</v>
      </c>
      <c r="AB340" s="159">
        <v>0</v>
      </c>
      <c r="AC340" s="159">
        <v>0</v>
      </c>
      <c r="AD340" s="207">
        <v>80308</v>
      </c>
      <c r="AE340" s="200">
        <v>70.541491279065255</v>
      </c>
      <c r="AF340" s="200">
        <v>47.708683673692903</v>
      </c>
      <c r="AG340" s="200">
        <v>30.916520911055091</v>
      </c>
      <c r="AH340" s="200">
        <v>490</v>
      </c>
      <c r="AI340" s="200">
        <v>703</v>
      </c>
      <c r="AJ340" s="200">
        <v>895</v>
      </c>
      <c r="AL340" s="197">
        <f t="shared" si="49"/>
        <v>92062.337969706816</v>
      </c>
      <c r="AM340" s="197" t="str">
        <f t="shared" si="50"/>
        <v>Box Medium 4</v>
      </c>
      <c r="AN340" s="3">
        <f t="shared" si="51"/>
        <v>3.4698509683060457</v>
      </c>
      <c r="AO340" s="3">
        <f t="shared" si="52"/>
        <v>1.3393424916707528</v>
      </c>
      <c r="AP340" s="3">
        <f t="shared" si="53"/>
        <v>26.011284128897564</v>
      </c>
      <c r="AQ340" s="3">
        <f t="shared" si="45"/>
        <v>0.93640622864031231</v>
      </c>
      <c r="AR340" s="3">
        <f t="shared" si="46"/>
        <v>2.2757487203110651</v>
      </c>
      <c r="AS340" s="81">
        <f t="shared" si="47"/>
        <v>0.58852828509453459</v>
      </c>
      <c r="AT340" s="81">
        <f t="shared" si="48"/>
        <v>0.41147171490546541</v>
      </c>
    </row>
    <row r="341" spans="1:46" x14ac:dyDescent="0.25">
      <c r="A341" t="s">
        <v>808</v>
      </c>
      <c r="B341">
        <v>2030</v>
      </c>
      <c r="C341" t="s">
        <v>680</v>
      </c>
      <c r="D341" t="s">
        <v>830</v>
      </c>
      <c r="E341" t="s">
        <v>1028</v>
      </c>
      <c r="F341">
        <v>4</v>
      </c>
      <c r="G341" t="s">
        <v>2076</v>
      </c>
      <c r="H341" s="460">
        <v>3758.8092425828909</v>
      </c>
      <c r="I341">
        <v>1650</v>
      </c>
      <c r="J341">
        <v>160.0000000231087</v>
      </c>
      <c r="K341" s="67">
        <v>108.609375</v>
      </c>
      <c r="L341" s="159">
        <v>0</v>
      </c>
      <c r="M341" s="159">
        <v>7548</v>
      </c>
      <c r="N341" s="159">
        <v>220</v>
      </c>
      <c r="O341" s="159">
        <v>0</v>
      </c>
      <c r="P341" s="159">
        <v>3031</v>
      </c>
      <c r="Q341" s="159">
        <v>1500</v>
      </c>
      <c r="R341" s="159">
        <v>2000</v>
      </c>
      <c r="S341" s="159">
        <v>27251</v>
      </c>
      <c r="T341" s="159">
        <v>1915</v>
      </c>
      <c r="U341" s="159">
        <v>21722</v>
      </c>
      <c r="V341" s="159">
        <v>4500</v>
      </c>
      <c r="W341" s="159">
        <v>186</v>
      </c>
      <c r="X341" s="159">
        <v>0</v>
      </c>
      <c r="Y341" s="159">
        <v>1500</v>
      </c>
      <c r="Z341" s="159">
        <v>3685</v>
      </c>
      <c r="AA341" s="159">
        <v>0</v>
      </c>
      <c r="AB341" s="159">
        <v>0</v>
      </c>
      <c r="AC341" s="159">
        <v>0</v>
      </c>
      <c r="AD341" s="207">
        <v>75058</v>
      </c>
      <c r="AE341" s="200">
        <v>22.542234966404116</v>
      </c>
      <c r="AF341" s="200">
        <v>19.174308845785252</v>
      </c>
      <c r="AG341" s="200">
        <v>15.272933562230063</v>
      </c>
      <c r="AH341" s="200">
        <v>501</v>
      </c>
      <c r="AI341" s="200">
        <v>580</v>
      </c>
      <c r="AJ341" s="200">
        <v>726</v>
      </c>
      <c r="AL341" s="197">
        <f t="shared" si="49"/>
        <v>86043.917957491838</v>
      </c>
      <c r="AM341" s="197" t="str">
        <f t="shared" si="50"/>
        <v>Box Medium 4</v>
      </c>
      <c r="AN341" s="3">
        <f t="shared" si="51"/>
        <v>7.3110617083605831</v>
      </c>
      <c r="AO341" s="3">
        <f t="shared" si="52"/>
        <v>2.8220277166585861</v>
      </c>
      <c r="AP341" s="3">
        <f t="shared" si="53"/>
        <v>21.44854412367803</v>
      </c>
      <c r="AQ341" s="3">
        <f t="shared" si="45"/>
        <v>0.77214758845240905</v>
      </c>
      <c r="AR341" s="3">
        <f t="shared" si="46"/>
        <v>3.594175305110995</v>
      </c>
      <c r="AS341" s="81">
        <f t="shared" si="47"/>
        <v>0.78516696518547713</v>
      </c>
      <c r="AT341" s="81">
        <f t="shared" si="48"/>
        <v>0.21483303481452296</v>
      </c>
    </row>
    <row r="342" spans="1:46" x14ac:dyDescent="0.25">
      <c r="A342" t="s">
        <v>230</v>
      </c>
      <c r="B342">
        <v>2030</v>
      </c>
      <c r="C342" t="s">
        <v>680</v>
      </c>
      <c r="D342" t="s">
        <v>830</v>
      </c>
      <c r="E342" t="s">
        <v>1028</v>
      </c>
      <c r="F342">
        <v>4</v>
      </c>
      <c r="G342" t="s">
        <v>2077</v>
      </c>
      <c r="H342" s="460">
        <v>3637.6491293710897</v>
      </c>
      <c r="I342">
        <v>1650</v>
      </c>
      <c r="J342">
        <v>200.00000001335161</v>
      </c>
      <c r="K342" s="67">
        <v>156.39750000000001</v>
      </c>
      <c r="L342" s="159">
        <v>0</v>
      </c>
      <c r="M342" s="159">
        <v>0</v>
      </c>
      <c r="N342" s="159">
        <v>0</v>
      </c>
      <c r="O342" s="159">
        <v>0</v>
      </c>
      <c r="P342" s="159">
        <v>0</v>
      </c>
      <c r="Q342" s="159">
        <v>1500</v>
      </c>
      <c r="R342" s="159">
        <v>2000</v>
      </c>
      <c r="S342" s="159">
        <v>27251</v>
      </c>
      <c r="T342" s="159">
        <v>0</v>
      </c>
      <c r="U342" s="159">
        <v>31280</v>
      </c>
      <c r="V342" s="159">
        <v>4500</v>
      </c>
      <c r="W342" s="159">
        <v>186</v>
      </c>
      <c r="X342" s="159">
        <v>0</v>
      </c>
      <c r="Y342" s="159">
        <v>1500</v>
      </c>
      <c r="Z342" s="159">
        <v>4549</v>
      </c>
      <c r="AA342" s="159">
        <v>0</v>
      </c>
      <c r="AB342" s="159">
        <v>0</v>
      </c>
      <c r="AC342" s="159">
        <v>0</v>
      </c>
      <c r="AD342" s="207">
        <v>72766</v>
      </c>
      <c r="AE342" s="200">
        <v>0</v>
      </c>
      <c r="AF342" s="200">
        <v>0</v>
      </c>
      <c r="AG342" s="200">
        <v>0</v>
      </c>
      <c r="AH342" s="200">
        <v>464</v>
      </c>
      <c r="AI342" s="200">
        <v>671</v>
      </c>
      <c r="AJ342" s="200">
        <v>840</v>
      </c>
      <c r="AL342" s="197">
        <f t="shared" si="49"/>
        <v>83416.447735016263</v>
      </c>
      <c r="AM342" s="197" t="str">
        <f t="shared" si="50"/>
        <v>Box Medium 4</v>
      </c>
      <c r="AN342" s="3">
        <f t="shared" si="51"/>
        <v>0</v>
      </c>
      <c r="AO342" s="3">
        <f t="shared" si="52"/>
        <v>0</v>
      </c>
      <c r="AP342" s="3">
        <f t="shared" si="53"/>
        <v>48.913840456336146</v>
      </c>
      <c r="AQ342" s="3">
        <f t="shared" si="45"/>
        <v>1.7608982564281013</v>
      </c>
      <c r="AR342" s="3">
        <f t="shared" si="46"/>
        <v>1.7608982564281013</v>
      </c>
      <c r="AS342" s="81">
        <f t="shared" si="47"/>
        <v>0</v>
      </c>
      <c r="AT342" s="81">
        <f t="shared" si="48"/>
        <v>1</v>
      </c>
    </row>
    <row r="343" spans="1:46" x14ac:dyDescent="0.25">
      <c r="A343" t="s">
        <v>496</v>
      </c>
      <c r="B343">
        <v>2030</v>
      </c>
      <c r="C343" t="s">
        <v>680</v>
      </c>
      <c r="D343" t="s">
        <v>830</v>
      </c>
      <c r="E343" t="s">
        <v>1028</v>
      </c>
      <c r="F343">
        <v>4</v>
      </c>
      <c r="G343" t="s">
        <v>2078</v>
      </c>
      <c r="H343" s="460">
        <v>3175.704554939749</v>
      </c>
      <c r="I343">
        <v>1650</v>
      </c>
      <c r="J343">
        <v>200.00000001335161</v>
      </c>
      <c r="K343" s="67">
        <v>3.6748800000000008</v>
      </c>
      <c r="L343" s="159">
        <v>0</v>
      </c>
      <c r="M343" s="159">
        <v>0</v>
      </c>
      <c r="N343" s="159">
        <v>0</v>
      </c>
      <c r="O343" s="159">
        <v>0</v>
      </c>
      <c r="P343" s="159">
        <v>0</v>
      </c>
      <c r="Q343" s="159">
        <v>1500</v>
      </c>
      <c r="R343" s="159">
        <v>2000</v>
      </c>
      <c r="S343" s="159">
        <v>27251</v>
      </c>
      <c r="T343" s="159">
        <v>0</v>
      </c>
      <c r="U343" s="159">
        <v>1320</v>
      </c>
      <c r="V343" s="159">
        <v>4500</v>
      </c>
      <c r="W343" s="159">
        <v>186</v>
      </c>
      <c r="X343" s="159">
        <v>0</v>
      </c>
      <c r="Y343" s="159">
        <v>1500</v>
      </c>
      <c r="Z343" s="159">
        <v>4777</v>
      </c>
      <c r="AA343" s="159">
        <v>21445</v>
      </c>
      <c r="AB343" s="159">
        <v>5865</v>
      </c>
      <c r="AC343" s="159">
        <v>0</v>
      </c>
      <c r="AD343" s="207">
        <v>70344</v>
      </c>
      <c r="AE343" s="200">
        <v>43.528521975366964</v>
      </c>
      <c r="AF343" s="200">
        <v>34.961670831650125</v>
      </c>
      <c r="AG343" s="200">
        <v>27.218603159149609</v>
      </c>
      <c r="AH343" s="200">
        <v>0</v>
      </c>
      <c r="AI343" s="200">
        <v>0</v>
      </c>
      <c r="AJ343" s="200">
        <v>0</v>
      </c>
      <c r="AL343" s="197">
        <f t="shared" si="49"/>
        <v>80639.949969381079</v>
      </c>
      <c r="AM343" s="197" t="str">
        <f t="shared" si="50"/>
        <v>Box Medium 4</v>
      </c>
      <c r="AN343" s="3">
        <f t="shared" si="51"/>
        <v>8.1456525399076778</v>
      </c>
      <c r="AO343" s="3">
        <f t="shared" si="52"/>
        <v>3.1441749714138973</v>
      </c>
      <c r="AP343" s="3">
        <f t="shared" si="53"/>
        <v>0</v>
      </c>
      <c r="AQ343" s="3">
        <f t="shared" si="45"/>
        <v>0</v>
      </c>
      <c r="AR343" s="3">
        <f t="shared" si="46"/>
        <v>3.1441749714138973</v>
      </c>
      <c r="AS343" s="81">
        <f t="shared" si="47"/>
        <v>1</v>
      </c>
      <c r="AT343" s="81">
        <f t="shared" si="48"/>
        <v>0</v>
      </c>
    </row>
    <row r="344" spans="1:46" x14ac:dyDescent="0.25">
      <c r="A344" t="s">
        <v>828</v>
      </c>
      <c r="B344">
        <v>2030</v>
      </c>
      <c r="C344" t="s">
        <v>680</v>
      </c>
      <c r="D344" t="s">
        <v>830</v>
      </c>
      <c r="E344" t="s">
        <v>1028</v>
      </c>
      <c r="F344">
        <v>4</v>
      </c>
      <c r="G344" t="s">
        <v>2079</v>
      </c>
      <c r="H344" s="460">
        <v>3180.0571232749717</v>
      </c>
      <c r="I344">
        <v>1650</v>
      </c>
      <c r="J344">
        <v>200.00000001335161</v>
      </c>
      <c r="K344" s="67">
        <v>36.492750000000001</v>
      </c>
      <c r="L344" s="159">
        <v>0</v>
      </c>
      <c r="M344" s="159">
        <v>0</v>
      </c>
      <c r="N344" s="159">
        <v>0</v>
      </c>
      <c r="O344" s="159">
        <v>0</v>
      </c>
      <c r="P344" s="159">
        <v>0</v>
      </c>
      <c r="Q344" s="159">
        <v>1500</v>
      </c>
      <c r="R344" s="159">
        <v>2000</v>
      </c>
      <c r="S344" s="159">
        <v>27251</v>
      </c>
      <c r="T344" s="159">
        <v>0</v>
      </c>
      <c r="U344" s="159">
        <v>7299</v>
      </c>
      <c r="V344" s="159">
        <v>4500</v>
      </c>
      <c r="W344" s="159">
        <v>186</v>
      </c>
      <c r="X344" s="159">
        <v>0</v>
      </c>
      <c r="Y344" s="159">
        <v>1500</v>
      </c>
      <c r="Z344" s="159">
        <v>6202</v>
      </c>
      <c r="AA344" s="159">
        <v>7464</v>
      </c>
      <c r="AB344" s="159">
        <v>4162</v>
      </c>
      <c r="AC344" s="159">
        <v>0</v>
      </c>
      <c r="AD344" s="207">
        <v>62064</v>
      </c>
      <c r="AE344" s="200">
        <v>45.756703002306736</v>
      </c>
      <c r="AF344" s="200">
        <v>31.626870473197545</v>
      </c>
      <c r="AG344" s="200">
        <v>24.071474677557912</v>
      </c>
      <c r="AH344" s="200">
        <v>0</v>
      </c>
      <c r="AI344" s="200">
        <v>0</v>
      </c>
      <c r="AJ344" s="200">
        <v>0</v>
      </c>
      <c r="AL344" s="197">
        <f t="shared" si="49"/>
        <v>71148.041835830605</v>
      </c>
      <c r="AM344" s="197" t="str">
        <f t="shared" si="50"/>
        <v>Box Medium 4</v>
      </c>
      <c r="AN344" s="3">
        <f t="shared" si="51"/>
        <v>9.0983421076156503</v>
      </c>
      <c r="AO344" s="3">
        <f t="shared" si="52"/>
        <v>3.5119076582231097</v>
      </c>
      <c r="AP344" s="3">
        <f t="shared" si="53"/>
        <v>0</v>
      </c>
      <c r="AQ344" s="3">
        <f t="shared" si="45"/>
        <v>0</v>
      </c>
      <c r="AR344" s="3">
        <f t="shared" si="46"/>
        <v>3.5119076582231097</v>
      </c>
      <c r="AS344" s="81">
        <f t="shared" si="47"/>
        <v>1</v>
      </c>
      <c r="AT344" s="81">
        <f t="shared" si="48"/>
        <v>0</v>
      </c>
    </row>
    <row r="345" spans="1:46" x14ac:dyDescent="0.25">
      <c r="A345" t="s">
        <v>805</v>
      </c>
      <c r="B345">
        <v>2035</v>
      </c>
      <c r="C345" t="s">
        <v>680</v>
      </c>
      <c r="D345" t="s">
        <v>830</v>
      </c>
      <c r="E345" t="s">
        <v>1028</v>
      </c>
      <c r="F345">
        <v>4</v>
      </c>
      <c r="G345" t="s">
        <v>2080</v>
      </c>
      <c r="H345" s="460">
        <v>3403.4957582428033</v>
      </c>
      <c r="I345">
        <v>1650</v>
      </c>
      <c r="J345">
        <v>0</v>
      </c>
      <c r="K345" s="67">
        <v>0</v>
      </c>
      <c r="L345" s="159">
        <v>150</v>
      </c>
      <c r="M345" s="159">
        <v>20308</v>
      </c>
      <c r="N345" s="159">
        <v>1920</v>
      </c>
      <c r="O345" s="159">
        <v>506</v>
      </c>
      <c r="P345" s="159">
        <v>5413</v>
      </c>
      <c r="Q345" s="159">
        <v>1500</v>
      </c>
      <c r="R345" s="159">
        <v>2000</v>
      </c>
      <c r="S345" s="159">
        <v>27251</v>
      </c>
      <c r="T345" s="159">
        <v>63</v>
      </c>
      <c r="U345" s="159">
        <v>120</v>
      </c>
      <c r="V345" s="159">
        <v>0</v>
      </c>
      <c r="W345" s="159">
        <v>186</v>
      </c>
      <c r="X345" s="159">
        <v>0</v>
      </c>
      <c r="Y345" s="159">
        <v>0</v>
      </c>
      <c r="Z345" s="159">
        <v>0</v>
      </c>
      <c r="AA345" s="159">
        <v>0</v>
      </c>
      <c r="AB345" s="159">
        <v>0</v>
      </c>
      <c r="AC345" s="159">
        <v>0</v>
      </c>
      <c r="AD345" s="207">
        <v>59417</v>
      </c>
      <c r="AE345" s="200">
        <v>15.282659561187057</v>
      </c>
      <c r="AF345" s="200">
        <v>25.069503812963372</v>
      </c>
      <c r="AG345" s="200">
        <v>20.370234273014358</v>
      </c>
      <c r="AH345" s="200">
        <v>0</v>
      </c>
      <c r="AI345" s="200">
        <v>0</v>
      </c>
      <c r="AJ345" s="200">
        <v>0</v>
      </c>
      <c r="AL345" s="197">
        <f t="shared" si="49"/>
        <v>68113.611783957633</v>
      </c>
      <c r="AM345" s="197" t="str">
        <f t="shared" si="50"/>
        <v>Box Medium 4</v>
      </c>
      <c r="AN345" s="3">
        <f t="shared" si="51"/>
        <v>11.736595827767589</v>
      </c>
      <c r="AO345" s="3">
        <f t="shared" si="52"/>
        <v>4.5302584010888678</v>
      </c>
      <c r="AP345" s="3">
        <f t="shared" si="53"/>
        <v>0</v>
      </c>
      <c r="AQ345" s="3">
        <f t="shared" si="45"/>
        <v>0</v>
      </c>
      <c r="AR345" s="3">
        <f t="shared" si="46"/>
        <v>4.5302584010888678</v>
      </c>
      <c r="AS345" s="81">
        <f t="shared" si="47"/>
        <v>1</v>
      </c>
      <c r="AT345" s="81">
        <f t="shared" si="48"/>
        <v>0</v>
      </c>
    </row>
    <row r="346" spans="1:46" x14ac:dyDescent="0.25">
      <c r="A346" t="s">
        <v>805</v>
      </c>
      <c r="B346">
        <v>2035</v>
      </c>
      <c r="C346" t="s">
        <v>680</v>
      </c>
      <c r="D346" t="s">
        <v>830</v>
      </c>
      <c r="E346" t="s">
        <v>1028</v>
      </c>
      <c r="F346">
        <v>4</v>
      </c>
      <c r="G346" t="s">
        <v>2081</v>
      </c>
      <c r="H346" s="460">
        <v>3158.318265919429</v>
      </c>
      <c r="I346">
        <v>1650</v>
      </c>
      <c r="J346">
        <v>0</v>
      </c>
      <c r="K346" s="67">
        <v>0</v>
      </c>
      <c r="L346" s="159">
        <v>150</v>
      </c>
      <c r="M346" s="159">
        <v>28509</v>
      </c>
      <c r="N346" s="159">
        <v>1920</v>
      </c>
      <c r="O346" s="159">
        <v>506</v>
      </c>
      <c r="P346" s="159">
        <v>3875</v>
      </c>
      <c r="Q346" s="159">
        <v>1500</v>
      </c>
      <c r="R346" s="159">
        <v>2000</v>
      </c>
      <c r="S346" s="159">
        <v>27251</v>
      </c>
      <c r="T346" s="159">
        <v>63</v>
      </c>
      <c r="U346" s="159">
        <v>120</v>
      </c>
      <c r="V346" s="159">
        <v>0</v>
      </c>
      <c r="W346" s="159">
        <v>186</v>
      </c>
      <c r="X346" s="159">
        <v>0</v>
      </c>
      <c r="Y346" s="159">
        <v>0</v>
      </c>
      <c r="Z346" s="159">
        <v>0</v>
      </c>
      <c r="AA346" s="159">
        <v>0</v>
      </c>
      <c r="AB346" s="159">
        <v>0</v>
      </c>
      <c r="AC346" s="159">
        <v>0</v>
      </c>
      <c r="AD346" s="207">
        <v>66080</v>
      </c>
      <c r="AE346" s="200">
        <v>11.024043766731083</v>
      </c>
      <c r="AF346" s="200">
        <v>17.13616872782714</v>
      </c>
      <c r="AG346" s="200">
        <v>14.22778249288702</v>
      </c>
      <c r="AH346" s="200">
        <v>0</v>
      </c>
      <c r="AI346" s="200">
        <v>0</v>
      </c>
      <c r="AJ346" s="200">
        <v>0</v>
      </c>
      <c r="AL346" s="197">
        <f t="shared" si="49"/>
        <v>75751.846553745912</v>
      </c>
      <c r="AM346" s="197" t="str">
        <f t="shared" si="50"/>
        <v>Box Medium 4</v>
      </c>
      <c r="AN346" s="3">
        <f t="shared" si="51"/>
        <v>16.760017678433041</v>
      </c>
      <c r="AO346" s="3">
        <f t="shared" si="52"/>
        <v>6.469270306683236</v>
      </c>
      <c r="AP346" s="3">
        <f t="shared" si="53"/>
        <v>0</v>
      </c>
      <c r="AQ346" s="3">
        <f t="shared" si="45"/>
        <v>0</v>
      </c>
      <c r="AR346" s="3">
        <f t="shared" si="46"/>
        <v>6.469270306683236</v>
      </c>
      <c r="AS346" s="81">
        <f t="shared" si="47"/>
        <v>1</v>
      </c>
      <c r="AT346" s="81">
        <f t="shared" si="48"/>
        <v>0</v>
      </c>
    </row>
    <row r="347" spans="1:46" x14ac:dyDescent="0.25">
      <c r="A347" t="s">
        <v>807</v>
      </c>
      <c r="B347">
        <v>2035</v>
      </c>
      <c r="C347" t="s">
        <v>680</v>
      </c>
      <c r="D347" t="s">
        <v>830</v>
      </c>
      <c r="E347" t="s">
        <v>1028</v>
      </c>
      <c r="F347">
        <v>4</v>
      </c>
      <c r="G347" t="s">
        <v>2082</v>
      </c>
      <c r="H347" s="460">
        <v>3363.7646538957506</v>
      </c>
      <c r="I347">
        <v>1650</v>
      </c>
      <c r="J347">
        <v>0</v>
      </c>
      <c r="K347" s="67">
        <v>3.2788800000000005</v>
      </c>
      <c r="L347" s="159">
        <v>150</v>
      </c>
      <c r="M347" s="159">
        <v>16108</v>
      </c>
      <c r="N347" s="159">
        <v>220</v>
      </c>
      <c r="O347" s="159">
        <v>392</v>
      </c>
      <c r="P347" s="159">
        <v>4554</v>
      </c>
      <c r="Q347" s="159">
        <v>1500</v>
      </c>
      <c r="R347" s="159">
        <v>2000</v>
      </c>
      <c r="S347" s="159">
        <v>27251</v>
      </c>
      <c r="T347" s="159">
        <v>0</v>
      </c>
      <c r="U347" s="159">
        <v>1115</v>
      </c>
      <c r="V347" s="159">
        <v>4500</v>
      </c>
      <c r="W347" s="159">
        <v>186</v>
      </c>
      <c r="X347" s="159">
        <v>120</v>
      </c>
      <c r="Y347" s="159">
        <v>1500</v>
      </c>
      <c r="Z347" s="159">
        <v>1506</v>
      </c>
      <c r="AA347" s="159">
        <v>0</v>
      </c>
      <c r="AB347" s="159">
        <v>0</v>
      </c>
      <c r="AC347" s="159">
        <v>0</v>
      </c>
      <c r="AD347" s="207">
        <v>61102</v>
      </c>
      <c r="AE347" s="200">
        <v>27.25057382097221</v>
      </c>
      <c r="AF347" s="200">
        <v>28.565572053585939</v>
      </c>
      <c r="AG347" s="200">
        <v>22.881004714059699</v>
      </c>
      <c r="AH347" s="200">
        <v>0</v>
      </c>
      <c r="AI347" s="200">
        <v>0</v>
      </c>
      <c r="AJ347" s="200">
        <v>0</v>
      </c>
      <c r="AL347" s="197">
        <f t="shared" si="49"/>
        <v>70045.238016449497</v>
      </c>
      <c r="AM347" s="197" t="str">
        <f t="shared" si="50"/>
        <v>Box Medium 4</v>
      </c>
      <c r="AN347" s="3">
        <f t="shared" si="51"/>
        <v>9.930979136932546</v>
      </c>
      <c r="AO347" s="3">
        <f t="shared" si="52"/>
        <v>3.833300756569074</v>
      </c>
      <c r="AP347" s="3">
        <f t="shared" si="53"/>
        <v>0</v>
      </c>
      <c r="AQ347" s="3">
        <f t="shared" si="45"/>
        <v>0</v>
      </c>
      <c r="AR347" s="3">
        <f t="shared" si="46"/>
        <v>3.833300756569074</v>
      </c>
      <c r="AS347" s="81">
        <f t="shared" si="47"/>
        <v>1</v>
      </c>
      <c r="AT347" s="81">
        <f t="shared" si="48"/>
        <v>0</v>
      </c>
    </row>
    <row r="348" spans="1:46" x14ac:dyDescent="0.25">
      <c r="A348" t="s">
        <v>807</v>
      </c>
      <c r="B348">
        <v>2035</v>
      </c>
      <c r="C348" t="s">
        <v>680</v>
      </c>
      <c r="D348" t="s">
        <v>830</v>
      </c>
      <c r="E348" t="s">
        <v>1028</v>
      </c>
      <c r="F348">
        <v>4</v>
      </c>
      <c r="G348" t="s">
        <v>2083</v>
      </c>
      <c r="H348" s="460">
        <v>3152.4476146267243</v>
      </c>
      <c r="I348">
        <v>1650</v>
      </c>
      <c r="J348">
        <v>0</v>
      </c>
      <c r="K348" s="67">
        <v>4.0075200000000004</v>
      </c>
      <c r="L348" s="159">
        <v>150</v>
      </c>
      <c r="M348" s="159">
        <v>14905</v>
      </c>
      <c r="N348" s="159">
        <v>220</v>
      </c>
      <c r="O348" s="159">
        <v>392</v>
      </c>
      <c r="P348" s="159">
        <v>2896</v>
      </c>
      <c r="Q348" s="159">
        <v>1500</v>
      </c>
      <c r="R348" s="159">
        <v>2000</v>
      </c>
      <c r="S348" s="159">
        <v>27251</v>
      </c>
      <c r="T348" s="159">
        <v>0</v>
      </c>
      <c r="U348" s="159">
        <v>1363</v>
      </c>
      <c r="V348" s="159">
        <v>4500</v>
      </c>
      <c r="W348" s="159">
        <v>186</v>
      </c>
      <c r="X348" s="159">
        <v>120</v>
      </c>
      <c r="Y348" s="159">
        <v>1500</v>
      </c>
      <c r="Z348" s="159">
        <v>1570</v>
      </c>
      <c r="AA348" s="159">
        <v>0</v>
      </c>
      <c r="AB348" s="159">
        <v>0</v>
      </c>
      <c r="AC348" s="159">
        <v>0</v>
      </c>
      <c r="AD348" s="207">
        <v>58553</v>
      </c>
      <c r="AE348" s="200">
        <v>21.290175616823337</v>
      </c>
      <c r="AF348" s="200">
        <v>22.39775610522382</v>
      </c>
      <c r="AG348" s="200">
        <v>21.524719304409249</v>
      </c>
      <c r="AH348" s="200">
        <v>0</v>
      </c>
      <c r="AI348" s="200">
        <v>0</v>
      </c>
      <c r="AJ348" s="200">
        <v>0</v>
      </c>
      <c r="AL348" s="197">
        <f t="shared" si="49"/>
        <v>67123.15180480454</v>
      </c>
      <c r="AM348" s="197" t="str">
        <f t="shared" si="50"/>
        <v>Box Medium 4</v>
      </c>
      <c r="AN348" s="3">
        <f t="shared" si="51"/>
        <v>10.901377421274951</v>
      </c>
      <c r="AO348" s="3">
        <f t="shared" si="52"/>
        <v>4.2078689060186401</v>
      </c>
      <c r="AP348" s="3">
        <f t="shared" si="53"/>
        <v>0</v>
      </c>
      <c r="AQ348" s="3">
        <f t="shared" si="45"/>
        <v>0</v>
      </c>
      <c r="AR348" s="3">
        <f t="shared" si="46"/>
        <v>4.2078689060186401</v>
      </c>
      <c r="AS348" s="81">
        <f t="shared" si="47"/>
        <v>1</v>
      </c>
      <c r="AT348" s="81">
        <f t="shared" si="48"/>
        <v>0</v>
      </c>
    </row>
    <row r="349" spans="1:46" x14ac:dyDescent="0.25">
      <c r="A349" t="s">
        <v>808</v>
      </c>
      <c r="B349">
        <v>2035</v>
      </c>
      <c r="C349" t="s">
        <v>680</v>
      </c>
      <c r="D349" t="s">
        <v>830</v>
      </c>
      <c r="E349" t="s">
        <v>1028</v>
      </c>
      <c r="F349">
        <v>4</v>
      </c>
      <c r="G349" t="s">
        <v>2084</v>
      </c>
      <c r="H349" s="460">
        <v>3741.8734358657039</v>
      </c>
      <c r="I349">
        <v>1650</v>
      </c>
      <c r="J349">
        <v>160.0000000231087</v>
      </c>
      <c r="K349" s="67">
        <v>108.609375</v>
      </c>
      <c r="L349" s="159">
        <v>0</v>
      </c>
      <c r="M349" s="159">
        <v>10993</v>
      </c>
      <c r="N349" s="159">
        <v>220</v>
      </c>
      <c r="O349" s="159">
        <v>0</v>
      </c>
      <c r="P349" s="159">
        <v>0</v>
      </c>
      <c r="Q349" s="159">
        <v>1500</v>
      </c>
      <c r="R349" s="159">
        <v>2000</v>
      </c>
      <c r="S349" s="159">
        <v>27251</v>
      </c>
      <c r="T349" s="159">
        <v>2038</v>
      </c>
      <c r="U349" s="159">
        <v>17378</v>
      </c>
      <c r="V349" s="159">
        <v>4500</v>
      </c>
      <c r="W349" s="159">
        <v>186</v>
      </c>
      <c r="X349" s="159">
        <v>0</v>
      </c>
      <c r="Y349" s="159">
        <v>1500</v>
      </c>
      <c r="Z349" s="159">
        <v>4341</v>
      </c>
      <c r="AA349" s="159">
        <v>0</v>
      </c>
      <c r="AB349" s="159">
        <v>0</v>
      </c>
      <c r="AC349" s="159">
        <v>0</v>
      </c>
      <c r="AD349" s="207">
        <v>71907</v>
      </c>
      <c r="AE349" s="200">
        <v>76.021483834223446</v>
      </c>
      <c r="AF349" s="200">
        <v>51.988438490340876</v>
      </c>
      <c r="AG349" s="200">
        <v>34.917485760748697</v>
      </c>
      <c r="AH349" s="200">
        <v>455</v>
      </c>
      <c r="AI349" s="200">
        <v>646</v>
      </c>
      <c r="AJ349" s="200">
        <v>823</v>
      </c>
      <c r="AL349" s="197">
        <f t="shared" si="49"/>
        <v>82431.719584446226</v>
      </c>
      <c r="AM349" s="197" t="str">
        <f t="shared" si="50"/>
        <v>Box Medium 4</v>
      </c>
      <c r="AN349" s="3">
        <f t="shared" si="51"/>
        <v>3.086506704153082</v>
      </c>
      <c r="AO349" s="3">
        <f t="shared" si="52"/>
        <v>1.1913738133015566</v>
      </c>
      <c r="AP349" s="3">
        <f t="shared" si="53"/>
        <v>23.931238892962334</v>
      </c>
      <c r="AQ349" s="3">
        <f t="shared" si="45"/>
        <v>0.861524600146644</v>
      </c>
      <c r="AR349" s="3">
        <f t="shared" si="46"/>
        <v>2.0528984134482005</v>
      </c>
      <c r="AS349" s="81">
        <f t="shared" si="47"/>
        <v>0.58033744168589263</v>
      </c>
      <c r="AT349" s="81">
        <f t="shared" si="48"/>
        <v>0.41966255831410743</v>
      </c>
    </row>
    <row r="350" spans="1:46" x14ac:dyDescent="0.25">
      <c r="A350" t="s">
        <v>808</v>
      </c>
      <c r="B350">
        <v>2035</v>
      </c>
      <c r="C350" t="s">
        <v>680</v>
      </c>
      <c r="D350" t="s">
        <v>830</v>
      </c>
      <c r="E350" t="s">
        <v>1028</v>
      </c>
      <c r="F350">
        <v>4</v>
      </c>
      <c r="G350" t="s">
        <v>2085</v>
      </c>
      <c r="H350" s="460">
        <v>3595.7442242150291</v>
      </c>
      <c r="I350">
        <v>1650</v>
      </c>
      <c r="J350">
        <v>160.0000000231087</v>
      </c>
      <c r="K350" s="67">
        <v>98.8035</v>
      </c>
      <c r="L350" s="159">
        <v>0</v>
      </c>
      <c r="M350" s="159">
        <v>7691</v>
      </c>
      <c r="N350" s="159">
        <v>220</v>
      </c>
      <c r="O350" s="159">
        <v>0</v>
      </c>
      <c r="P350" s="159">
        <v>2999</v>
      </c>
      <c r="Q350" s="159">
        <v>1500</v>
      </c>
      <c r="R350" s="159">
        <v>2000</v>
      </c>
      <c r="S350" s="159">
        <v>27251</v>
      </c>
      <c r="T350" s="159">
        <v>1496</v>
      </c>
      <c r="U350" s="159">
        <v>15809</v>
      </c>
      <c r="V350" s="159">
        <v>4500</v>
      </c>
      <c r="W350" s="159">
        <v>186</v>
      </c>
      <c r="X350" s="159">
        <v>0</v>
      </c>
      <c r="Y350" s="159">
        <v>1500</v>
      </c>
      <c r="Z350" s="159">
        <v>2983</v>
      </c>
      <c r="AA350" s="159">
        <v>0</v>
      </c>
      <c r="AB350" s="159">
        <v>0</v>
      </c>
      <c r="AC350" s="159">
        <v>0</v>
      </c>
      <c r="AD350" s="207">
        <v>68135</v>
      </c>
      <c r="AE350" s="200">
        <v>25.457880740420055</v>
      </c>
      <c r="AF350" s="200">
        <v>21.96980534647486</v>
      </c>
      <c r="AG350" s="200">
        <v>17.645278236367066</v>
      </c>
      <c r="AH350" s="200">
        <v>467</v>
      </c>
      <c r="AI350" s="200">
        <v>532</v>
      </c>
      <c r="AJ350" s="200">
        <v>663</v>
      </c>
      <c r="AL350" s="197">
        <f t="shared" si="49"/>
        <v>78107.62810138434</v>
      </c>
      <c r="AM350" s="197" t="str">
        <f t="shared" si="50"/>
        <v>Box Medium 4</v>
      </c>
      <c r="AN350" s="3">
        <f t="shared" si="51"/>
        <v>6.342483959898459</v>
      </c>
      <c r="AO350" s="3">
        <f t="shared" si="52"/>
        <v>2.4481622835747494</v>
      </c>
      <c r="AP350" s="3">
        <f t="shared" si="53"/>
        <v>19.623261709769224</v>
      </c>
      <c r="AQ350" s="3">
        <f t="shared" si="45"/>
        <v>0.70643742155169209</v>
      </c>
      <c r="AR350" s="3">
        <f t="shared" si="46"/>
        <v>3.1545997051264414</v>
      </c>
      <c r="AS350" s="81">
        <f t="shared" si="47"/>
        <v>0.77606115273399578</v>
      </c>
      <c r="AT350" s="81">
        <f t="shared" si="48"/>
        <v>0.22393884726600422</v>
      </c>
    </row>
    <row r="351" spans="1:46" x14ac:dyDescent="0.25">
      <c r="A351" t="s">
        <v>230</v>
      </c>
      <c r="B351">
        <v>2035</v>
      </c>
      <c r="C351" t="s">
        <v>680</v>
      </c>
      <c r="D351" t="s">
        <v>830</v>
      </c>
      <c r="E351" t="s">
        <v>1028</v>
      </c>
      <c r="F351">
        <v>4</v>
      </c>
      <c r="G351" t="s">
        <v>2086</v>
      </c>
      <c r="H351" s="460">
        <v>3426.8377195264156</v>
      </c>
      <c r="I351">
        <v>1650</v>
      </c>
      <c r="J351">
        <v>200.00000001335161</v>
      </c>
      <c r="K351" s="67">
        <v>143.73675</v>
      </c>
      <c r="L351" s="159">
        <v>0</v>
      </c>
      <c r="M351" s="159">
        <v>0</v>
      </c>
      <c r="N351" s="159">
        <v>0</v>
      </c>
      <c r="O351" s="159">
        <v>0</v>
      </c>
      <c r="P351" s="159">
        <v>0</v>
      </c>
      <c r="Q351" s="159">
        <v>1500</v>
      </c>
      <c r="R351" s="159">
        <v>2000</v>
      </c>
      <c r="S351" s="159">
        <v>27251</v>
      </c>
      <c r="T351" s="159">
        <v>0</v>
      </c>
      <c r="U351" s="159">
        <v>22998</v>
      </c>
      <c r="V351" s="159">
        <v>4500</v>
      </c>
      <c r="W351" s="159">
        <v>186</v>
      </c>
      <c r="X351" s="159">
        <v>0</v>
      </c>
      <c r="Y351" s="159">
        <v>1500</v>
      </c>
      <c r="Z351" s="159">
        <v>3678</v>
      </c>
      <c r="AA351" s="159">
        <v>0</v>
      </c>
      <c r="AB351" s="159">
        <v>0</v>
      </c>
      <c r="AC351" s="159">
        <v>0</v>
      </c>
      <c r="AD351" s="207">
        <v>63613</v>
      </c>
      <c r="AE351" s="200">
        <v>0</v>
      </c>
      <c r="AF351" s="200">
        <v>0</v>
      </c>
      <c r="AG351" s="200">
        <v>0</v>
      </c>
      <c r="AH351" s="200">
        <v>429</v>
      </c>
      <c r="AI351" s="200">
        <v>615</v>
      </c>
      <c r="AJ351" s="200">
        <v>772</v>
      </c>
      <c r="AL351" s="197">
        <f t="shared" si="49"/>
        <v>72923.762330863174</v>
      </c>
      <c r="AM351" s="197" t="str">
        <f t="shared" si="50"/>
        <v>Box Medium 4</v>
      </c>
      <c r="AN351" s="3">
        <f t="shared" si="51"/>
        <v>0</v>
      </c>
      <c r="AO351" s="3">
        <f t="shared" si="52"/>
        <v>0</v>
      </c>
      <c r="AP351" s="3">
        <f t="shared" si="53"/>
        <v>44.960667105770071</v>
      </c>
      <c r="AQ351" s="3">
        <f t="shared" si="45"/>
        <v>1.6185840158077227</v>
      </c>
      <c r="AR351" s="3">
        <f t="shared" si="46"/>
        <v>1.6185840158077227</v>
      </c>
      <c r="AS351" s="81">
        <f t="shared" si="47"/>
        <v>0</v>
      </c>
      <c r="AT351" s="81">
        <f t="shared" si="48"/>
        <v>1</v>
      </c>
    </row>
    <row r="352" spans="1:46" x14ac:dyDescent="0.25">
      <c r="A352" t="s">
        <v>496</v>
      </c>
      <c r="B352">
        <v>2035</v>
      </c>
      <c r="C352" t="s">
        <v>680</v>
      </c>
      <c r="D352" t="s">
        <v>830</v>
      </c>
      <c r="E352" t="s">
        <v>1028</v>
      </c>
      <c r="F352">
        <v>4</v>
      </c>
      <c r="G352" t="s">
        <v>2087</v>
      </c>
      <c r="H352" s="460">
        <v>3114.1224660786329</v>
      </c>
      <c r="I352">
        <v>1650</v>
      </c>
      <c r="J352">
        <v>200.00000001335161</v>
      </c>
      <c r="K352" s="67">
        <v>3.6432000000000002</v>
      </c>
      <c r="L352" s="159">
        <v>0</v>
      </c>
      <c r="M352" s="159">
        <v>0</v>
      </c>
      <c r="N352" s="159">
        <v>0</v>
      </c>
      <c r="O352" s="159">
        <v>0</v>
      </c>
      <c r="P352" s="159">
        <v>0</v>
      </c>
      <c r="Q352" s="159">
        <v>1500</v>
      </c>
      <c r="R352" s="159">
        <v>2000</v>
      </c>
      <c r="S352" s="159">
        <v>27251</v>
      </c>
      <c r="T352" s="159">
        <v>0</v>
      </c>
      <c r="U352" s="159">
        <v>1239</v>
      </c>
      <c r="V352" s="159">
        <v>4500</v>
      </c>
      <c r="W352" s="159">
        <v>186</v>
      </c>
      <c r="X352" s="159">
        <v>0</v>
      </c>
      <c r="Y352" s="159">
        <v>1500</v>
      </c>
      <c r="Z352" s="159">
        <v>3871</v>
      </c>
      <c r="AA352" s="159">
        <v>18276</v>
      </c>
      <c r="AB352" s="159">
        <v>4731</v>
      </c>
      <c r="AC352" s="159">
        <v>0</v>
      </c>
      <c r="AD352" s="207">
        <v>65054</v>
      </c>
      <c r="AE352" s="200">
        <v>45.807143446663758</v>
      </c>
      <c r="AF352" s="200">
        <v>37.916243306734259</v>
      </c>
      <c r="AG352" s="200">
        <v>29.54748150352788</v>
      </c>
      <c r="AH352" s="200">
        <v>0</v>
      </c>
      <c r="AI352" s="200">
        <v>0</v>
      </c>
      <c r="AJ352" s="200">
        <v>0</v>
      </c>
      <c r="AL352" s="197">
        <f t="shared" si="49"/>
        <v>74575.675328501602</v>
      </c>
      <c r="AM352" s="197" t="str">
        <f t="shared" si="50"/>
        <v>Box Medium 4</v>
      </c>
      <c r="AN352" s="3">
        <f t="shared" si="51"/>
        <v>7.5198796776981247</v>
      </c>
      <c r="AO352" s="3">
        <f t="shared" si="52"/>
        <v>2.9026302502869128</v>
      </c>
      <c r="AP352" s="3">
        <f t="shared" si="53"/>
        <v>0</v>
      </c>
      <c r="AQ352" s="3">
        <f t="shared" si="45"/>
        <v>0</v>
      </c>
      <c r="AR352" s="3">
        <f t="shared" si="46"/>
        <v>2.9026302502869128</v>
      </c>
      <c r="AS352" s="81">
        <f t="shared" si="47"/>
        <v>1</v>
      </c>
      <c r="AT352" s="81">
        <f t="shared" si="48"/>
        <v>0</v>
      </c>
    </row>
    <row r="353" spans="1:46" x14ac:dyDescent="0.25">
      <c r="A353" t="s">
        <v>828</v>
      </c>
      <c r="B353">
        <v>2035</v>
      </c>
      <c r="C353" t="s">
        <v>680</v>
      </c>
      <c r="D353" t="s">
        <v>830</v>
      </c>
      <c r="E353" t="s">
        <v>1028</v>
      </c>
      <c r="F353">
        <v>4</v>
      </c>
      <c r="G353" t="s">
        <v>2088</v>
      </c>
      <c r="H353" s="460">
        <v>3084.0645897828608</v>
      </c>
      <c r="I353">
        <v>1650</v>
      </c>
      <c r="J353">
        <v>200.00000001335161</v>
      </c>
      <c r="K353" s="67">
        <v>35.499749999999999</v>
      </c>
      <c r="L353" s="159">
        <v>0</v>
      </c>
      <c r="M353" s="159">
        <v>0</v>
      </c>
      <c r="N353" s="159">
        <v>0</v>
      </c>
      <c r="O353" s="159">
        <v>0</v>
      </c>
      <c r="P353" s="159">
        <v>0</v>
      </c>
      <c r="Q353" s="159">
        <v>1500</v>
      </c>
      <c r="R353" s="159">
        <v>2000</v>
      </c>
      <c r="S353" s="159">
        <v>27251</v>
      </c>
      <c r="T353" s="159">
        <v>0</v>
      </c>
      <c r="U353" s="159">
        <v>5680</v>
      </c>
      <c r="V353" s="159">
        <v>4500</v>
      </c>
      <c r="W353" s="159">
        <v>186</v>
      </c>
      <c r="X353" s="159">
        <v>0</v>
      </c>
      <c r="Y353" s="159">
        <v>1500</v>
      </c>
      <c r="Z353" s="159">
        <v>4972</v>
      </c>
      <c r="AA353" s="159">
        <v>5973</v>
      </c>
      <c r="AB353" s="159">
        <v>3210</v>
      </c>
      <c r="AC353" s="159">
        <v>0</v>
      </c>
      <c r="AD353" s="207">
        <v>56772</v>
      </c>
      <c r="AE353" s="200">
        <v>48.735590403669455</v>
      </c>
      <c r="AF353" s="200">
        <v>34.4066721410329</v>
      </c>
      <c r="AG353" s="200">
        <v>26.283129139744659</v>
      </c>
      <c r="AH353" s="200">
        <v>0</v>
      </c>
      <c r="AI353" s="200">
        <v>0</v>
      </c>
      <c r="AJ353" s="200">
        <v>0</v>
      </c>
      <c r="AL353" s="197">
        <f t="shared" si="49"/>
        <v>65081.474463517894</v>
      </c>
      <c r="AM353" s="197" t="str">
        <f t="shared" si="50"/>
        <v>Box Medium 4</v>
      </c>
      <c r="AN353" s="3">
        <f t="shared" si="51"/>
        <v>8.3468222168998665</v>
      </c>
      <c r="AO353" s="3">
        <f t="shared" si="52"/>
        <v>3.2218253082417219</v>
      </c>
      <c r="AP353" s="3">
        <f t="shared" si="53"/>
        <v>0</v>
      </c>
      <c r="AQ353" s="3">
        <f t="shared" si="45"/>
        <v>0</v>
      </c>
      <c r="AR353" s="3">
        <f t="shared" si="46"/>
        <v>3.2218253082417219</v>
      </c>
      <c r="AS353" s="81">
        <f t="shared" si="47"/>
        <v>1</v>
      </c>
      <c r="AT353" s="81">
        <f t="shared" si="48"/>
        <v>0</v>
      </c>
    </row>
    <row r="354" spans="1:46" x14ac:dyDescent="0.25">
      <c r="A354" t="s">
        <v>805</v>
      </c>
      <c r="B354">
        <v>2050</v>
      </c>
      <c r="C354" t="s">
        <v>680</v>
      </c>
      <c r="D354" t="s">
        <v>830</v>
      </c>
      <c r="E354" t="s">
        <v>1028</v>
      </c>
      <c r="F354">
        <v>4</v>
      </c>
      <c r="G354" t="s">
        <v>2089</v>
      </c>
      <c r="H354" s="460">
        <v>3384.7166357366677</v>
      </c>
      <c r="I354">
        <v>1650</v>
      </c>
      <c r="J354">
        <v>0</v>
      </c>
      <c r="K354" s="67">
        <v>0</v>
      </c>
      <c r="L354" s="159">
        <v>150</v>
      </c>
      <c r="M354" s="159">
        <v>20164</v>
      </c>
      <c r="N354" s="159">
        <v>1920</v>
      </c>
      <c r="O354" s="159">
        <v>506</v>
      </c>
      <c r="P354" s="159">
        <v>5378</v>
      </c>
      <c r="Q354" s="159">
        <v>1500</v>
      </c>
      <c r="R354" s="159">
        <v>2000</v>
      </c>
      <c r="S354" s="159">
        <v>27325</v>
      </c>
      <c r="T354" s="159">
        <v>44</v>
      </c>
      <c r="U354" s="159">
        <v>120</v>
      </c>
      <c r="V354" s="159">
        <v>0</v>
      </c>
      <c r="W354" s="159">
        <v>186</v>
      </c>
      <c r="X354" s="159">
        <v>0</v>
      </c>
      <c r="Y354" s="159">
        <v>0</v>
      </c>
      <c r="Z354" s="159">
        <v>0</v>
      </c>
      <c r="AA354" s="159">
        <v>0</v>
      </c>
      <c r="AB354" s="159">
        <v>0</v>
      </c>
      <c r="AC354" s="159">
        <v>0</v>
      </c>
      <c r="AD354" s="207">
        <v>59293</v>
      </c>
      <c r="AE354" s="200">
        <v>16.425559601819341</v>
      </c>
      <c r="AF354" s="200">
        <v>27.630263453598459</v>
      </c>
      <c r="AG354" s="200">
        <v>22.457783240459939</v>
      </c>
      <c r="AH354" s="200">
        <v>0</v>
      </c>
      <c r="AI354" s="200">
        <v>0</v>
      </c>
      <c r="AJ354" s="200">
        <v>0</v>
      </c>
      <c r="AL354" s="197">
        <f t="shared" si="49"/>
        <v>67971.462435097696</v>
      </c>
      <c r="AM354" s="197" t="str">
        <f t="shared" si="50"/>
        <v>Box Medium 4</v>
      </c>
      <c r="AN354" s="3">
        <f t="shared" si="51"/>
        <v>10.681834644916659</v>
      </c>
      <c r="AO354" s="3">
        <f t="shared" si="52"/>
        <v>4.1231266586420681</v>
      </c>
      <c r="AP354" s="3">
        <f t="shared" si="53"/>
        <v>0</v>
      </c>
      <c r="AQ354" s="3">
        <f t="shared" si="45"/>
        <v>0</v>
      </c>
      <c r="AR354" s="3">
        <f t="shared" si="46"/>
        <v>4.1231266586420681</v>
      </c>
      <c r="AS354" s="81">
        <f t="shared" si="47"/>
        <v>1</v>
      </c>
      <c r="AT354" s="81">
        <f t="shared" si="48"/>
        <v>0</v>
      </c>
    </row>
    <row r="355" spans="1:46" x14ac:dyDescent="0.25">
      <c r="A355" t="s">
        <v>805</v>
      </c>
      <c r="B355">
        <v>2050</v>
      </c>
      <c r="C355" t="s">
        <v>680</v>
      </c>
      <c r="D355" t="s">
        <v>830</v>
      </c>
      <c r="E355" t="s">
        <v>1028</v>
      </c>
      <c r="F355">
        <v>4</v>
      </c>
      <c r="G355" t="s">
        <v>2090</v>
      </c>
      <c r="H355" s="460">
        <v>3142.0613580076833</v>
      </c>
      <c r="I355">
        <v>1650</v>
      </c>
      <c r="J355">
        <v>0</v>
      </c>
      <c r="K355" s="67">
        <v>0</v>
      </c>
      <c r="L355" s="159">
        <v>150</v>
      </c>
      <c r="M355" s="159">
        <v>28717</v>
      </c>
      <c r="N355" s="159">
        <v>1920</v>
      </c>
      <c r="O355" s="159">
        <v>506</v>
      </c>
      <c r="P355" s="159">
        <v>3853</v>
      </c>
      <c r="Q355" s="159">
        <v>1500</v>
      </c>
      <c r="R355" s="159">
        <v>2000</v>
      </c>
      <c r="S355" s="159">
        <v>27325</v>
      </c>
      <c r="T355" s="159">
        <v>44</v>
      </c>
      <c r="U355" s="159">
        <v>120</v>
      </c>
      <c r="V355" s="159">
        <v>0</v>
      </c>
      <c r="W355" s="159">
        <v>186</v>
      </c>
      <c r="X355" s="159">
        <v>0</v>
      </c>
      <c r="Y355" s="159">
        <v>0</v>
      </c>
      <c r="Z355" s="159">
        <v>0</v>
      </c>
      <c r="AA355" s="159">
        <v>0</v>
      </c>
      <c r="AB355" s="159">
        <v>0</v>
      </c>
      <c r="AC355" s="159">
        <v>0</v>
      </c>
      <c r="AD355" s="207">
        <v>66321</v>
      </c>
      <c r="AE355" s="200">
        <v>11.820089048499083</v>
      </c>
      <c r="AF355" s="200">
        <v>18.615244901785399</v>
      </c>
      <c r="AG355" s="200">
        <v>15.502923615507713</v>
      </c>
      <c r="AH355" s="200">
        <v>0</v>
      </c>
      <c r="AI355" s="200">
        <v>0</v>
      </c>
      <c r="AJ355" s="200">
        <v>0</v>
      </c>
      <c r="AL355" s="197">
        <f t="shared" si="49"/>
        <v>76028.120691449483</v>
      </c>
      <c r="AM355" s="197" t="str">
        <f t="shared" si="50"/>
        <v>Box Medium 4</v>
      </c>
      <c r="AN355" s="3">
        <f t="shared" si="51"/>
        <v>15.416735049099806</v>
      </c>
      <c r="AO355" s="3">
        <f t="shared" si="52"/>
        <v>5.950770947424723</v>
      </c>
      <c r="AP355" s="3">
        <f t="shared" si="53"/>
        <v>0</v>
      </c>
      <c r="AQ355" s="3">
        <f t="shared" si="45"/>
        <v>0</v>
      </c>
      <c r="AR355" s="3">
        <f t="shared" si="46"/>
        <v>5.950770947424723</v>
      </c>
      <c r="AS355" s="81">
        <f t="shared" si="47"/>
        <v>1</v>
      </c>
      <c r="AT355" s="81">
        <f t="shared" si="48"/>
        <v>0</v>
      </c>
    </row>
    <row r="356" spans="1:46" x14ac:dyDescent="0.25">
      <c r="A356" t="s">
        <v>807</v>
      </c>
      <c r="B356">
        <v>2050</v>
      </c>
      <c r="C356" t="s">
        <v>680</v>
      </c>
      <c r="D356" t="s">
        <v>830</v>
      </c>
      <c r="E356" t="s">
        <v>1028</v>
      </c>
      <c r="F356">
        <v>4</v>
      </c>
      <c r="G356" t="s">
        <v>2091</v>
      </c>
      <c r="H356" s="460">
        <v>3341.0719425763946</v>
      </c>
      <c r="I356">
        <v>1650</v>
      </c>
      <c r="J356">
        <v>0</v>
      </c>
      <c r="K356" s="67">
        <v>2.8512000000000004</v>
      </c>
      <c r="L356" s="159">
        <v>150</v>
      </c>
      <c r="M356" s="159">
        <v>16092</v>
      </c>
      <c r="N356" s="159">
        <v>220</v>
      </c>
      <c r="O356" s="159">
        <v>392</v>
      </c>
      <c r="P356" s="159">
        <v>4502</v>
      </c>
      <c r="Q356" s="159">
        <v>1500</v>
      </c>
      <c r="R356" s="159">
        <v>2000</v>
      </c>
      <c r="S356" s="159">
        <v>27325</v>
      </c>
      <c r="T356" s="159">
        <v>0</v>
      </c>
      <c r="U356" s="159">
        <v>916</v>
      </c>
      <c r="V356" s="159">
        <v>4500</v>
      </c>
      <c r="W356" s="159">
        <v>186</v>
      </c>
      <c r="X356" s="159">
        <v>120</v>
      </c>
      <c r="Y356" s="159">
        <v>1500</v>
      </c>
      <c r="Z356" s="159">
        <v>1115</v>
      </c>
      <c r="AA356" s="159">
        <v>0</v>
      </c>
      <c r="AB356" s="159">
        <v>0</v>
      </c>
      <c r="AC356" s="159">
        <v>0</v>
      </c>
      <c r="AD356" s="207">
        <v>60518</v>
      </c>
      <c r="AE356" s="200">
        <v>30.590312540504812</v>
      </c>
      <c r="AF356" s="200">
        <v>32.081652655176889</v>
      </c>
      <c r="AG356" s="200">
        <v>25.64135274180504</v>
      </c>
      <c r="AH356" s="200">
        <v>0</v>
      </c>
      <c r="AI356" s="200">
        <v>0</v>
      </c>
      <c r="AJ356" s="200">
        <v>0</v>
      </c>
      <c r="AL356" s="197">
        <f t="shared" si="49"/>
        <v>69375.760437947858</v>
      </c>
      <c r="AM356" s="197" t="str">
        <f t="shared" si="50"/>
        <v>Box Medium 4</v>
      </c>
      <c r="AN356" s="3">
        <f t="shared" si="51"/>
        <v>8.8591299133739714</v>
      </c>
      <c r="AO356" s="3">
        <f t="shared" si="52"/>
        <v>3.4195731288153262</v>
      </c>
      <c r="AP356" s="3">
        <f t="shared" si="53"/>
        <v>0</v>
      </c>
      <c r="AQ356" s="3">
        <f t="shared" si="45"/>
        <v>0</v>
      </c>
      <c r="AR356" s="3">
        <f t="shared" si="46"/>
        <v>3.4195731288153262</v>
      </c>
      <c r="AS356" s="81">
        <f t="shared" si="47"/>
        <v>1</v>
      </c>
      <c r="AT356" s="81">
        <f t="shared" si="48"/>
        <v>0</v>
      </c>
    </row>
    <row r="357" spans="1:46" x14ac:dyDescent="0.25">
      <c r="A357" t="s">
        <v>807</v>
      </c>
      <c r="B357">
        <v>2050</v>
      </c>
      <c r="C357" t="s">
        <v>680</v>
      </c>
      <c r="D357" t="s">
        <v>830</v>
      </c>
      <c r="E357" t="s">
        <v>1028</v>
      </c>
      <c r="F357">
        <v>4</v>
      </c>
      <c r="G357" t="s">
        <v>2092</v>
      </c>
      <c r="H357" s="460">
        <v>3128.2546751244327</v>
      </c>
      <c r="I357">
        <v>1650</v>
      </c>
      <c r="J357">
        <v>0</v>
      </c>
      <c r="K357" s="67">
        <v>3.9124800000000004</v>
      </c>
      <c r="L357" s="159">
        <v>150</v>
      </c>
      <c r="M357" s="159">
        <v>14563</v>
      </c>
      <c r="N357" s="159">
        <v>220</v>
      </c>
      <c r="O357" s="159">
        <v>392</v>
      </c>
      <c r="P357" s="159">
        <v>2783</v>
      </c>
      <c r="Q357" s="159">
        <v>1500</v>
      </c>
      <c r="R357" s="159">
        <v>2000</v>
      </c>
      <c r="S357" s="159">
        <v>27325</v>
      </c>
      <c r="T357" s="159">
        <v>0</v>
      </c>
      <c r="U357" s="159">
        <v>1257</v>
      </c>
      <c r="V357" s="159">
        <v>4500</v>
      </c>
      <c r="W357" s="159">
        <v>186</v>
      </c>
      <c r="X357" s="159">
        <v>120</v>
      </c>
      <c r="Y357" s="159">
        <v>1500</v>
      </c>
      <c r="Z357" s="159">
        <v>1157</v>
      </c>
      <c r="AA357" s="159">
        <v>0</v>
      </c>
      <c r="AB357" s="159">
        <v>0</v>
      </c>
      <c r="AC357" s="159">
        <v>0</v>
      </c>
      <c r="AD357" s="207">
        <v>57653</v>
      </c>
      <c r="AE357" s="200">
        <v>25.909819409459026</v>
      </c>
      <c r="AF357" s="200">
        <v>25.527938326409032</v>
      </c>
      <c r="AG357" s="200">
        <v>24.520643174357666</v>
      </c>
      <c r="AH357" s="200">
        <v>0</v>
      </c>
      <c r="AI357" s="200">
        <v>0</v>
      </c>
      <c r="AJ357" s="200">
        <v>0</v>
      </c>
      <c r="AL357" s="197">
        <f t="shared" si="49"/>
        <v>66091.422659853401</v>
      </c>
      <c r="AM357" s="197" t="str">
        <f t="shared" si="50"/>
        <v>Box Medium 4</v>
      </c>
      <c r="AN357" s="3">
        <f t="shared" si="51"/>
        <v>9.5070378198160945</v>
      </c>
      <c r="AO357" s="3">
        <f t="shared" si="52"/>
        <v>3.6696618495453159</v>
      </c>
      <c r="AP357" s="3">
        <f t="shared" si="53"/>
        <v>0</v>
      </c>
      <c r="AQ357" s="3">
        <f t="shared" si="45"/>
        <v>0</v>
      </c>
      <c r="AR357" s="3">
        <f t="shared" si="46"/>
        <v>3.6696618495453159</v>
      </c>
      <c r="AS357" s="81">
        <f t="shared" si="47"/>
        <v>1</v>
      </c>
      <c r="AT357" s="81">
        <f t="shared" si="48"/>
        <v>0</v>
      </c>
    </row>
    <row r="358" spans="1:46" x14ac:dyDescent="0.25">
      <c r="A358" t="s">
        <v>808</v>
      </c>
      <c r="B358">
        <v>2050</v>
      </c>
      <c r="C358" t="s">
        <v>680</v>
      </c>
      <c r="D358" t="s">
        <v>830</v>
      </c>
      <c r="E358" t="s">
        <v>1028</v>
      </c>
      <c r="F358">
        <v>4</v>
      </c>
      <c r="G358" t="s">
        <v>2093</v>
      </c>
      <c r="H358" s="460">
        <v>3456.1581342496811</v>
      </c>
      <c r="I358">
        <v>1650</v>
      </c>
      <c r="J358">
        <v>160.0000000231087</v>
      </c>
      <c r="K358" s="67">
        <v>97.314000000000007</v>
      </c>
      <c r="L358" s="159">
        <v>0</v>
      </c>
      <c r="M358" s="159">
        <v>10841</v>
      </c>
      <c r="N358" s="159">
        <v>220</v>
      </c>
      <c r="O358" s="159">
        <v>0</v>
      </c>
      <c r="P358" s="159">
        <v>0</v>
      </c>
      <c r="Q358" s="159">
        <v>1500</v>
      </c>
      <c r="R358" s="159">
        <v>2000</v>
      </c>
      <c r="S358" s="159">
        <v>27325</v>
      </c>
      <c r="T358" s="159">
        <v>1317</v>
      </c>
      <c r="U358" s="159">
        <v>8758</v>
      </c>
      <c r="V358" s="159">
        <v>4500</v>
      </c>
      <c r="W358" s="159">
        <v>186</v>
      </c>
      <c r="X358" s="159">
        <v>0</v>
      </c>
      <c r="Y358" s="159">
        <v>1500</v>
      </c>
      <c r="Z358" s="159">
        <v>3076</v>
      </c>
      <c r="AA358" s="159">
        <v>0</v>
      </c>
      <c r="AB358" s="159">
        <v>0</v>
      </c>
      <c r="AC358" s="159">
        <v>0</v>
      </c>
      <c r="AD358" s="207">
        <v>61223</v>
      </c>
      <c r="AE358" s="200">
        <v>86.645032389200566</v>
      </c>
      <c r="AF358" s="200">
        <v>58.079336992407256</v>
      </c>
      <c r="AG358" s="200">
        <v>39.959943231326555</v>
      </c>
      <c r="AH358" s="200">
        <v>400</v>
      </c>
      <c r="AI358" s="200">
        <v>578</v>
      </c>
      <c r="AJ358" s="200">
        <v>741</v>
      </c>
      <c r="AL358" s="197">
        <f t="shared" si="49"/>
        <v>70183.948268159584</v>
      </c>
      <c r="AM358" s="197" t="str">
        <f t="shared" si="50"/>
        <v>Box Medium 4</v>
      </c>
      <c r="AN358" s="3">
        <f t="shared" si="51"/>
        <v>2.7019205190392079</v>
      </c>
      <c r="AO358" s="3">
        <f t="shared" si="52"/>
        <v>1.0429257605933937</v>
      </c>
      <c r="AP358" s="3">
        <f t="shared" si="53"/>
        <v>21.506642474554788</v>
      </c>
      <c r="AQ358" s="3">
        <f t="shared" si="45"/>
        <v>0.77423912908397241</v>
      </c>
      <c r="AR358" s="3">
        <f t="shared" si="46"/>
        <v>1.817164889677366</v>
      </c>
      <c r="AS358" s="81">
        <f t="shared" si="47"/>
        <v>0.5739301736005713</v>
      </c>
      <c r="AT358" s="81">
        <f t="shared" si="48"/>
        <v>0.42606982639942875</v>
      </c>
    </row>
    <row r="359" spans="1:46" x14ac:dyDescent="0.25">
      <c r="A359" t="s">
        <v>808</v>
      </c>
      <c r="B359">
        <v>2050</v>
      </c>
      <c r="C359" t="s">
        <v>680</v>
      </c>
      <c r="D359" t="s">
        <v>830</v>
      </c>
      <c r="E359" t="s">
        <v>1028</v>
      </c>
      <c r="F359">
        <v>4</v>
      </c>
      <c r="G359" t="s">
        <v>2094</v>
      </c>
      <c r="H359" s="460">
        <v>3352.2571531779804</v>
      </c>
      <c r="I359">
        <v>1650</v>
      </c>
      <c r="J359">
        <v>160.0000000231087</v>
      </c>
      <c r="K359" s="67">
        <v>87.384</v>
      </c>
      <c r="L359" s="159">
        <v>0</v>
      </c>
      <c r="M359" s="159">
        <v>7889</v>
      </c>
      <c r="N359" s="159">
        <v>220</v>
      </c>
      <c r="O359" s="159">
        <v>0</v>
      </c>
      <c r="P359" s="159">
        <v>2927</v>
      </c>
      <c r="Q359" s="159">
        <v>1500</v>
      </c>
      <c r="R359" s="159">
        <v>2000</v>
      </c>
      <c r="S359" s="159">
        <v>27325</v>
      </c>
      <c r="T359" s="159">
        <v>975</v>
      </c>
      <c r="U359" s="159">
        <v>7865</v>
      </c>
      <c r="V359" s="159">
        <v>4500</v>
      </c>
      <c r="W359" s="159">
        <v>186</v>
      </c>
      <c r="X359" s="159">
        <v>0</v>
      </c>
      <c r="Y359" s="159">
        <v>1500</v>
      </c>
      <c r="Z359" s="159">
        <v>2116</v>
      </c>
      <c r="AA359" s="159">
        <v>0</v>
      </c>
      <c r="AB359" s="159">
        <v>0</v>
      </c>
      <c r="AC359" s="159">
        <v>0</v>
      </c>
      <c r="AD359" s="207">
        <v>59003</v>
      </c>
      <c r="AE359" s="200">
        <v>30.195689459797084</v>
      </c>
      <c r="AF359" s="200">
        <v>25.622434005643303</v>
      </c>
      <c r="AG359" s="200">
        <v>20.604477519340364</v>
      </c>
      <c r="AH359" s="200">
        <v>413</v>
      </c>
      <c r="AI359" s="200">
        <v>476</v>
      </c>
      <c r="AJ359" s="200">
        <v>596</v>
      </c>
      <c r="AL359" s="197">
        <f t="shared" si="49"/>
        <v>67639.016377280117</v>
      </c>
      <c r="AM359" s="197" t="str">
        <f t="shared" si="50"/>
        <v>Box Medium 4</v>
      </c>
      <c r="AN359" s="3">
        <f t="shared" si="51"/>
        <v>5.4259566645768453</v>
      </c>
      <c r="AO359" s="3">
        <f t="shared" si="52"/>
        <v>2.0943880256562366</v>
      </c>
      <c r="AP359" s="3">
        <f t="shared" si="53"/>
        <v>17.612810220338773</v>
      </c>
      <c r="AQ359" s="3">
        <f t="shared" si="45"/>
        <v>0.6340611679321958</v>
      </c>
      <c r="AR359" s="3">
        <f t="shared" si="46"/>
        <v>2.7284491935884323</v>
      </c>
      <c r="AS359" s="81">
        <f t="shared" si="47"/>
        <v>0.76761115089767018</v>
      </c>
      <c r="AT359" s="81">
        <f t="shared" si="48"/>
        <v>0.23238884910232988</v>
      </c>
    </row>
    <row r="360" spans="1:46" x14ac:dyDescent="0.25">
      <c r="A360" t="s">
        <v>230</v>
      </c>
      <c r="B360">
        <v>2050</v>
      </c>
      <c r="C360" t="s">
        <v>680</v>
      </c>
      <c r="D360" t="s">
        <v>830</v>
      </c>
      <c r="E360" t="s">
        <v>1028</v>
      </c>
      <c r="F360">
        <v>4</v>
      </c>
      <c r="G360" t="s">
        <v>2095</v>
      </c>
      <c r="H360" s="460">
        <v>3114.7725514202093</v>
      </c>
      <c r="I360">
        <v>1650</v>
      </c>
      <c r="J360">
        <v>200.00000001335161</v>
      </c>
      <c r="K360" s="67">
        <v>131.07599999999999</v>
      </c>
      <c r="L360" s="159">
        <v>0</v>
      </c>
      <c r="M360" s="159">
        <v>0</v>
      </c>
      <c r="N360" s="159">
        <v>0</v>
      </c>
      <c r="O360" s="159">
        <v>0</v>
      </c>
      <c r="P360" s="159">
        <v>0</v>
      </c>
      <c r="Q360" s="159">
        <v>1500</v>
      </c>
      <c r="R360" s="159">
        <v>2000</v>
      </c>
      <c r="S360" s="159">
        <v>27325</v>
      </c>
      <c r="T360" s="159">
        <v>0</v>
      </c>
      <c r="U360" s="159">
        <v>11797</v>
      </c>
      <c r="V360" s="159">
        <v>4500</v>
      </c>
      <c r="W360" s="159">
        <v>186</v>
      </c>
      <c r="X360" s="159">
        <v>0</v>
      </c>
      <c r="Y360" s="159">
        <v>1500</v>
      </c>
      <c r="Z360" s="159">
        <v>2605</v>
      </c>
      <c r="AA360" s="159">
        <v>0</v>
      </c>
      <c r="AB360" s="159">
        <v>0</v>
      </c>
      <c r="AC360" s="159">
        <v>0</v>
      </c>
      <c r="AD360" s="207">
        <v>51413</v>
      </c>
      <c r="AE360" s="200">
        <v>0</v>
      </c>
      <c r="AF360" s="200">
        <v>0</v>
      </c>
      <c r="AG360" s="200">
        <v>0</v>
      </c>
      <c r="AH360" s="200">
        <v>375</v>
      </c>
      <c r="AI360" s="200">
        <v>550</v>
      </c>
      <c r="AJ360" s="200">
        <v>696</v>
      </c>
      <c r="AL360" s="197">
        <f t="shared" si="49"/>
        <v>58938.100588192166</v>
      </c>
      <c r="AM360" s="197" t="str">
        <f t="shared" si="50"/>
        <v>Box Medium 4</v>
      </c>
      <c r="AN360" s="3">
        <f t="shared" si="51"/>
        <v>0</v>
      </c>
      <c r="AO360" s="3">
        <f t="shared" si="52"/>
        <v>0</v>
      </c>
      <c r="AP360" s="3">
        <f t="shared" si="53"/>
        <v>40.436452210222825</v>
      </c>
      <c r="AQ360" s="3">
        <f t="shared" si="45"/>
        <v>1.4557122795680217</v>
      </c>
      <c r="AR360" s="3">
        <f t="shared" si="46"/>
        <v>1.4557122795680217</v>
      </c>
      <c r="AS360" s="81">
        <f t="shared" si="47"/>
        <v>0</v>
      </c>
      <c r="AT360" s="81">
        <f t="shared" si="48"/>
        <v>1</v>
      </c>
    </row>
    <row r="361" spans="1:46" x14ac:dyDescent="0.25">
      <c r="A361" t="s">
        <v>496</v>
      </c>
      <c r="B361">
        <v>2050</v>
      </c>
      <c r="C361" t="s">
        <v>680</v>
      </c>
      <c r="D361" t="s">
        <v>830</v>
      </c>
      <c r="E361" t="s">
        <v>1028</v>
      </c>
      <c r="F361">
        <v>4</v>
      </c>
      <c r="G361" t="s">
        <v>2096</v>
      </c>
      <c r="H361" s="460">
        <v>2980.082928075376</v>
      </c>
      <c r="I361">
        <v>1650</v>
      </c>
      <c r="J361">
        <v>200.00000001335161</v>
      </c>
      <c r="K361" s="67">
        <v>3.6115200000000005</v>
      </c>
      <c r="L361" s="159">
        <v>0</v>
      </c>
      <c r="M361" s="159">
        <v>0</v>
      </c>
      <c r="N361" s="159">
        <v>0</v>
      </c>
      <c r="O361" s="159">
        <v>0</v>
      </c>
      <c r="P361" s="159">
        <v>0</v>
      </c>
      <c r="Q361" s="159">
        <v>1500</v>
      </c>
      <c r="R361" s="159">
        <v>2000</v>
      </c>
      <c r="S361" s="159">
        <v>27325</v>
      </c>
      <c r="T361" s="159">
        <v>0</v>
      </c>
      <c r="U361" s="159">
        <v>1160</v>
      </c>
      <c r="V361" s="159">
        <v>4500</v>
      </c>
      <c r="W361" s="159">
        <v>186</v>
      </c>
      <c r="X361" s="159">
        <v>0</v>
      </c>
      <c r="Y361" s="159">
        <v>1500</v>
      </c>
      <c r="Z361" s="159">
        <v>2799</v>
      </c>
      <c r="AA361" s="159">
        <v>15175</v>
      </c>
      <c r="AB361" s="159">
        <v>2890</v>
      </c>
      <c r="AC361" s="159">
        <v>0</v>
      </c>
      <c r="AD361" s="207">
        <v>59035</v>
      </c>
      <c r="AE361" s="200">
        <v>50.831862972600611</v>
      </c>
      <c r="AF361" s="200">
        <v>42.607548698471014</v>
      </c>
      <c r="AG361" s="200">
        <v>33.053140551073604</v>
      </c>
      <c r="AH361" s="200">
        <v>0</v>
      </c>
      <c r="AI361" s="200">
        <v>0</v>
      </c>
      <c r="AJ361" s="200">
        <v>0</v>
      </c>
      <c r="AL361" s="197">
        <f t="shared" si="49"/>
        <v>67675.700080211711</v>
      </c>
      <c r="AM361" s="197" t="str">
        <f t="shared" si="50"/>
        <v>Box Medium 4</v>
      </c>
      <c r="AN361" s="3">
        <f t="shared" si="51"/>
        <v>6.7237568069202416</v>
      </c>
      <c r="AO361" s="3">
        <f t="shared" si="52"/>
        <v>2.5953314068601379</v>
      </c>
      <c r="AP361" s="3">
        <f t="shared" si="53"/>
        <v>0</v>
      </c>
      <c r="AQ361" s="3">
        <f t="shared" si="45"/>
        <v>0</v>
      </c>
      <c r="AR361" s="3">
        <f t="shared" si="46"/>
        <v>2.5953314068601379</v>
      </c>
      <c r="AS361" s="81">
        <f t="shared" si="47"/>
        <v>1</v>
      </c>
      <c r="AT361" s="81">
        <f t="shared" si="48"/>
        <v>0</v>
      </c>
    </row>
    <row r="362" spans="1:46" x14ac:dyDescent="0.25">
      <c r="A362" t="s">
        <v>828</v>
      </c>
      <c r="B362">
        <v>2050</v>
      </c>
      <c r="C362" t="s">
        <v>680</v>
      </c>
      <c r="D362" t="s">
        <v>830</v>
      </c>
      <c r="E362" t="s">
        <v>1028</v>
      </c>
      <c r="F362">
        <v>4</v>
      </c>
      <c r="G362" t="s">
        <v>2097</v>
      </c>
      <c r="H362" s="460">
        <v>2907.5912396408903</v>
      </c>
      <c r="I362">
        <v>1650</v>
      </c>
      <c r="J362">
        <v>200.00000001335161</v>
      </c>
      <c r="K362" s="67">
        <v>34.506750000000004</v>
      </c>
      <c r="L362" s="159">
        <v>0</v>
      </c>
      <c r="M362" s="159">
        <v>0</v>
      </c>
      <c r="N362" s="159">
        <v>0</v>
      </c>
      <c r="O362" s="159">
        <v>0</v>
      </c>
      <c r="P362" s="159">
        <v>0</v>
      </c>
      <c r="Q362" s="159">
        <v>1500</v>
      </c>
      <c r="R362" s="159">
        <v>2000</v>
      </c>
      <c r="S362" s="159">
        <v>27325</v>
      </c>
      <c r="T362" s="159">
        <v>0</v>
      </c>
      <c r="U362" s="159">
        <v>3106</v>
      </c>
      <c r="V362" s="159">
        <v>4500</v>
      </c>
      <c r="W362" s="159">
        <v>186</v>
      </c>
      <c r="X362" s="159">
        <v>0</v>
      </c>
      <c r="Y362" s="159">
        <v>1500</v>
      </c>
      <c r="Z362" s="159">
        <v>3569</v>
      </c>
      <c r="AA362" s="159">
        <v>4742</v>
      </c>
      <c r="AB362" s="159">
        <v>1833</v>
      </c>
      <c r="AC362" s="159">
        <v>0</v>
      </c>
      <c r="AD362" s="207">
        <v>50261</v>
      </c>
      <c r="AE362" s="200">
        <v>55.152761999452487</v>
      </c>
      <c r="AF362" s="200">
        <v>38.905271383569534</v>
      </c>
      <c r="AG362" s="200">
        <v>29.540470971540294</v>
      </c>
      <c r="AH362" s="200">
        <v>0</v>
      </c>
      <c r="AI362" s="200">
        <v>0</v>
      </c>
      <c r="AJ362" s="200">
        <v>0</v>
      </c>
      <c r="AL362" s="197">
        <f t="shared" si="49"/>
        <v>57617.487282654707</v>
      </c>
      <c r="AM362" s="197" t="str">
        <f t="shared" si="50"/>
        <v>Box Medium 4</v>
      </c>
      <c r="AN362" s="3">
        <f t="shared" si="51"/>
        <v>7.4202059268779834</v>
      </c>
      <c r="AO362" s="3">
        <f t="shared" si="52"/>
        <v>2.8641567564691686</v>
      </c>
      <c r="AP362" s="3">
        <f t="shared" si="53"/>
        <v>0</v>
      </c>
      <c r="AQ362" s="3">
        <f t="shared" si="45"/>
        <v>0</v>
      </c>
      <c r="AR362" s="3">
        <f t="shared" si="46"/>
        <v>2.8641567564691686</v>
      </c>
      <c r="AS362" s="81">
        <f t="shared" si="47"/>
        <v>1</v>
      </c>
      <c r="AT362" s="81">
        <f t="shared" si="48"/>
        <v>0</v>
      </c>
    </row>
    <row r="363" spans="1:46" x14ac:dyDescent="0.25">
      <c r="A363" t="s">
        <v>805</v>
      </c>
      <c r="B363">
        <v>2023</v>
      </c>
      <c r="C363" t="s">
        <v>680</v>
      </c>
      <c r="D363" t="s">
        <v>831</v>
      </c>
      <c r="E363" t="s">
        <v>1028</v>
      </c>
      <c r="F363">
        <v>5</v>
      </c>
      <c r="G363" t="s">
        <v>2098</v>
      </c>
      <c r="H363" s="460">
        <v>3815.329366626027</v>
      </c>
      <c r="I363">
        <v>1980</v>
      </c>
      <c r="J363">
        <v>0</v>
      </c>
      <c r="K363" s="67">
        <v>0</v>
      </c>
      <c r="L363" s="159">
        <v>150</v>
      </c>
      <c r="M363" s="159">
        <v>17088</v>
      </c>
      <c r="N363" s="159">
        <v>1920</v>
      </c>
      <c r="O363" s="159">
        <v>506</v>
      </c>
      <c r="P363" s="159">
        <v>5008</v>
      </c>
      <c r="Q363" s="159">
        <v>1500</v>
      </c>
      <c r="R363" s="159">
        <v>2000</v>
      </c>
      <c r="S363" s="159">
        <v>34000</v>
      </c>
      <c r="T363" s="159">
        <v>98</v>
      </c>
      <c r="U363" s="159">
        <v>120</v>
      </c>
      <c r="V363" s="159">
        <v>0</v>
      </c>
      <c r="W363" s="159">
        <v>186</v>
      </c>
      <c r="X363" s="159">
        <v>0</v>
      </c>
      <c r="Y363" s="159">
        <v>0</v>
      </c>
      <c r="Z363" s="159">
        <v>0</v>
      </c>
      <c r="AA363" s="159">
        <v>0</v>
      </c>
      <c r="AB363" s="159">
        <v>0</v>
      </c>
      <c r="AC363" s="159">
        <v>0</v>
      </c>
      <c r="AD363" s="207">
        <v>62576</v>
      </c>
      <c r="AE363" s="200">
        <v>11.916278446089542</v>
      </c>
      <c r="AF363" s="200">
        <v>16.303178966582617</v>
      </c>
      <c r="AG363" s="200">
        <v>16.001623114701278</v>
      </c>
      <c r="AH363" s="200">
        <v>0</v>
      </c>
      <c r="AI363" s="200">
        <v>0</v>
      </c>
      <c r="AJ363" s="200">
        <v>0</v>
      </c>
      <c r="AL363" s="197">
        <f t="shared" si="49"/>
        <v>71734.981082736136</v>
      </c>
      <c r="AM363" s="197" t="str">
        <f t="shared" si="50"/>
        <v>Box Medium 6</v>
      </c>
      <c r="AN363" s="3">
        <f t="shared" si="51"/>
        <v>14.92695952672207</v>
      </c>
      <c r="AO363" s="3">
        <f t="shared" si="52"/>
        <v>5.7617204162945681</v>
      </c>
      <c r="AP363" s="3">
        <f t="shared" si="53"/>
        <v>0</v>
      </c>
      <c r="AQ363" s="3">
        <f t="shared" si="45"/>
        <v>0</v>
      </c>
      <c r="AR363" s="3">
        <f t="shared" si="46"/>
        <v>5.7617204162945681</v>
      </c>
      <c r="AS363" s="81">
        <f t="shared" si="47"/>
        <v>1</v>
      </c>
      <c r="AT363" s="81">
        <f t="shared" si="48"/>
        <v>0</v>
      </c>
    </row>
    <row r="364" spans="1:46" x14ac:dyDescent="0.25">
      <c r="A364" t="s">
        <v>805</v>
      </c>
      <c r="B364">
        <v>2023</v>
      </c>
      <c r="C364" t="s">
        <v>680</v>
      </c>
      <c r="D364" t="s">
        <v>831</v>
      </c>
      <c r="E364" t="s">
        <v>1028</v>
      </c>
      <c r="F364">
        <v>5</v>
      </c>
      <c r="G364" t="s">
        <v>2099</v>
      </c>
      <c r="H364" s="460">
        <v>3591.1223058384076</v>
      </c>
      <c r="I364">
        <v>1980</v>
      </c>
      <c r="J364">
        <v>0</v>
      </c>
      <c r="K364" s="67">
        <v>0</v>
      </c>
      <c r="L364" s="159">
        <v>150</v>
      </c>
      <c r="M364" s="159">
        <v>23840</v>
      </c>
      <c r="N364" s="159">
        <v>1920</v>
      </c>
      <c r="O364" s="159">
        <v>506</v>
      </c>
      <c r="P364" s="159">
        <v>3516</v>
      </c>
      <c r="Q364" s="159">
        <v>1500</v>
      </c>
      <c r="R364" s="159">
        <v>2000</v>
      </c>
      <c r="S364" s="159">
        <v>34000</v>
      </c>
      <c r="T364" s="159">
        <v>98</v>
      </c>
      <c r="U364" s="159">
        <v>120</v>
      </c>
      <c r="V364" s="159">
        <v>0</v>
      </c>
      <c r="W364" s="159">
        <v>186</v>
      </c>
      <c r="X364" s="159">
        <v>0</v>
      </c>
      <c r="Y364" s="159">
        <v>0</v>
      </c>
      <c r="Z364" s="159">
        <v>0</v>
      </c>
      <c r="AA364" s="159">
        <v>0</v>
      </c>
      <c r="AB364" s="159">
        <v>0</v>
      </c>
      <c r="AC364" s="159">
        <v>0</v>
      </c>
      <c r="AD364" s="207">
        <v>67836</v>
      </c>
      <c r="AE364" s="200">
        <v>8.5860920572759802</v>
      </c>
      <c r="AF364" s="200">
        <v>11.58314374688675</v>
      </c>
      <c r="AG364" s="200">
        <v>12.458210987976043</v>
      </c>
      <c r="AH364" s="200">
        <v>0</v>
      </c>
      <c r="AI364" s="200">
        <v>0</v>
      </c>
      <c r="AJ364" s="200">
        <v>0</v>
      </c>
      <c r="AL364" s="197">
        <f t="shared" si="49"/>
        <v>77764.864752117239</v>
      </c>
      <c r="AM364" s="197" t="str">
        <f t="shared" si="50"/>
        <v>Box Medium 6</v>
      </c>
      <c r="AN364" s="3">
        <f t="shared" si="51"/>
        <v>19.434428276908534</v>
      </c>
      <c r="AO364" s="3">
        <f t="shared" si="52"/>
        <v>7.5015773963625136</v>
      </c>
      <c r="AP364" s="3">
        <f t="shared" si="53"/>
        <v>0</v>
      </c>
      <c r="AQ364" s="3">
        <f t="shared" si="45"/>
        <v>0</v>
      </c>
      <c r="AR364" s="3">
        <f t="shared" si="46"/>
        <v>7.5015773963625136</v>
      </c>
      <c r="AS364" s="81">
        <f t="shared" si="47"/>
        <v>1</v>
      </c>
      <c r="AT364" s="81">
        <f t="shared" si="48"/>
        <v>0</v>
      </c>
    </row>
    <row r="365" spans="1:46" x14ac:dyDescent="0.25">
      <c r="A365" t="s">
        <v>807</v>
      </c>
      <c r="B365">
        <v>2023</v>
      </c>
      <c r="C365" t="s">
        <v>680</v>
      </c>
      <c r="D365" t="s">
        <v>831</v>
      </c>
      <c r="E365" t="s">
        <v>1028</v>
      </c>
      <c r="F365">
        <v>5</v>
      </c>
      <c r="G365" t="s">
        <v>2100</v>
      </c>
      <c r="H365" s="460">
        <v>3837.2761308315603</v>
      </c>
      <c r="I365">
        <v>1980</v>
      </c>
      <c r="J365">
        <v>0</v>
      </c>
      <c r="K365" s="67">
        <v>3.1046400000000003</v>
      </c>
      <c r="L365" s="159">
        <v>150</v>
      </c>
      <c r="M365" s="159">
        <v>15401</v>
      </c>
      <c r="N365" s="159">
        <v>220</v>
      </c>
      <c r="O365" s="159">
        <v>392</v>
      </c>
      <c r="P365" s="159">
        <v>4515</v>
      </c>
      <c r="Q365" s="159">
        <v>1500</v>
      </c>
      <c r="R365" s="159">
        <v>2000</v>
      </c>
      <c r="S365" s="159">
        <v>34000</v>
      </c>
      <c r="T365" s="159">
        <v>0</v>
      </c>
      <c r="U365" s="159">
        <v>2173</v>
      </c>
      <c r="V365" s="159">
        <v>4500</v>
      </c>
      <c r="W365" s="159">
        <v>186</v>
      </c>
      <c r="X365" s="159">
        <v>120</v>
      </c>
      <c r="Y365" s="159">
        <v>1500</v>
      </c>
      <c r="Z365" s="159">
        <v>3964</v>
      </c>
      <c r="AA365" s="159">
        <v>0</v>
      </c>
      <c r="AB365" s="159">
        <v>0</v>
      </c>
      <c r="AC365" s="159">
        <v>0</v>
      </c>
      <c r="AD365" s="207">
        <v>70621</v>
      </c>
      <c r="AE365" s="200">
        <v>13.30975676094994</v>
      </c>
      <c r="AF365" s="200">
        <v>18.151719583452277</v>
      </c>
      <c r="AG365" s="200">
        <v>15.235009824737148</v>
      </c>
      <c r="AH365" s="200">
        <v>0</v>
      </c>
      <c r="AI365" s="200">
        <v>0</v>
      </c>
      <c r="AJ365" s="200">
        <v>0</v>
      </c>
      <c r="AL365" s="197">
        <f t="shared" si="49"/>
        <v>80957.493272882712</v>
      </c>
      <c r="AM365" s="197" t="str">
        <f t="shared" si="50"/>
        <v>Box Medium 6</v>
      </c>
      <c r="AN365" s="3">
        <f t="shared" si="51"/>
        <v>15.327506372615463</v>
      </c>
      <c r="AO365" s="3">
        <f t="shared" si="52"/>
        <v>5.9163291921497505</v>
      </c>
      <c r="AP365" s="3">
        <f t="shared" si="53"/>
        <v>0</v>
      </c>
      <c r="AQ365" s="3">
        <f t="shared" si="45"/>
        <v>0</v>
      </c>
      <c r="AR365" s="3">
        <f t="shared" si="46"/>
        <v>5.9163291921497505</v>
      </c>
      <c r="AS365" s="81">
        <f t="shared" si="47"/>
        <v>1</v>
      </c>
      <c r="AT365" s="81">
        <f t="shared" si="48"/>
        <v>0</v>
      </c>
    </row>
    <row r="366" spans="1:46" x14ac:dyDescent="0.25">
      <c r="A366" t="s">
        <v>807</v>
      </c>
      <c r="B366">
        <v>2023</v>
      </c>
      <c r="C366" t="s">
        <v>680</v>
      </c>
      <c r="D366" t="s">
        <v>831</v>
      </c>
      <c r="E366" t="s">
        <v>1028</v>
      </c>
      <c r="F366">
        <v>5</v>
      </c>
      <c r="G366" t="s">
        <v>2101</v>
      </c>
      <c r="H366" s="460">
        <v>3611.0140587631195</v>
      </c>
      <c r="I366">
        <v>1980</v>
      </c>
      <c r="J366">
        <v>0</v>
      </c>
      <c r="K366" s="67">
        <v>2.9779200000000006</v>
      </c>
      <c r="L366" s="159">
        <v>150</v>
      </c>
      <c r="M366" s="159">
        <v>13071</v>
      </c>
      <c r="N366" s="159">
        <v>220</v>
      </c>
      <c r="O366" s="159">
        <v>392</v>
      </c>
      <c r="P366" s="159">
        <v>2798</v>
      </c>
      <c r="Q366" s="159">
        <v>1500</v>
      </c>
      <c r="R366" s="159">
        <v>2000</v>
      </c>
      <c r="S366" s="159">
        <v>34000</v>
      </c>
      <c r="T366" s="159">
        <v>0</v>
      </c>
      <c r="U366" s="159">
        <v>2085</v>
      </c>
      <c r="V366" s="159">
        <v>4500</v>
      </c>
      <c r="W366" s="159">
        <v>186</v>
      </c>
      <c r="X366" s="159">
        <v>120</v>
      </c>
      <c r="Y366" s="159">
        <v>1500</v>
      </c>
      <c r="Z366" s="159">
        <v>3669</v>
      </c>
      <c r="AA366" s="159">
        <v>0</v>
      </c>
      <c r="AB366" s="159">
        <v>0</v>
      </c>
      <c r="AC366" s="159">
        <v>0</v>
      </c>
      <c r="AD366" s="207">
        <v>66191</v>
      </c>
      <c r="AE366" s="200">
        <v>2.5064333954662192</v>
      </c>
      <c r="AF366" s="200">
        <v>14.104940138208383</v>
      </c>
      <c r="AG366" s="200">
        <v>13.178240172877159</v>
      </c>
      <c r="AH366" s="200">
        <v>0</v>
      </c>
      <c r="AI366" s="200">
        <v>0</v>
      </c>
      <c r="AJ366" s="200">
        <v>0</v>
      </c>
      <c r="AL366" s="197">
        <f t="shared" si="49"/>
        <v>75879.093148289874</v>
      </c>
      <c r="AM366" s="197" t="str">
        <f t="shared" si="50"/>
        <v>Box Medium 6</v>
      </c>
      <c r="AN366" s="3">
        <f t="shared" si="51"/>
        <v>21.54300018399897</v>
      </c>
      <c r="AO366" s="3">
        <f t="shared" si="52"/>
        <v>8.3154740097055821</v>
      </c>
      <c r="AP366" s="3">
        <f t="shared" si="53"/>
        <v>0</v>
      </c>
      <c r="AQ366" s="3">
        <f t="shared" si="45"/>
        <v>0</v>
      </c>
      <c r="AR366" s="3">
        <f t="shared" si="46"/>
        <v>8.3154740097055821</v>
      </c>
      <c r="AS366" s="81">
        <f t="shared" si="47"/>
        <v>1</v>
      </c>
      <c r="AT366" s="81">
        <f t="shared" si="48"/>
        <v>0</v>
      </c>
    </row>
    <row r="367" spans="1:46" x14ac:dyDescent="0.25">
      <c r="A367" t="s">
        <v>808</v>
      </c>
      <c r="B367">
        <v>2023</v>
      </c>
      <c r="C367" t="s">
        <v>680</v>
      </c>
      <c r="D367" t="s">
        <v>831</v>
      </c>
      <c r="E367" t="s">
        <v>1028</v>
      </c>
      <c r="F367">
        <v>5</v>
      </c>
      <c r="G367" t="s">
        <v>2102</v>
      </c>
      <c r="H367" s="460">
        <v>4685.596292228216</v>
      </c>
      <c r="I367">
        <v>1980</v>
      </c>
      <c r="J367">
        <v>119.99999997072871</v>
      </c>
      <c r="K367" s="67">
        <v>121.6425</v>
      </c>
      <c r="L367" s="159">
        <v>0</v>
      </c>
      <c r="M367" s="159">
        <v>9277</v>
      </c>
      <c r="N367" s="159">
        <v>220</v>
      </c>
      <c r="O367" s="159">
        <v>0</v>
      </c>
      <c r="P367" s="159">
        <v>0</v>
      </c>
      <c r="Q367" s="159">
        <v>1500</v>
      </c>
      <c r="R367" s="159">
        <v>2000</v>
      </c>
      <c r="S367" s="159">
        <v>34000</v>
      </c>
      <c r="T367" s="159">
        <v>2269</v>
      </c>
      <c r="U367" s="159">
        <v>42575</v>
      </c>
      <c r="V367" s="159">
        <v>4500</v>
      </c>
      <c r="W367" s="159">
        <v>186</v>
      </c>
      <c r="X367" s="159">
        <v>0</v>
      </c>
      <c r="Y367" s="159">
        <v>1500</v>
      </c>
      <c r="Z367" s="159">
        <v>7867</v>
      </c>
      <c r="AA367" s="159">
        <v>0</v>
      </c>
      <c r="AB367" s="159">
        <v>0</v>
      </c>
      <c r="AC367" s="159">
        <v>0</v>
      </c>
      <c r="AD367" s="207">
        <v>105894</v>
      </c>
      <c r="AE367" s="200">
        <v>37.697688267891422</v>
      </c>
      <c r="AF367" s="200">
        <v>29.929201212816455</v>
      </c>
      <c r="AG367" s="200">
        <v>22.796094627784939</v>
      </c>
      <c r="AH367" s="200">
        <v>905</v>
      </c>
      <c r="AI367" s="200">
        <v>918</v>
      </c>
      <c r="AJ367" s="200">
        <v>1105</v>
      </c>
      <c r="AL367" s="197">
        <f t="shared" si="49"/>
        <v>121393.25119495111</v>
      </c>
      <c r="AM367" s="197" t="str">
        <f t="shared" si="50"/>
        <v>Box Medium 6</v>
      </c>
      <c r="AN367" s="3">
        <f t="shared" si="51"/>
        <v>1.978591860612813</v>
      </c>
      <c r="AO367" s="3">
        <f t="shared" si="52"/>
        <v>0.76372506392871131</v>
      </c>
      <c r="AP367" s="3">
        <f t="shared" si="53"/>
        <v>53.595635477897773</v>
      </c>
      <c r="AQ367" s="3">
        <f t="shared" ref="AQ367:AQ430" si="54">AP367*3.6/100</f>
        <v>1.92944287720432</v>
      </c>
      <c r="AR367" s="3">
        <f t="shared" ref="AR367:AR430" si="55">AO367+AQ367</f>
        <v>2.6931679411330314</v>
      </c>
      <c r="AS367" s="81">
        <f t="shared" ref="AS367:AS430" si="56">AO367/AR367</f>
        <v>0.2835787001115897</v>
      </c>
      <c r="AT367" s="81">
        <f t="shared" ref="AT367:AT430" si="57">AQ367/AR367</f>
        <v>0.7164212998884103</v>
      </c>
    </row>
    <row r="368" spans="1:46" x14ac:dyDescent="0.25">
      <c r="A368" t="s">
        <v>808</v>
      </c>
      <c r="B368">
        <v>2023</v>
      </c>
      <c r="C368" t="s">
        <v>680</v>
      </c>
      <c r="D368" t="s">
        <v>831</v>
      </c>
      <c r="E368" t="s">
        <v>1028</v>
      </c>
      <c r="F368">
        <v>5</v>
      </c>
      <c r="G368" t="s">
        <v>2103</v>
      </c>
      <c r="H368" s="460">
        <v>4519.7504888282319</v>
      </c>
      <c r="I368">
        <v>1980</v>
      </c>
      <c r="J368">
        <v>119.99999997072871</v>
      </c>
      <c r="K368" s="67">
        <v>114.19500000000001</v>
      </c>
      <c r="L368" s="159">
        <v>0</v>
      </c>
      <c r="M368" s="159">
        <v>5759</v>
      </c>
      <c r="N368" s="159">
        <v>220</v>
      </c>
      <c r="O368" s="159">
        <v>0</v>
      </c>
      <c r="P368" s="159">
        <v>3032</v>
      </c>
      <c r="Q368" s="159">
        <v>1500</v>
      </c>
      <c r="R368" s="159">
        <v>2000</v>
      </c>
      <c r="S368" s="159">
        <v>34000</v>
      </c>
      <c r="T368" s="159">
        <v>1680</v>
      </c>
      <c r="U368" s="159">
        <v>39968</v>
      </c>
      <c r="V368" s="159">
        <v>4500</v>
      </c>
      <c r="W368" s="159">
        <v>186</v>
      </c>
      <c r="X368" s="159">
        <v>0</v>
      </c>
      <c r="Y368" s="159">
        <v>1500</v>
      </c>
      <c r="Z368" s="159">
        <v>6089</v>
      </c>
      <c r="AA368" s="159">
        <v>0</v>
      </c>
      <c r="AB368" s="159">
        <v>0</v>
      </c>
      <c r="AC368" s="159">
        <v>0</v>
      </c>
      <c r="AD368" s="207">
        <v>100434</v>
      </c>
      <c r="AE368" s="200">
        <v>10.754969576395521</v>
      </c>
      <c r="AF368" s="200">
        <v>14.175983208104926</v>
      </c>
      <c r="AG368" s="200">
        <v>14.269233763867309</v>
      </c>
      <c r="AH368" s="200">
        <v>930</v>
      </c>
      <c r="AI368" s="200">
        <v>803</v>
      </c>
      <c r="AJ368" s="200">
        <v>966</v>
      </c>
      <c r="AL368" s="197">
        <f t="shared" si="49"/>
        <v>115134.09438224752</v>
      </c>
      <c r="AM368" s="197" t="str">
        <f t="shared" si="50"/>
        <v>Box Medium 6</v>
      </c>
      <c r="AN368" s="3">
        <f t="shared" si="51"/>
        <v>3.3526297042680917</v>
      </c>
      <c r="AO368" s="3">
        <f t="shared" si="52"/>
        <v>1.2940957588031352</v>
      </c>
      <c r="AP368" s="3">
        <f t="shared" si="53"/>
        <v>47.200964370487284</v>
      </c>
      <c r="AQ368" s="3">
        <f t="shared" si="54"/>
        <v>1.6992347173375424</v>
      </c>
      <c r="AR368" s="3">
        <f t="shared" si="55"/>
        <v>2.9933304761406774</v>
      </c>
      <c r="AS368" s="81">
        <f t="shared" si="56"/>
        <v>0.43232638999206735</v>
      </c>
      <c r="AT368" s="81">
        <f t="shared" si="57"/>
        <v>0.56767361000793271</v>
      </c>
    </row>
    <row r="369" spans="1:46" x14ac:dyDescent="0.25">
      <c r="A369" t="s">
        <v>230</v>
      </c>
      <c r="B369">
        <v>2023</v>
      </c>
      <c r="C369" t="s">
        <v>680</v>
      </c>
      <c r="D369" t="s">
        <v>831</v>
      </c>
      <c r="E369" t="s">
        <v>1028</v>
      </c>
      <c r="F369">
        <v>5</v>
      </c>
      <c r="G369" t="s">
        <v>2104</v>
      </c>
      <c r="H369" s="460">
        <v>4442.1136546175103</v>
      </c>
      <c r="I369">
        <v>1980</v>
      </c>
      <c r="J369">
        <v>150.00000001001371</v>
      </c>
      <c r="K369" s="67">
        <v>154.65975</v>
      </c>
      <c r="L369" s="159">
        <v>0</v>
      </c>
      <c r="M369" s="159">
        <v>0</v>
      </c>
      <c r="N369" s="159">
        <v>0</v>
      </c>
      <c r="O369" s="159">
        <v>0</v>
      </c>
      <c r="P369" s="159">
        <v>0</v>
      </c>
      <c r="Q369" s="159">
        <v>1500</v>
      </c>
      <c r="R369" s="159">
        <v>2000</v>
      </c>
      <c r="S369" s="159">
        <v>34000</v>
      </c>
      <c r="T369" s="159">
        <v>0</v>
      </c>
      <c r="U369" s="159">
        <v>54131</v>
      </c>
      <c r="V369" s="159">
        <v>4500</v>
      </c>
      <c r="W369" s="159">
        <v>186</v>
      </c>
      <c r="X369" s="159">
        <v>0</v>
      </c>
      <c r="Y369" s="159">
        <v>1500</v>
      </c>
      <c r="Z369" s="159">
        <v>6611</v>
      </c>
      <c r="AA369" s="159">
        <v>0</v>
      </c>
      <c r="AB369" s="159">
        <v>0</v>
      </c>
      <c r="AC369" s="159">
        <v>0</v>
      </c>
      <c r="AD369" s="207">
        <v>104428</v>
      </c>
      <c r="AE369" s="200">
        <v>0</v>
      </c>
      <c r="AF369" s="200">
        <v>0</v>
      </c>
      <c r="AG369" s="200">
        <v>0</v>
      </c>
      <c r="AH369" s="200">
        <v>886</v>
      </c>
      <c r="AI369" s="200">
        <v>877</v>
      </c>
      <c r="AJ369" s="200">
        <v>1047</v>
      </c>
      <c r="AL369" s="197">
        <f t="shared" si="49"/>
        <v>119712.67905439736</v>
      </c>
      <c r="AM369" s="197" t="str">
        <f t="shared" si="50"/>
        <v>Box Medium 6</v>
      </c>
      <c r="AN369" s="3">
        <f t="shared" si="51"/>
        <v>0</v>
      </c>
      <c r="AO369" s="3">
        <f t="shared" si="52"/>
        <v>0</v>
      </c>
      <c r="AP369" s="3">
        <f t="shared" si="53"/>
        <v>63.606820187157467</v>
      </c>
      <c r="AQ369" s="3">
        <f t="shared" si="54"/>
        <v>2.2898455267376692</v>
      </c>
      <c r="AR369" s="3">
        <f t="shared" si="55"/>
        <v>2.2898455267376692</v>
      </c>
      <c r="AS369" s="81">
        <f t="shared" si="56"/>
        <v>0</v>
      </c>
      <c r="AT369" s="81">
        <f t="shared" si="57"/>
        <v>1</v>
      </c>
    </row>
    <row r="370" spans="1:46" x14ac:dyDescent="0.25">
      <c r="A370" t="s">
        <v>496</v>
      </c>
      <c r="B370">
        <v>2023</v>
      </c>
      <c r="C370" t="s">
        <v>680</v>
      </c>
      <c r="D370" t="s">
        <v>831</v>
      </c>
      <c r="E370" t="s">
        <v>1028</v>
      </c>
      <c r="F370">
        <v>5</v>
      </c>
      <c r="G370" t="s">
        <v>2105</v>
      </c>
      <c r="H370" s="460">
        <v>3841.7276108652859</v>
      </c>
      <c r="I370">
        <v>1980</v>
      </c>
      <c r="J370">
        <v>150.00000001001371</v>
      </c>
      <c r="K370" s="67">
        <v>4.6569599999999998</v>
      </c>
      <c r="L370" s="159">
        <v>0</v>
      </c>
      <c r="M370" s="159">
        <v>0</v>
      </c>
      <c r="N370" s="159">
        <v>0</v>
      </c>
      <c r="O370" s="159">
        <v>0</v>
      </c>
      <c r="P370" s="159">
        <v>0</v>
      </c>
      <c r="Q370" s="159">
        <v>1500</v>
      </c>
      <c r="R370" s="159">
        <v>2000</v>
      </c>
      <c r="S370" s="159">
        <v>34000</v>
      </c>
      <c r="T370" s="159">
        <v>0</v>
      </c>
      <c r="U370" s="159">
        <v>3260</v>
      </c>
      <c r="V370" s="159">
        <v>4500</v>
      </c>
      <c r="W370" s="159">
        <v>186</v>
      </c>
      <c r="X370" s="159">
        <v>0</v>
      </c>
      <c r="Y370" s="159">
        <v>1500</v>
      </c>
      <c r="Z370" s="159">
        <v>6941</v>
      </c>
      <c r="AA370" s="159">
        <v>29609</v>
      </c>
      <c r="AB370" s="159">
        <v>8405</v>
      </c>
      <c r="AC370" s="159">
        <v>0</v>
      </c>
      <c r="AD370" s="207">
        <v>91901</v>
      </c>
      <c r="AE370" s="200">
        <v>25.643427709351631</v>
      </c>
      <c r="AF370" s="200">
        <v>25.835194509606193</v>
      </c>
      <c r="AG370" s="200">
        <v>21.090841193667853</v>
      </c>
      <c r="AH370" s="200">
        <v>0</v>
      </c>
      <c r="AI370" s="200">
        <v>0</v>
      </c>
      <c r="AJ370" s="200">
        <v>0</v>
      </c>
      <c r="AL370" s="197">
        <f t="shared" si="49"/>
        <v>105352.15572239411</v>
      </c>
      <c r="AM370" s="197" t="str">
        <f t="shared" si="50"/>
        <v>Box Medium 6</v>
      </c>
      <c r="AN370" s="3">
        <f t="shared" si="51"/>
        <v>10.869156744186954</v>
      </c>
      <c r="AO370" s="3">
        <f t="shared" si="52"/>
        <v>4.1954319102143431</v>
      </c>
      <c r="AP370" s="3">
        <f t="shared" si="53"/>
        <v>0</v>
      </c>
      <c r="AQ370" s="3">
        <f t="shared" si="54"/>
        <v>0</v>
      </c>
      <c r="AR370" s="3">
        <f t="shared" si="55"/>
        <v>4.1954319102143431</v>
      </c>
      <c r="AS370" s="81">
        <f t="shared" si="56"/>
        <v>1</v>
      </c>
      <c r="AT370" s="81">
        <f t="shared" si="57"/>
        <v>0</v>
      </c>
    </row>
    <row r="371" spans="1:46" x14ac:dyDescent="0.25">
      <c r="A371" t="s">
        <v>828</v>
      </c>
      <c r="B371">
        <v>2023</v>
      </c>
      <c r="C371" t="s">
        <v>680</v>
      </c>
      <c r="D371" t="s">
        <v>831</v>
      </c>
      <c r="E371" t="s">
        <v>1028</v>
      </c>
      <c r="F371">
        <v>5</v>
      </c>
      <c r="G371" t="s">
        <v>2106</v>
      </c>
      <c r="H371" s="460">
        <v>3927.9287621282265</v>
      </c>
      <c r="I371">
        <v>1980</v>
      </c>
      <c r="J371">
        <v>150.00000001001371</v>
      </c>
      <c r="K371" s="67">
        <v>38.727000000000004</v>
      </c>
      <c r="L371" s="159">
        <v>0</v>
      </c>
      <c r="M371" s="159">
        <v>0</v>
      </c>
      <c r="N371" s="159">
        <v>0</v>
      </c>
      <c r="O371" s="159">
        <v>0</v>
      </c>
      <c r="P371" s="159">
        <v>0</v>
      </c>
      <c r="Q371" s="159">
        <v>1500</v>
      </c>
      <c r="R371" s="159">
        <v>2000</v>
      </c>
      <c r="S371" s="159">
        <v>34000</v>
      </c>
      <c r="T371" s="159">
        <v>0</v>
      </c>
      <c r="U371" s="159">
        <v>13554</v>
      </c>
      <c r="V371" s="159">
        <v>4500</v>
      </c>
      <c r="W371" s="159">
        <v>186</v>
      </c>
      <c r="X371" s="159">
        <v>0</v>
      </c>
      <c r="Y371" s="159">
        <v>1500</v>
      </c>
      <c r="Z371" s="159">
        <v>8641</v>
      </c>
      <c r="AA371" s="159">
        <v>9671</v>
      </c>
      <c r="AB371" s="159">
        <v>6420</v>
      </c>
      <c r="AC371" s="159">
        <v>0</v>
      </c>
      <c r="AD371" s="207">
        <v>81972</v>
      </c>
      <c r="AE371" s="200">
        <v>24.76597223650473</v>
      </c>
      <c r="AF371" s="200">
        <v>23.207887967349897</v>
      </c>
      <c r="AG371" s="200">
        <v>20.455077169563122</v>
      </c>
      <c r="AH371" s="200">
        <v>0</v>
      </c>
      <c r="AI371" s="200">
        <v>0</v>
      </c>
      <c r="AJ371" s="200">
        <v>257.96378607317513</v>
      </c>
      <c r="AL371" s="197">
        <f t="shared" si="49"/>
        <v>93969.890522149813</v>
      </c>
      <c r="AM371" s="197" t="str">
        <f t="shared" si="50"/>
        <v>Box Medium 6</v>
      </c>
      <c r="AN371" s="3">
        <f t="shared" si="51"/>
        <v>11.276269856198148</v>
      </c>
      <c r="AO371" s="3">
        <f t="shared" si="52"/>
        <v>4.3525752269773399</v>
      </c>
      <c r="AP371" s="3">
        <f t="shared" si="53"/>
        <v>13.785083078959735</v>
      </c>
      <c r="AQ371" s="3">
        <f t="shared" si="54"/>
        <v>0.49626299084255043</v>
      </c>
      <c r="AR371" s="3">
        <f t="shared" si="55"/>
        <v>4.8488382178198908</v>
      </c>
      <c r="AS371" s="81">
        <f t="shared" si="56"/>
        <v>0.89765321742046533</v>
      </c>
      <c r="AT371" s="81">
        <f t="shared" si="57"/>
        <v>0.10234678257953461</v>
      </c>
    </row>
    <row r="372" spans="1:46" x14ac:dyDescent="0.25">
      <c r="A372" t="s">
        <v>805</v>
      </c>
      <c r="B372">
        <v>2025</v>
      </c>
      <c r="C372" t="s">
        <v>680</v>
      </c>
      <c r="D372" t="s">
        <v>831</v>
      </c>
      <c r="E372" t="s">
        <v>1028</v>
      </c>
      <c r="F372">
        <v>5</v>
      </c>
      <c r="G372" t="s">
        <v>2107</v>
      </c>
      <c r="H372" s="460">
        <v>3783.824362922096</v>
      </c>
      <c r="I372">
        <v>1980</v>
      </c>
      <c r="J372">
        <v>0</v>
      </c>
      <c r="K372" s="67">
        <v>0</v>
      </c>
      <c r="L372" s="159">
        <v>150</v>
      </c>
      <c r="M372" s="159">
        <v>17345</v>
      </c>
      <c r="N372" s="159">
        <v>1920</v>
      </c>
      <c r="O372" s="159">
        <v>506</v>
      </c>
      <c r="P372" s="159">
        <v>4971</v>
      </c>
      <c r="Q372" s="159">
        <v>1500</v>
      </c>
      <c r="R372" s="159">
        <v>2000</v>
      </c>
      <c r="S372" s="159">
        <v>34137</v>
      </c>
      <c r="T372" s="159">
        <v>92</v>
      </c>
      <c r="U372" s="159">
        <v>120</v>
      </c>
      <c r="V372" s="159">
        <v>0</v>
      </c>
      <c r="W372" s="159">
        <v>186</v>
      </c>
      <c r="X372" s="159">
        <v>0</v>
      </c>
      <c r="Y372" s="159">
        <v>0</v>
      </c>
      <c r="Z372" s="159">
        <v>0</v>
      </c>
      <c r="AA372" s="159">
        <v>0</v>
      </c>
      <c r="AB372" s="159">
        <v>0</v>
      </c>
      <c r="AC372" s="159">
        <v>0</v>
      </c>
      <c r="AD372" s="207">
        <v>62927</v>
      </c>
      <c r="AE372" s="200">
        <v>12.674339841700782</v>
      </c>
      <c r="AF372" s="200">
        <v>17.777349714864066</v>
      </c>
      <c r="AG372" s="200">
        <v>17.625894943321221</v>
      </c>
      <c r="AH372" s="200">
        <v>0</v>
      </c>
      <c r="AI372" s="200">
        <v>0</v>
      </c>
      <c r="AJ372" s="200">
        <v>0</v>
      </c>
      <c r="AL372" s="197">
        <f t="shared" si="49"/>
        <v>72137.355449267081</v>
      </c>
      <c r="AM372" s="197" t="str">
        <f t="shared" si="50"/>
        <v>Box Medium 6</v>
      </c>
      <c r="AN372" s="3">
        <f t="shared" si="51"/>
        <v>13.595304355753481</v>
      </c>
      <c r="AO372" s="3">
        <f t="shared" si="52"/>
        <v>5.2477091890048762</v>
      </c>
      <c r="AP372" s="3">
        <f t="shared" si="53"/>
        <v>0</v>
      </c>
      <c r="AQ372" s="3">
        <f t="shared" si="54"/>
        <v>0</v>
      </c>
      <c r="AR372" s="3">
        <f t="shared" si="55"/>
        <v>5.2477091890048762</v>
      </c>
      <c r="AS372" s="81">
        <f t="shared" si="56"/>
        <v>1</v>
      </c>
      <c r="AT372" s="81">
        <f t="shared" si="57"/>
        <v>0</v>
      </c>
    </row>
    <row r="373" spans="1:46" x14ac:dyDescent="0.25">
      <c r="A373" t="s">
        <v>805</v>
      </c>
      <c r="B373">
        <v>2025</v>
      </c>
      <c r="C373" t="s">
        <v>680</v>
      </c>
      <c r="D373" t="s">
        <v>831</v>
      </c>
      <c r="E373" t="s">
        <v>1028</v>
      </c>
      <c r="F373">
        <v>5</v>
      </c>
      <c r="G373" t="s">
        <v>2108</v>
      </c>
      <c r="H373" s="460">
        <v>3562.0990107936323</v>
      </c>
      <c r="I373">
        <v>1980</v>
      </c>
      <c r="J373">
        <v>0</v>
      </c>
      <c r="K373" s="67">
        <v>0</v>
      </c>
      <c r="L373" s="159">
        <v>150</v>
      </c>
      <c r="M373" s="159">
        <v>23897</v>
      </c>
      <c r="N373" s="159">
        <v>1920</v>
      </c>
      <c r="O373" s="159">
        <v>506</v>
      </c>
      <c r="P373" s="159">
        <v>3493</v>
      </c>
      <c r="Q373" s="159">
        <v>1500</v>
      </c>
      <c r="R373" s="159">
        <v>2000</v>
      </c>
      <c r="S373" s="159">
        <v>34137</v>
      </c>
      <c r="T373" s="159">
        <v>92</v>
      </c>
      <c r="U373" s="159">
        <v>120</v>
      </c>
      <c r="V373" s="159">
        <v>0</v>
      </c>
      <c r="W373" s="159">
        <v>186</v>
      </c>
      <c r="X373" s="159">
        <v>0</v>
      </c>
      <c r="Y373" s="159">
        <v>0</v>
      </c>
      <c r="Z373" s="159">
        <v>0</v>
      </c>
      <c r="AA373" s="159">
        <v>0</v>
      </c>
      <c r="AB373" s="159">
        <v>0</v>
      </c>
      <c r="AC373" s="159">
        <v>0</v>
      </c>
      <c r="AD373" s="207">
        <v>68001</v>
      </c>
      <c r="AE373" s="200">
        <v>9.257474996760596</v>
      </c>
      <c r="AF373" s="200">
        <v>12.740295708186355</v>
      </c>
      <c r="AG373" s="200">
        <v>13.879685760056915</v>
      </c>
      <c r="AH373" s="200">
        <v>0</v>
      </c>
      <c r="AI373" s="200">
        <v>0</v>
      </c>
      <c r="AJ373" s="200">
        <v>0</v>
      </c>
      <c r="AL373" s="197">
        <f t="shared" si="49"/>
        <v>77954.015095358278</v>
      </c>
      <c r="AM373" s="197" t="str">
        <f t="shared" si="50"/>
        <v>Box Medium 6</v>
      </c>
      <c r="AN373" s="3">
        <f t="shared" si="51"/>
        <v>17.506190555229765</v>
      </c>
      <c r="AO373" s="3">
        <f t="shared" si="52"/>
        <v>6.7572887400841228</v>
      </c>
      <c r="AP373" s="3">
        <f t="shared" si="53"/>
        <v>0</v>
      </c>
      <c r="AQ373" s="3">
        <f t="shared" si="54"/>
        <v>0</v>
      </c>
      <c r="AR373" s="3">
        <f t="shared" si="55"/>
        <v>6.7572887400841228</v>
      </c>
      <c r="AS373" s="81">
        <f t="shared" si="56"/>
        <v>1</v>
      </c>
      <c r="AT373" s="81">
        <f t="shared" si="57"/>
        <v>0</v>
      </c>
    </row>
    <row r="374" spans="1:46" x14ac:dyDescent="0.25">
      <c r="A374" t="s">
        <v>807</v>
      </c>
      <c r="B374">
        <v>2025</v>
      </c>
      <c r="C374" t="s">
        <v>680</v>
      </c>
      <c r="D374" t="s">
        <v>831</v>
      </c>
      <c r="E374" t="s">
        <v>1028</v>
      </c>
      <c r="F374">
        <v>5</v>
      </c>
      <c r="G374" t="s">
        <v>2109</v>
      </c>
      <c r="H374" s="460">
        <v>3809.2843549780837</v>
      </c>
      <c r="I374">
        <v>1980</v>
      </c>
      <c r="J374">
        <v>0</v>
      </c>
      <c r="K374" s="67">
        <v>3.2472000000000003</v>
      </c>
      <c r="L374" s="159">
        <v>150</v>
      </c>
      <c r="M374" s="159">
        <v>15783</v>
      </c>
      <c r="N374" s="159">
        <v>220</v>
      </c>
      <c r="O374" s="159">
        <v>392</v>
      </c>
      <c r="P374" s="159">
        <v>4515</v>
      </c>
      <c r="Q374" s="159">
        <v>1500</v>
      </c>
      <c r="R374" s="159">
        <v>2000</v>
      </c>
      <c r="S374" s="159">
        <v>34137</v>
      </c>
      <c r="T374" s="159">
        <v>0</v>
      </c>
      <c r="U374" s="159">
        <v>1534</v>
      </c>
      <c r="V374" s="159">
        <v>4500</v>
      </c>
      <c r="W374" s="159">
        <v>186</v>
      </c>
      <c r="X374" s="159">
        <v>120</v>
      </c>
      <c r="Y374" s="159">
        <v>1500</v>
      </c>
      <c r="Z374" s="159">
        <v>3319</v>
      </c>
      <c r="AA374" s="159">
        <v>0</v>
      </c>
      <c r="AB374" s="159">
        <v>0</v>
      </c>
      <c r="AC374" s="159">
        <v>0</v>
      </c>
      <c r="AD374" s="207">
        <v>69856</v>
      </c>
      <c r="AE374" s="200">
        <v>14.631517937321869</v>
      </c>
      <c r="AF374" s="200">
        <v>20.195334848405651</v>
      </c>
      <c r="AG374" s="200">
        <v>16.963943562297668</v>
      </c>
      <c r="AH374" s="200">
        <v>0</v>
      </c>
      <c r="AI374" s="200">
        <v>0</v>
      </c>
      <c r="AJ374" s="200">
        <v>0</v>
      </c>
      <c r="AL374" s="197">
        <f t="shared" si="49"/>
        <v>80080.523499674251</v>
      </c>
      <c r="AM374" s="197" t="str">
        <f t="shared" si="50"/>
        <v>Box Medium 6</v>
      </c>
      <c r="AN374" s="3">
        <f t="shared" si="51"/>
        <v>13.776435341263632</v>
      </c>
      <c r="AO374" s="3">
        <f t="shared" si="52"/>
        <v>5.3176247063189761</v>
      </c>
      <c r="AP374" s="3">
        <f t="shared" si="53"/>
        <v>0</v>
      </c>
      <c r="AQ374" s="3">
        <f t="shared" si="54"/>
        <v>0</v>
      </c>
      <c r="AR374" s="3">
        <f t="shared" si="55"/>
        <v>5.3176247063189761</v>
      </c>
      <c r="AS374" s="81">
        <f t="shared" si="56"/>
        <v>1</v>
      </c>
      <c r="AT374" s="81">
        <f t="shared" si="57"/>
        <v>0</v>
      </c>
    </row>
    <row r="375" spans="1:46" x14ac:dyDescent="0.25">
      <c r="A375" t="s">
        <v>807</v>
      </c>
      <c r="B375">
        <v>2025</v>
      </c>
      <c r="C375" t="s">
        <v>680</v>
      </c>
      <c r="D375" t="s">
        <v>831</v>
      </c>
      <c r="E375" t="s">
        <v>1028</v>
      </c>
      <c r="F375">
        <v>5</v>
      </c>
      <c r="G375" t="s">
        <v>2110</v>
      </c>
      <c r="H375" s="460">
        <v>3578.6065654538452</v>
      </c>
      <c r="I375">
        <v>1980</v>
      </c>
      <c r="J375">
        <v>0</v>
      </c>
      <c r="K375" s="67">
        <v>3.0888000000000004</v>
      </c>
      <c r="L375" s="159">
        <v>150</v>
      </c>
      <c r="M375" s="159">
        <v>13120</v>
      </c>
      <c r="N375" s="159">
        <v>220</v>
      </c>
      <c r="O375" s="159">
        <v>392</v>
      </c>
      <c r="P375" s="159">
        <v>2737</v>
      </c>
      <c r="Q375" s="159">
        <v>1500</v>
      </c>
      <c r="R375" s="159">
        <v>2000</v>
      </c>
      <c r="S375" s="159">
        <v>34137</v>
      </c>
      <c r="T375" s="159">
        <v>0</v>
      </c>
      <c r="U375" s="159">
        <v>1459</v>
      </c>
      <c r="V375" s="159">
        <v>4500</v>
      </c>
      <c r="W375" s="159">
        <v>186</v>
      </c>
      <c r="X375" s="159">
        <v>120</v>
      </c>
      <c r="Y375" s="159">
        <v>1500</v>
      </c>
      <c r="Z375" s="159">
        <v>3064</v>
      </c>
      <c r="AA375" s="159">
        <v>0</v>
      </c>
      <c r="AB375" s="159">
        <v>0</v>
      </c>
      <c r="AC375" s="159">
        <v>0</v>
      </c>
      <c r="AD375" s="207">
        <v>65085</v>
      </c>
      <c r="AE375" s="200">
        <v>1.0905504641842978</v>
      </c>
      <c r="AF375" s="200">
        <v>15.933767372191383</v>
      </c>
      <c r="AG375" s="200">
        <v>14.950293799548986</v>
      </c>
      <c r="AH375" s="200">
        <v>0</v>
      </c>
      <c r="AI375" s="200">
        <v>0</v>
      </c>
      <c r="AJ375" s="200">
        <v>0</v>
      </c>
      <c r="AL375" s="197">
        <f t="shared" si="49"/>
        <v>74611.212665716594</v>
      </c>
      <c r="AM375" s="197" t="str">
        <f t="shared" si="50"/>
        <v>Box Medium 6</v>
      </c>
      <c r="AN375" s="3">
        <f t="shared" si="51"/>
        <v>25.643326460568986</v>
      </c>
      <c r="AO375" s="3">
        <f t="shared" si="52"/>
        <v>9.8981763395999884</v>
      </c>
      <c r="AP375" s="3">
        <f t="shared" si="53"/>
        <v>0</v>
      </c>
      <c r="AQ375" s="3">
        <f t="shared" si="54"/>
        <v>0</v>
      </c>
      <c r="AR375" s="3">
        <f t="shared" si="55"/>
        <v>9.8981763395999884</v>
      </c>
      <c r="AS375" s="81">
        <f t="shared" si="56"/>
        <v>1</v>
      </c>
      <c r="AT375" s="81">
        <f t="shared" si="57"/>
        <v>0</v>
      </c>
    </row>
    <row r="376" spans="1:46" x14ac:dyDescent="0.25">
      <c r="A376" t="s">
        <v>808</v>
      </c>
      <c r="B376">
        <v>2025</v>
      </c>
      <c r="C376" t="s">
        <v>680</v>
      </c>
      <c r="D376" t="s">
        <v>831</v>
      </c>
      <c r="E376" t="s">
        <v>1028</v>
      </c>
      <c r="F376">
        <v>5</v>
      </c>
      <c r="G376" t="s">
        <v>2111</v>
      </c>
      <c r="H376" s="460">
        <v>4405.7385364330739</v>
      </c>
      <c r="I376">
        <v>1980</v>
      </c>
      <c r="J376">
        <v>119.99999997072871</v>
      </c>
      <c r="K376" s="67">
        <v>113.574375</v>
      </c>
      <c r="L376" s="159">
        <v>0</v>
      </c>
      <c r="M376" s="159">
        <v>9507</v>
      </c>
      <c r="N376" s="159">
        <v>220</v>
      </c>
      <c r="O376" s="159">
        <v>0</v>
      </c>
      <c r="P376" s="159">
        <v>0</v>
      </c>
      <c r="Q376" s="159">
        <v>1500</v>
      </c>
      <c r="R376" s="159">
        <v>2000</v>
      </c>
      <c r="S376" s="159">
        <v>34137</v>
      </c>
      <c r="T376" s="159">
        <v>2005</v>
      </c>
      <c r="U376" s="159">
        <v>31801</v>
      </c>
      <c r="V376" s="159">
        <v>4500</v>
      </c>
      <c r="W376" s="159">
        <v>186</v>
      </c>
      <c r="X376" s="159">
        <v>0</v>
      </c>
      <c r="Y376" s="159">
        <v>1500</v>
      </c>
      <c r="Z376" s="159">
        <v>6585</v>
      </c>
      <c r="AA376" s="159">
        <v>0</v>
      </c>
      <c r="AB376" s="159">
        <v>0</v>
      </c>
      <c r="AC376" s="159">
        <v>0</v>
      </c>
      <c r="AD376" s="207">
        <v>93941</v>
      </c>
      <c r="AE376" s="200">
        <v>40.751619151155502</v>
      </c>
      <c r="AF376" s="200">
        <v>32.969215559415609</v>
      </c>
      <c r="AG376" s="200">
        <v>25.198514755391834</v>
      </c>
      <c r="AH376" s="200">
        <v>838</v>
      </c>
      <c r="AI376" s="200">
        <v>848</v>
      </c>
      <c r="AJ376" s="200">
        <v>1022</v>
      </c>
      <c r="AL376" s="197">
        <f t="shared" si="49"/>
        <v>107690.74178428335</v>
      </c>
      <c r="AM376" s="197" t="str">
        <f t="shared" si="50"/>
        <v>Box Medium 6</v>
      </c>
      <c r="AN376" s="3">
        <f t="shared" si="51"/>
        <v>1.7916693167402828</v>
      </c>
      <c r="AO376" s="3">
        <f t="shared" si="52"/>
        <v>0.69157403843902276</v>
      </c>
      <c r="AP376" s="3">
        <f t="shared" si="53"/>
        <v>49.567648849839067</v>
      </c>
      <c r="AQ376" s="3">
        <f t="shared" si="54"/>
        <v>1.7844353585942065</v>
      </c>
      <c r="AR376" s="3">
        <f t="shared" si="55"/>
        <v>2.4760093970332293</v>
      </c>
      <c r="AS376" s="81">
        <f t="shared" si="56"/>
        <v>0.27930994093466338</v>
      </c>
      <c r="AT376" s="81">
        <f t="shared" si="57"/>
        <v>0.72069005906533667</v>
      </c>
    </row>
    <row r="377" spans="1:46" x14ac:dyDescent="0.25">
      <c r="A377" t="s">
        <v>808</v>
      </c>
      <c r="B377">
        <v>2025</v>
      </c>
      <c r="C377" t="s">
        <v>680</v>
      </c>
      <c r="D377" t="s">
        <v>831</v>
      </c>
      <c r="E377" t="s">
        <v>1028</v>
      </c>
      <c r="F377">
        <v>5</v>
      </c>
      <c r="G377" t="s">
        <v>2112</v>
      </c>
      <c r="H377" s="460">
        <v>4279.146278160486</v>
      </c>
      <c r="I377">
        <v>1980</v>
      </c>
      <c r="J377">
        <v>119.99999997072871</v>
      </c>
      <c r="K377" s="67">
        <v>106.126875</v>
      </c>
      <c r="L377" s="159">
        <v>0</v>
      </c>
      <c r="M377" s="159">
        <v>6071</v>
      </c>
      <c r="N377" s="159">
        <v>220</v>
      </c>
      <c r="O377" s="159">
        <v>0</v>
      </c>
      <c r="P377" s="159">
        <v>3011</v>
      </c>
      <c r="Q377" s="159">
        <v>1500</v>
      </c>
      <c r="R377" s="159">
        <v>2000</v>
      </c>
      <c r="S377" s="159">
        <v>34137</v>
      </c>
      <c r="T377" s="159">
        <v>1456</v>
      </c>
      <c r="U377" s="159">
        <v>29716</v>
      </c>
      <c r="V377" s="159">
        <v>4500</v>
      </c>
      <c r="W377" s="159">
        <v>186</v>
      </c>
      <c r="X377" s="159">
        <v>0</v>
      </c>
      <c r="Y377" s="159">
        <v>1500</v>
      </c>
      <c r="Z377" s="159">
        <v>5071</v>
      </c>
      <c r="AA377" s="159">
        <v>0</v>
      </c>
      <c r="AB377" s="159">
        <v>0</v>
      </c>
      <c r="AC377" s="159">
        <v>0</v>
      </c>
      <c r="AD377" s="207">
        <v>89368</v>
      </c>
      <c r="AE377" s="200">
        <v>12.35527474365014</v>
      </c>
      <c r="AF377" s="200">
        <v>16.286971268673938</v>
      </c>
      <c r="AG377" s="200">
        <v>16.347870018667479</v>
      </c>
      <c r="AH377" s="200">
        <v>864</v>
      </c>
      <c r="AI377" s="200">
        <v>740</v>
      </c>
      <c r="AJ377" s="200">
        <v>889</v>
      </c>
      <c r="AL377" s="197">
        <f t="shared" si="49"/>
        <v>102448.41136221496</v>
      </c>
      <c r="AM377" s="197" t="str">
        <f t="shared" si="50"/>
        <v>Box Medium 6</v>
      </c>
      <c r="AN377" s="3">
        <f t="shared" si="51"/>
        <v>2.9250874957786759</v>
      </c>
      <c r="AO377" s="3">
        <f t="shared" si="52"/>
        <v>1.1290669284461408</v>
      </c>
      <c r="AP377" s="3">
        <f t="shared" si="53"/>
        <v>43.463283084991367</v>
      </c>
      <c r="AQ377" s="3">
        <f t="shared" si="54"/>
        <v>1.5646781910596892</v>
      </c>
      <c r="AR377" s="3">
        <f t="shared" si="55"/>
        <v>2.69374511950583</v>
      </c>
      <c r="AS377" s="81">
        <f t="shared" si="56"/>
        <v>0.41914393469166422</v>
      </c>
      <c r="AT377" s="81">
        <f t="shared" si="57"/>
        <v>0.58085606530833578</v>
      </c>
    </row>
    <row r="378" spans="1:46" x14ac:dyDescent="0.25">
      <c r="A378" t="s">
        <v>230</v>
      </c>
      <c r="B378">
        <v>2025</v>
      </c>
      <c r="C378" t="s">
        <v>680</v>
      </c>
      <c r="D378" t="s">
        <v>831</v>
      </c>
      <c r="E378" t="s">
        <v>1028</v>
      </c>
      <c r="F378">
        <v>5</v>
      </c>
      <c r="G378" t="s">
        <v>2113</v>
      </c>
      <c r="H378" s="460">
        <v>4177.5779130166593</v>
      </c>
      <c r="I378">
        <v>1980</v>
      </c>
      <c r="J378">
        <v>150.00000001001371</v>
      </c>
      <c r="K378" s="67">
        <v>146.71575000000001</v>
      </c>
      <c r="L378" s="159">
        <v>0</v>
      </c>
      <c r="M378" s="159">
        <v>0</v>
      </c>
      <c r="N378" s="159">
        <v>0</v>
      </c>
      <c r="O378" s="159">
        <v>0</v>
      </c>
      <c r="P378" s="159">
        <v>0</v>
      </c>
      <c r="Q378" s="159">
        <v>1500</v>
      </c>
      <c r="R378" s="159">
        <v>2000</v>
      </c>
      <c r="S378" s="159">
        <v>34137</v>
      </c>
      <c r="T378" s="159">
        <v>0</v>
      </c>
      <c r="U378" s="159">
        <v>41080</v>
      </c>
      <c r="V378" s="159">
        <v>4500</v>
      </c>
      <c r="W378" s="159">
        <v>186</v>
      </c>
      <c r="X378" s="159">
        <v>0</v>
      </c>
      <c r="Y378" s="159">
        <v>1500</v>
      </c>
      <c r="Z378" s="159">
        <v>5518</v>
      </c>
      <c r="AA378" s="159">
        <v>0</v>
      </c>
      <c r="AB378" s="159">
        <v>0</v>
      </c>
      <c r="AC378" s="159">
        <v>0</v>
      </c>
      <c r="AD378" s="207">
        <v>90421</v>
      </c>
      <c r="AE378" s="200">
        <v>0</v>
      </c>
      <c r="AF378" s="200">
        <v>0</v>
      </c>
      <c r="AG378" s="200">
        <v>0</v>
      </c>
      <c r="AH378" s="200">
        <v>820</v>
      </c>
      <c r="AI378" s="200">
        <v>811</v>
      </c>
      <c r="AJ378" s="200">
        <v>967</v>
      </c>
      <c r="AL378" s="197">
        <f t="shared" si="49"/>
        <v>103655.53446180779</v>
      </c>
      <c r="AM378" s="197" t="str">
        <f t="shared" si="50"/>
        <v>Box Medium 6</v>
      </c>
      <c r="AN378" s="3">
        <f t="shared" si="51"/>
        <v>0</v>
      </c>
      <c r="AO378" s="3">
        <f t="shared" si="52"/>
        <v>0</v>
      </c>
      <c r="AP378" s="3">
        <f t="shared" si="53"/>
        <v>58.757627350342382</v>
      </c>
      <c r="AQ378" s="3">
        <f t="shared" si="54"/>
        <v>2.115274584612326</v>
      </c>
      <c r="AR378" s="3">
        <f t="shared" si="55"/>
        <v>2.115274584612326</v>
      </c>
      <c r="AS378" s="81">
        <f t="shared" si="56"/>
        <v>0</v>
      </c>
      <c r="AT378" s="81">
        <f t="shared" si="57"/>
        <v>1</v>
      </c>
    </row>
    <row r="379" spans="1:46" x14ac:dyDescent="0.25">
      <c r="A379" t="s">
        <v>496</v>
      </c>
      <c r="B379">
        <v>2025</v>
      </c>
      <c r="C379" t="s">
        <v>680</v>
      </c>
      <c r="D379" t="s">
        <v>831</v>
      </c>
      <c r="E379" t="s">
        <v>1028</v>
      </c>
      <c r="F379">
        <v>5</v>
      </c>
      <c r="G379" t="s">
        <v>2114</v>
      </c>
      <c r="H379" s="460">
        <v>3653.2133243401622</v>
      </c>
      <c r="I379">
        <v>1980</v>
      </c>
      <c r="J379">
        <v>150.00000001001371</v>
      </c>
      <c r="K379" s="67">
        <v>4.6569599999999998</v>
      </c>
      <c r="L379" s="159">
        <v>0</v>
      </c>
      <c r="M379" s="159">
        <v>0</v>
      </c>
      <c r="N379" s="159">
        <v>0</v>
      </c>
      <c r="O379" s="159">
        <v>0</v>
      </c>
      <c r="P379" s="159">
        <v>0</v>
      </c>
      <c r="Q379" s="159">
        <v>1500</v>
      </c>
      <c r="R379" s="159">
        <v>2000</v>
      </c>
      <c r="S379" s="159">
        <v>34137</v>
      </c>
      <c r="T379" s="159">
        <v>0</v>
      </c>
      <c r="U379" s="159">
        <v>2200</v>
      </c>
      <c r="V379" s="159">
        <v>4500</v>
      </c>
      <c r="W379" s="159">
        <v>186</v>
      </c>
      <c r="X379" s="159">
        <v>0</v>
      </c>
      <c r="Y379" s="159">
        <v>1500</v>
      </c>
      <c r="Z379" s="159">
        <v>5795</v>
      </c>
      <c r="AA379" s="159">
        <v>21728</v>
      </c>
      <c r="AB379" s="159">
        <v>6364</v>
      </c>
      <c r="AC379" s="159">
        <v>0</v>
      </c>
      <c r="AD379" s="207">
        <v>79910</v>
      </c>
      <c r="AE379" s="200">
        <v>27.481165268909372</v>
      </c>
      <c r="AF379" s="200">
        <v>27.996765022376021</v>
      </c>
      <c r="AG379" s="200">
        <v>22.889149100957571</v>
      </c>
      <c r="AH379" s="200">
        <v>0</v>
      </c>
      <c r="AI379" s="200">
        <v>0</v>
      </c>
      <c r="AJ379" s="200">
        <v>0</v>
      </c>
      <c r="AL379" s="197">
        <f t="shared" si="49"/>
        <v>91606.084414495082</v>
      </c>
      <c r="AM379" s="197" t="str">
        <f t="shared" si="50"/>
        <v>Box Medium 6</v>
      </c>
      <c r="AN379" s="3">
        <f t="shared" si="51"/>
        <v>10.021686734238026</v>
      </c>
      <c r="AO379" s="3">
        <f t="shared" si="52"/>
        <v>3.8683133667642311</v>
      </c>
      <c r="AP379" s="3">
        <f t="shared" si="53"/>
        <v>0</v>
      </c>
      <c r="AQ379" s="3">
        <f t="shared" si="54"/>
        <v>0</v>
      </c>
      <c r="AR379" s="3">
        <f t="shared" si="55"/>
        <v>3.8683133667642311</v>
      </c>
      <c r="AS379" s="81">
        <f t="shared" si="56"/>
        <v>1</v>
      </c>
      <c r="AT379" s="81">
        <f t="shared" si="57"/>
        <v>0</v>
      </c>
    </row>
    <row r="380" spans="1:46" x14ac:dyDescent="0.25">
      <c r="A380" t="s">
        <v>828</v>
      </c>
      <c r="B380">
        <v>2025</v>
      </c>
      <c r="C380" t="s">
        <v>680</v>
      </c>
      <c r="D380" t="s">
        <v>831</v>
      </c>
      <c r="E380" t="s">
        <v>1028</v>
      </c>
      <c r="F380">
        <v>5</v>
      </c>
      <c r="G380" t="s">
        <v>2115</v>
      </c>
      <c r="H380" s="460">
        <v>3704.4579054981623</v>
      </c>
      <c r="I380">
        <v>1980</v>
      </c>
      <c r="J380">
        <v>150.00000001001371</v>
      </c>
      <c r="K380" s="67">
        <v>38.975250000000003</v>
      </c>
      <c r="L380" s="159">
        <v>0</v>
      </c>
      <c r="M380" s="159">
        <v>0</v>
      </c>
      <c r="N380" s="159">
        <v>0</v>
      </c>
      <c r="O380" s="159">
        <v>0</v>
      </c>
      <c r="P380" s="159">
        <v>0</v>
      </c>
      <c r="Q380" s="159">
        <v>1500</v>
      </c>
      <c r="R380" s="159">
        <v>2000</v>
      </c>
      <c r="S380" s="159">
        <v>34137</v>
      </c>
      <c r="T380" s="159">
        <v>0</v>
      </c>
      <c r="U380" s="159">
        <v>10913</v>
      </c>
      <c r="V380" s="159">
        <v>4500</v>
      </c>
      <c r="W380" s="159">
        <v>186</v>
      </c>
      <c r="X380" s="159">
        <v>0</v>
      </c>
      <c r="Y380" s="159">
        <v>1500</v>
      </c>
      <c r="Z380" s="159">
        <v>7223</v>
      </c>
      <c r="AA380" s="159">
        <v>6720</v>
      </c>
      <c r="AB380" s="159">
        <v>4713</v>
      </c>
      <c r="AC380" s="159">
        <v>0</v>
      </c>
      <c r="AD380" s="207">
        <v>73392</v>
      </c>
      <c r="AE380" s="200">
        <v>26.684629617994652</v>
      </c>
      <c r="AF380" s="200">
        <v>25.128728371341772</v>
      </c>
      <c r="AG380" s="200">
        <v>22.003211046578809</v>
      </c>
      <c r="AH380" s="200">
        <v>0</v>
      </c>
      <c r="AI380" s="200">
        <v>0</v>
      </c>
      <c r="AJ380" s="200">
        <v>227.31146788166848</v>
      </c>
      <c r="AL380" s="197">
        <f t="shared" si="49"/>
        <v>84134.072673615607</v>
      </c>
      <c r="AM380" s="197" t="str">
        <f t="shared" si="50"/>
        <v>Box Medium 6</v>
      </c>
      <c r="AN380" s="3">
        <f t="shared" si="51"/>
        <v>10.476599077284176</v>
      </c>
      <c r="AO380" s="3">
        <f t="shared" si="52"/>
        <v>4.0439069114416437</v>
      </c>
      <c r="AP380" s="3">
        <f t="shared" si="53"/>
        <v>12.14708280277846</v>
      </c>
      <c r="AQ380" s="3">
        <f t="shared" si="54"/>
        <v>0.43729498090002461</v>
      </c>
      <c r="AR380" s="3">
        <f t="shared" si="55"/>
        <v>4.4812018923416685</v>
      </c>
      <c r="AS380" s="81">
        <f t="shared" si="56"/>
        <v>0.90241569306498826</v>
      </c>
      <c r="AT380" s="81">
        <f t="shared" si="57"/>
        <v>9.7584306935011689E-2</v>
      </c>
    </row>
    <row r="381" spans="1:46" x14ac:dyDescent="0.25">
      <c r="A381" t="s">
        <v>805</v>
      </c>
      <c r="B381">
        <v>2030</v>
      </c>
      <c r="C381" t="s">
        <v>680</v>
      </c>
      <c r="D381" t="s">
        <v>831</v>
      </c>
      <c r="E381" t="s">
        <v>1028</v>
      </c>
      <c r="F381">
        <v>5</v>
      </c>
      <c r="G381" t="s">
        <v>2116</v>
      </c>
      <c r="H381" s="460">
        <v>3749.0656783479935</v>
      </c>
      <c r="I381">
        <v>1980</v>
      </c>
      <c r="J381">
        <v>0</v>
      </c>
      <c r="K381" s="67">
        <v>0</v>
      </c>
      <c r="L381" s="159">
        <v>150</v>
      </c>
      <c r="M381" s="159">
        <v>17468</v>
      </c>
      <c r="N381" s="159">
        <v>1920</v>
      </c>
      <c r="O381" s="159">
        <v>506</v>
      </c>
      <c r="P381" s="159">
        <v>4934</v>
      </c>
      <c r="Q381" s="159">
        <v>1500</v>
      </c>
      <c r="R381" s="159">
        <v>2000</v>
      </c>
      <c r="S381" s="159">
        <v>34291</v>
      </c>
      <c r="T381" s="159">
        <v>73</v>
      </c>
      <c r="U381" s="159">
        <v>120</v>
      </c>
      <c r="V381" s="159">
        <v>0</v>
      </c>
      <c r="W381" s="159">
        <v>186</v>
      </c>
      <c r="X381" s="159">
        <v>0</v>
      </c>
      <c r="Y381" s="159">
        <v>0</v>
      </c>
      <c r="Z381" s="159">
        <v>0</v>
      </c>
      <c r="AA381" s="159">
        <v>0</v>
      </c>
      <c r="AB381" s="159">
        <v>0</v>
      </c>
      <c r="AC381" s="159">
        <v>0</v>
      </c>
      <c r="AD381" s="207">
        <v>63148</v>
      </c>
      <c r="AE381" s="200">
        <v>13.395234978787691</v>
      </c>
      <c r="AF381" s="200">
        <v>19.287444878919473</v>
      </c>
      <c r="AG381" s="200">
        <v>19.333236371503851</v>
      </c>
      <c r="AH381" s="200">
        <v>0</v>
      </c>
      <c r="AI381" s="200">
        <v>0</v>
      </c>
      <c r="AJ381" s="200">
        <v>0</v>
      </c>
      <c r="AL381" s="197">
        <f t="shared" si="49"/>
        <v>72390.702272638417</v>
      </c>
      <c r="AM381" s="197" t="str">
        <f t="shared" si="50"/>
        <v>Box Medium 6</v>
      </c>
      <c r="AN381" s="3">
        <f t="shared" si="51"/>
        <v>12.438622478699173</v>
      </c>
      <c r="AO381" s="3">
        <f t="shared" si="52"/>
        <v>4.8012366455340478</v>
      </c>
      <c r="AP381" s="3">
        <f t="shared" si="53"/>
        <v>0</v>
      </c>
      <c r="AQ381" s="3">
        <f t="shared" si="54"/>
        <v>0</v>
      </c>
      <c r="AR381" s="3">
        <f t="shared" si="55"/>
        <v>4.8012366455340478</v>
      </c>
      <c r="AS381" s="81">
        <f t="shared" si="56"/>
        <v>1</v>
      </c>
      <c r="AT381" s="81">
        <f t="shared" si="57"/>
        <v>0</v>
      </c>
    </row>
    <row r="382" spans="1:46" x14ac:dyDescent="0.25">
      <c r="A382" t="s">
        <v>805</v>
      </c>
      <c r="B382">
        <v>2030</v>
      </c>
      <c r="C382" t="s">
        <v>680</v>
      </c>
      <c r="D382" t="s">
        <v>831</v>
      </c>
      <c r="E382" t="s">
        <v>1028</v>
      </c>
      <c r="F382">
        <v>5</v>
      </c>
      <c r="G382" t="s">
        <v>2117</v>
      </c>
      <c r="H382" s="460">
        <v>3530.2263715885456</v>
      </c>
      <c r="I382">
        <v>1980</v>
      </c>
      <c r="J382">
        <v>0</v>
      </c>
      <c r="K382" s="67">
        <v>0</v>
      </c>
      <c r="L382" s="159">
        <v>150</v>
      </c>
      <c r="M382" s="159">
        <v>23991</v>
      </c>
      <c r="N382" s="159">
        <v>1920</v>
      </c>
      <c r="O382" s="159">
        <v>506</v>
      </c>
      <c r="P382" s="159">
        <v>3476</v>
      </c>
      <c r="Q382" s="159">
        <v>1500</v>
      </c>
      <c r="R382" s="159">
        <v>2000</v>
      </c>
      <c r="S382" s="159">
        <v>34291</v>
      </c>
      <c r="T382" s="159">
        <v>73</v>
      </c>
      <c r="U382" s="159">
        <v>120</v>
      </c>
      <c r="V382" s="159">
        <v>0</v>
      </c>
      <c r="W382" s="159">
        <v>186</v>
      </c>
      <c r="X382" s="159">
        <v>0</v>
      </c>
      <c r="Y382" s="159">
        <v>0</v>
      </c>
      <c r="Z382" s="159">
        <v>0</v>
      </c>
      <c r="AA382" s="159">
        <v>0</v>
      </c>
      <c r="AB382" s="159">
        <v>0</v>
      </c>
      <c r="AC382" s="159">
        <v>0</v>
      </c>
      <c r="AD382" s="207">
        <v>68213</v>
      </c>
      <c r="AE382" s="200">
        <v>9.8571463927734619</v>
      </c>
      <c r="AF382" s="200">
        <v>13.847420430719003</v>
      </c>
      <c r="AG382" s="200">
        <v>15.300009035090223</v>
      </c>
      <c r="AH382" s="200">
        <v>0</v>
      </c>
      <c r="AI382" s="200">
        <v>0</v>
      </c>
      <c r="AJ382" s="200">
        <v>0</v>
      </c>
      <c r="AL382" s="197">
        <f t="shared" si="49"/>
        <v>78197.044627280105</v>
      </c>
      <c r="AM382" s="197" t="str">
        <f t="shared" si="50"/>
        <v>Box Medium 6</v>
      </c>
      <c r="AN382" s="3">
        <f t="shared" si="51"/>
        <v>15.943112362214325</v>
      </c>
      <c r="AO382" s="3">
        <f t="shared" si="52"/>
        <v>6.1539495589977538</v>
      </c>
      <c r="AP382" s="3">
        <f t="shared" si="53"/>
        <v>0</v>
      </c>
      <c r="AQ382" s="3">
        <f t="shared" si="54"/>
        <v>0</v>
      </c>
      <c r="AR382" s="3">
        <f t="shared" si="55"/>
        <v>6.1539495589977538</v>
      </c>
      <c r="AS382" s="81">
        <f t="shared" si="56"/>
        <v>1</v>
      </c>
      <c r="AT382" s="81">
        <f t="shared" si="57"/>
        <v>0</v>
      </c>
    </row>
    <row r="383" spans="1:46" x14ac:dyDescent="0.25">
      <c r="A383" t="s">
        <v>807</v>
      </c>
      <c r="B383">
        <v>2030</v>
      </c>
      <c r="C383" t="s">
        <v>680</v>
      </c>
      <c r="D383" t="s">
        <v>831</v>
      </c>
      <c r="E383" t="s">
        <v>1028</v>
      </c>
      <c r="F383">
        <v>5</v>
      </c>
      <c r="G383" t="s">
        <v>2118</v>
      </c>
      <c r="H383" s="460">
        <v>3747.0232330140998</v>
      </c>
      <c r="I383">
        <v>1980</v>
      </c>
      <c r="J383">
        <v>0</v>
      </c>
      <c r="K383" s="67">
        <v>3.1046400000000003</v>
      </c>
      <c r="L383" s="159">
        <v>150</v>
      </c>
      <c r="M383" s="159">
        <v>15195</v>
      </c>
      <c r="N383" s="159">
        <v>220</v>
      </c>
      <c r="O383" s="159">
        <v>392</v>
      </c>
      <c r="P383" s="159">
        <v>4271</v>
      </c>
      <c r="Q383" s="159">
        <v>1500</v>
      </c>
      <c r="R383" s="159">
        <v>2000</v>
      </c>
      <c r="S383" s="159">
        <v>34291</v>
      </c>
      <c r="T383" s="159">
        <v>0</v>
      </c>
      <c r="U383" s="159">
        <v>1115</v>
      </c>
      <c r="V383" s="159">
        <v>4500</v>
      </c>
      <c r="W383" s="159">
        <v>186</v>
      </c>
      <c r="X383" s="159">
        <v>120</v>
      </c>
      <c r="Y383" s="159">
        <v>1500</v>
      </c>
      <c r="Z383" s="159">
        <v>2616</v>
      </c>
      <c r="AA383" s="159">
        <v>0</v>
      </c>
      <c r="AB383" s="159">
        <v>0</v>
      </c>
      <c r="AC383" s="159">
        <v>0</v>
      </c>
      <c r="AD383" s="207">
        <v>68056</v>
      </c>
      <c r="AE383" s="200">
        <v>16.258967318698495</v>
      </c>
      <c r="AF383" s="200">
        <v>22.532863345896853</v>
      </c>
      <c r="AG383" s="200">
        <v>18.897680820952637</v>
      </c>
      <c r="AH383" s="200">
        <v>0</v>
      </c>
      <c r="AI383" s="200">
        <v>0</v>
      </c>
      <c r="AJ383" s="200">
        <v>0</v>
      </c>
      <c r="AL383" s="197">
        <f t="shared" si="49"/>
        <v>78017.065209771958</v>
      </c>
      <c r="AM383" s="197" t="str">
        <f t="shared" si="50"/>
        <v>Box Medium 6</v>
      </c>
      <c r="AN383" s="3">
        <f t="shared" si="51"/>
        <v>12.367051611496958</v>
      </c>
      <c r="AO383" s="3">
        <f t="shared" si="52"/>
        <v>4.7736107029546035</v>
      </c>
      <c r="AP383" s="3">
        <f t="shared" si="53"/>
        <v>0</v>
      </c>
      <c r="AQ383" s="3">
        <f t="shared" si="54"/>
        <v>0</v>
      </c>
      <c r="AR383" s="3">
        <f t="shared" si="55"/>
        <v>4.7736107029546035</v>
      </c>
      <c r="AS383" s="81">
        <f t="shared" si="56"/>
        <v>1</v>
      </c>
      <c r="AT383" s="81">
        <f t="shared" si="57"/>
        <v>0</v>
      </c>
    </row>
    <row r="384" spans="1:46" x14ac:dyDescent="0.25">
      <c r="A384" t="s">
        <v>807</v>
      </c>
      <c r="B384">
        <v>2030</v>
      </c>
      <c r="C384" t="s">
        <v>680</v>
      </c>
      <c r="D384" t="s">
        <v>831</v>
      </c>
      <c r="E384" t="s">
        <v>1028</v>
      </c>
      <c r="F384">
        <v>5</v>
      </c>
      <c r="G384" t="s">
        <v>2119</v>
      </c>
      <c r="H384" s="460">
        <v>3539.9613267375316</v>
      </c>
      <c r="I384">
        <v>1980</v>
      </c>
      <c r="J384">
        <v>0</v>
      </c>
      <c r="K384" s="67">
        <v>3.2155200000000006</v>
      </c>
      <c r="L384" s="159">
        <v>150</v>
      </c>
      <c r="M384" s="159">
        <v>13123</v>
      </c>
      <c r="N384" s="159">
        <v>220</v>
      </c>
      <c r="O384" s="159">
        <v>392</v>
      </c>
      <c r="P384" s="159">
        <v>2677</v>
      </c>
      <c r="Q384" s="159">
        <v>1500</v>
      </c>
      <c r="R384" s="159">
        <v>2000</v>
      </c>
      <c r="S384" s="159">
        <v>34291</v>
      </c>
      <c r="T384" s="159">
        <v>0</v>
      </c>
      <c r="U384" s="159">
        <v>1155</v>
      </c>
      <c r="V384" s="159">
        <v>4500</v>
      </c>
      <c r="W384" s="159">
        <v>186</v>
      </c>
      <c r="X384" s="159">
        <v>120</v>
      </c>
      <c r="Y384" s="159">
        <v>1500</v>
      </c>
      <c r="Z384" s="159">
        <v>2418</v>
      </c>
      <c r="AA384" s="159">
        <v>0</v>
      </c>
      <c r="AB384" s="159">
        <v>0</v>
      </c>
      <c r="AC384" s="159">
        <v>0</v>
      </c>
      <c r="AD384" s="207">
        <v>64232</v>
      </c>
      <c r="AE384" s="200">
        <v>8.1224058314997478</v>
      </c>
      <c r="AF384" s="200">
        <v>17.945309537140346</v>
      </c>
      <c r="AG384" s="200">
        <v>16.850103870170933</v>
      </c>
      <c r="AH384" s="200">
        <v>0</v>
      </c>
      <c r="AI384" s="200">
        <v>0</v>
      </c>
      <c r="AJ384" s="200">
        <v>0</v>
      </c>
      <c r="AL384" s="197">
        <f t="shared" si="49"/>
        <v>73633.362709446228</v>
      </c>
      <c r="AM384" s="197" t="str">
        <f t="shared" si="50"/>
        <v>Box Medium 6</v>
      </c>
      <c r="AN384" s="3">
        <f t="shared" si="51"/>
        <v>14.632570442867992</v>
      </c>
      <c r="AO384" s="3">
        <f t="shared" si="52"/>
        <v>5.6480879252477614</v>
      </c>
      <c r="AP384" s="3">
        <f t="shared" si="53"/>
        <v>0</v>
      </c>
      <c r="AQ384" s="3">
        <f t="shared" si="54"/>
        <v>0</v>
      </c>
      <c r="AR384" s="3">
        <f t="shared" si="55"/>
        <v>5.6480879252477614</v>
      </c>
      <c r="AS384" s="81">
        <f t="shared" si="56"/>
        <v>1</v>
      </c>
      <c r="AT384" s="81">
        <f t="shared" si="57"/>
        <v>0</v>
      </c>
    </row>
    <row r="385" spans="1:46" x14ac:dyDescent="0.25">
      <c r="A385" t="s">
        <v>808</v>
      </c>
      <c r="B385">
        <v>2030</v>
      </c>
      <c r="C385" t="s">
        <v>680</v>
      </c>
      <c r="D385" t="s">
        <v>831</v>
      </c>
      <c r="E385" t="s">
        <v>1028</v>
      </c>
      <c r="F385">
        <v>5</v>
      </c>
      <c r="G385" t="s">
        <v>2120</v>
      </c>
      <c r="H385" s="460">
        <v>4160.3225240671272</v>
      </c>
      <c r="I385">
        <v>1980</v>
      </c>
      <c r="J385">
        <v>119.99999997072871</v>
      </c>
      <c r="K385" s="67">
        <v>106.7475</v>
      </c>
      <c r="L385" s="159">
        <v>0</v>
      </c>
      <c r="M385" s="159">
        <v>9609</v>
      </c>
      <c r="N385" s="159">
        <v>220</v>
      </c>
      <c r="O385" s="159">
        <v>0</v>
      </c>
      <c r="P385" s="159">
        <v>0</v>
      </c>
      <c r="Q385" s="159">
        <v>1500</v>
      </c>
      <c r="R385" s="159">
        <v>2000</v>
      </c>
      <c r="S385" s="159">
        <v>34291</v>
      </c>
      <c r="T385" s="159">
        <v>1506</v>
      </c>
      <c r="U385" s="159">
        <v>21350</v>
      </c>
      <c r="V385" s="159">
        <v>4500</v>
      </c>
      <c r="W385" s="159">
        <v>186</v>
      </c>
      <c r="X385" s="159">
        <v>0</v>
      </c>
      <c r="Y385" s="159">
        <v>1500</v>
      </c>
      <c r="Z385" s="159">
        <v>5166</v>
      </c>
      <c r="AA385" s="159">
        <v>0</v>
      </c>
      <c r="AB385" s="159">
        <v>0</v>
      </c>
      <c r="AC385" s="159">
        <v>0</v>
      </c>
      <c r="AD385" s="207">
        <v>81828</v>
      </c>
      <c r="AE385" s="200">
        <v>43.60738772210096</v>
      </c>
      <c r="AF385" s="200">
        <v>36.277885717057345</v>
      </c>
      <c r="AG385" s="200">
        <v>27.586481645512059</v>
      </c>
      <c r="AH385" s="200">
        <v>784</v>
      </c>
      <c r="AI385" s="200">
        <v>787</v>
      </c>
      <c r="AJ385" s="200">
        <v>951</v>
      </c>
      <c r="AL385" s="197">
        <f t="shared" si="49"/>
        <v>93804.813858957627</v>
      </c>
      <c r="AM385" s="197" t="str">
        <f t="shared" si="50"/>
        <v>Box Medium 6</v>
      </c>
      <c r="AN385" s="3">
        <f t="shared" si="51"/>
        <v>1.637197639405839</v>
      </c>
      <c r="AO385" s="3">
        <f t="shared" si="52"/>
        <v>0.63194886055575561</v>
      </c>
      <c r="AP385" s="3">
        <f t="shared" si="53"/>
        <v>46.125243888799133</v>
      </c>
      <c r="AQ385" s="3">
        <f t="shared" si="54"/>
        <v>1.6605087799967688</v>
      </c>
      <c r="AR385" s="3">
        <f t="shared" si="55"/>
        <v>2.2924576405525245</v>
      </c>
      <c r="AS385" s="81">
        <f t="shared" si="56"/>
        <v>0.27566435661748773</v>
      </c>
      <c r="AT385" s="81">
        <f t="shared" si="57"/>
        <v>0.72433564338251222</v>
      </c>
    </row>
    <row r="386" spans="1:46" x14ac:dyDescent="0.25">
      <c r="A386" t="s">
        <v>808</v>
      </c>
      <c r="B386">
        <v>2030</v>
      </c>
      <c r="C386" t="s">
        <v>680</v>
      </c>
      <c r="D386" t="s">
        <v>831</v>
      </c>
      <c r="E386" t="s">
        <v>1028</v>
      </c>
      <c r="F386">
        <v>5</v>
      </c>
      <c r="G386" t="s">
        <v>2121</v>
      </c>
      <c r="H386" s="460">
        <v>4066.3240957683138</v>
      </c>
      <c r="I386">
        <v>1980</v>
      </c>
      <c r="J386">
        <v>119.99999997072871</v>
      </c>
      <c r="K386" s="67">
        <v>99.920625000000001</v>
      </c>
      <c r="L386" s="159">
        <v>0</v>
      </c>
      <c r="M386" s="159">
        <v>6360</v>
      </c>
      <c r="N386" s="159">
        <v>220</v>
      </c>
      <c r="O386" s="159">
        <v>0</v>
      </c>
      <c r="P386" s="159">
        <v>2990</v>
      </c>
      <c r="Q386" s="159">
        <v>1500</v>
      </c>
      <c r="R386" s="159">
        <v>2000</v>
      </c>
      <c r="S386" s="159">
        <v>34291</v>
      </c>
      <c r="T386" s="159">
        <v>1094</v>
      </c>
      <c r="U386" s="159">
        <v>19984</v>
      </c>
      <c r="V386" s="159">
        <v>4500</v>
      </c>
      <c r="W386" s="159">
        <v>186</v>
      </c>
      <c r="X386" s="159">
        <v>0</v>
      </c>
      <c r="Y386" s="159">
        <v>1500</v>
      </c>
      <c r="Z386" s="159">
        <v>3968</v>
      </c>
      <c r="AA386" s="159">
        <v>0</v>
      </c>
      <c r="AB386" s="159">
        <v>0</v>
      </c>
      <c r="AC386" s="159">
        <v>0</v>
      </c>
      <c r="AD386" s="207">
        <v>78593</v>
      </c>
      <c r="AE386" s="200">
        <v>13.894391911523435</v>
      </c>
      <c r="AF386" s="200">
        <v>18.291550808476767</v>
      </c>
      <c r="AG386" s="200">
        <v>18.282939231410506</v>
      </c>
      <c r="AH386" s="200">
        <v>809</v>
      </c>
      <c r="AI386" s="200">
        <v>686</v>
      </c>
      <c r="AJ386" s="200">
        <v>822</v>
      </c>
      <c r="AL386" s="197">
        <f t="shared" si="49"/>
        <v>90096.320765716591</v>
      </c>
      <c r="AM386" s="197" t="str">
        <f t="shared" si="50"/>
        <v>Box Medium 6</v>
      </c>
      <c r="AN386" s="3">
        <f t="shared" si="51"/>
        <v>2.6135818494815868</v>
      </c>
      <c r="AO386" s="3">
        <f t="shared" si="52"/>
        <v>1.008827542866785</v>
      </c>
      <c r="AP386" s="3">
        <f t="shared" si="53"/>
        <v>40.220711596058017</v>
      </c>
      <c r="AQ386" s="3">
        <f t="shared" si="54"/>
        <v>1.4479456174580887</v>
      </c>
      <c r="AR386" s="3">
        <f t="shared" si="55"/>
        <v>2.4567731603248735</v>
      </c>
      <c r="AS386" s="81">
        <f t="shared" si="56"/>
        <v>0.41063113158293452</v>
      </c>
      <c r="AT386" s="81">
        <f t="shared" si="57"/>
        <v>0.58936886841706559</v>
      </c>
    </row>
    <row r="387" spans="1:46" x14ac:dyDescent="0.25">
      <c r="A387" t="s">
        <v>230</v>
      </c>
      <c r="B387">
        <v>2030</v>
      </c>
      <c r="C387" t="s">
        <v>680</v>
      </c>
      <c r="D387" t="s">
        <v>831</v>
      </c>
      <c r="E387" t="s">
        <v>1028</v>
      </c>
      <c r="F387">
        <v>5</v>
      </c>
      <c r="G387" t="s">
        <v>2122</v>
      </c>
      <c r="H387" s="460">
        <v>3918.9472337320176</v>
      </c>
      <c r="I387">
        <v>1980</v>
      </c>
      <c r="J387">
        <v>150.00000001001371</v>
      </c>
      <c r="K387" s="67">
        <v>138.52350000000001</v>
      </c>
      <c r="L387" s="159">
        <v>0</v>
      </c>
      <c r="M387" s="159">
        <v>0</v>
      </c>
      <c r="N387" s="159">
        <v>0</v>
      </c>
      <c r="O387" s="159">
        <v>0</v>
      </c>
      <c r="P387" s="159">
        <v>0</v>
      </c>
      <c r="Q387" s="159">
        <v>1500</v>
      </c>
      <c r="R387" s="159">
        <v>2000</v>
      </c>
      <c r="S387" s="159">
        <v>34291</v>
      </c>
      <c r="T387" s="159">
        <v>0</v>
      </c>
      <c r="U387" s="159">
        <v>27705</v>
      </c>
      <c r="V387" s="159">
        <v>4500</v>
      </c>
      <c r="W387" s="159">
        <v>186</v>
      </c>
      <c r="X387" s="159">
        <v>0</v>
      </c>
      <c r="Y387" s="159">
        <v>1500</v>
      </c>
      <c r="Z387" s="159">
        <v>4325</v>
      </c>
      <c r="AA387" s="159">
        <v>0</v>
      </c>
      <c r="AB387" s="159">
        <v>0</v>
      </c>
      <c r="AC387" s="159">
        <v>0</v>
      </c>
      <c r="AD387" s="207">
        <v>76007</v>
      </c>
      <c r="AE387" s="200">
        <v>0</v>
      </c>
      <c r="AF387" s="200">
        <v>0</v>
      </c>
      <c r="AG387" s="200">
        <v>0</v>
      </c>
      <c r="AH387" s="200">
        <v>765</v>
      </c>
      <c r="AI387" s="200">
        <v>753</v>
      </c>
      <c r="AJ387" s="200">
        <v>898</v>
      </c>
      <c r="AL387" s="197">
        <f t="shared" ref="AL387:AL450" si="58">AD387*USD2023_to_CAD2020</f>
        <v>87131.819022556985</v>
      </c>
      <c r="AM387" s="197" t="str">
        <f t="shared" ref="AM387:AM450" si="59">IF(AND(F387&lt;5, D387="School"), $BF$2, IF(F387&lt;5, $BA$2,
IF(AND(F387&lt;=7, D387="School"), $BE$2, IF(F387&lt;7, $AZ$2,
IF(AND(F387&lt;8, E387="DayCab"), $BC$2, IF(F387&lt;8, $AZ$2,
IF(VLOOKUP(D387, $BH$3:$BI$10, 2, FALSE)="Longhaul", $AY$2,
IF(VLOOKUP(D387, $BH$3:$BI$10, 2, FALSE)="Drayage", $BB$2,
IF(VLOOKUP(D387, $BH$3:$BI$10, 2, FALSE)="Regional", $BC$2,
IF(VLOOKUP(D387, $BH$3:$BI$10, 2, FALSE)="Transit", $BE$2,
IF(VLOOKUP(D387, $BH$3:$BI$10, 2, FALSE)="Vocational", $BD$2, NA())))))))))))</f>
        <v>Box Medium 6</v>
      </c>
      <c r="AN387" s="3">
        <f t="shared" ref="AN387:AN450" si="60">(IFERROR(L_100km_to_mpg/AE387 * HLOOKUP($AM387, $AY$2:$BF$6, 2, FALSE) +
L_100km_to_mpg/AF387 * HLOOKUP($AM387, $AY$2:$BF$6, 3, FALSE) +
L_100km_to_mpg/AG387 * HLOOKUP($AM387, $AY$2:$BF$6, 4, FALSE), 0)) *
IF(ISERROR(SEARCH("PHEV",$A387)), 1, 1-HLOOKUP($AM387, $AY$2:$BF$6, 5, FALSE))</f>
        <v>0</v>
      </c>
      <c r="AO387" s="3">
        <f t="shared" ref="AO387:AO450" si="61">AN387*DSL_PJ_ML*10</f>
        <v>0</v>
      </c>
      <c r="AP387" s="3">
        <f t="shared" ref="AP387:AP450" si="62">(AH387/km_mile/10 * HLOOKUP($AM387, $AY$2:$BF$6, 2, FALSE) +
AI387/km_mile/10 * HLOOKUP($AM387, $AY$2:$BF$6, 3, FALSE) +
AJ387/km_mile/10 * HLOOKUP($AM387, $AY$2:$BF$6, 4, FALSE)) *
IF(ISERROR(SEARCH("PHEV",$A387)), 1, HLOOKUP($AM387, $AY$2:$BF$6, 5, FALSE))</f>
        <v>54.575167459952532</v>
      </c>
      <c r="AQ387" s="3">
        <f t="shared" si="54"/>
        <v>1.9647060285582914</v>
      </c>
      <c r="AR387" s="3">
        <f t="shared" si="55"/>
        <v>1.9647060285582914</v>
      </c>
      <c r="AS387" s="81">
        <f t="shared" si="56"/>
        <v>0</v>
      </c>
      <c r="AT387" s="81">
        <f t="shared" si="57"/>
        <v>1</v>
      </c>
    </row>
    <row r="388" spans="1:46" x14ac:dyDescent="0.25">
      <c r="A388" t="s">
        <v>496</v>
      </c>
      <c r="B388">
        <v>2030</v>
      </c>
      <c r="C388" t="s">
        <v>680</v>
      </c>
      <c r="D388" t="s">
        <v>831</v>
      </c>
      <c r="E388" t="s">
        <v>1028</v>
      </c>
      <c r="F388">
        <v>5</v>
      </c>
      <c r="G388" t="s">
        <v>2123</v>
      </c>
      <c r="H388" s="460">
        <v>3508.6099091775795</v>
      </c>
      <c r="I388">
        <v>1980</v>
      </c>
      <c r="J388">
        <v>150.00000001001371</v>
      </c>
      <c r="K388" s="67">
        <v>4.7520000000000007</v>
      </c>
      <c r="L388" s="159">
        <v>0</v>
      </c>
      <c r="M388" s="159">
        <v>0</v>
      </c>
      <c r="N388" s="159">
        <v>0</v>
      </c>
      <c r="O388" s="159">
        <v>0</v>
      </c>
      <c r="P388" s="159">
        <v>0</v>
      </c>
      <c r="Q388" s="159">
        <v>1500</v>
      </c>
      <c r="R388" s="159">
        <v>2000</v>
      </c>
      <c r="S388" s="159">
        <v>34291</v>
      </c>
      <c r="T388" s="159">
        <v>0</v>
      </c>
      <c r="U388" s="159">
        <v>1706</v>
      </c>
      <c r="V388" s="159">
        <v>4500</v>
      </c>
      <c r="W388" s="159">
        <v>186</v>
      </c>
      <c r="X388" s="159">
        <v>0</v>
      </c>
      <c r="Y388" s="159">
        <v>1500</v>
      </c>
      <c r="Z388" s="159">
        <v>4542</v>
      </c>
      <c r="AA388" s="159">
        <v>18734</v>
      </c>
      <c r="AB388" s="159">
        <v>5169</v>
      </c>
      <c r="AC388" s="159">
        <v>0</v>
      </c>
      <c r="AD388" s="207">
        <v>74128</v>
      </c>
      <c r="AE388" s="200">
        <v>29.566705303369115</v>
      </c>
      <c r="AF388" s="200">
        <v>30.580836036605181</v>
      </c>
      <c r="AG388" s="200">
        <v>25.034966600380873</v>
      </c>
      <c r="AH388" s="200">
        <v>0</v>
      </c>
      <c r="AI388" s="200">
        <v>0</v>
      </c>
      <c r="AJ388" s="200">
        <v>0</v>
      </c>
      <c r="AL388" s="197">
        <f t="shared" si="58"/>
        <v>84977.797841042324</v>
      </c>
      <c r="AM388" s="197" t="str">
        <f t="shared" si="59"/>
        <v>Box Medium 6</v>
      </c>
      <c r="AN388" s="3">
        <f t="shared" si="60"/>
        <v>9.170111722733397</v>
      </c>
      <c r="AO388" s="3">
        <f t="shared" si="61"/>
        <v>3.5396103163534045</v>
      </c>
      <c r="AP388" s="3">
        <f t="shared" si="62"/>
        <v>0</v>
      </c>
      <c r="AQ388" s="3">
        <f t="shared" si="54"/>
        <v>0</v>
      </c>
      <c r="AR388" s="3">
        <f t="shared" si="55"/>
        <v>3.5396103163534045</v>
      </c>
      <c r="AS388" s="81">
        <f t="shared" si="56"/>
        <v>1</v>
      </c>
      <c r="AT388" s="81">
        <f t="shared" si="57"/>
        <v>0</v>
      </c>
    </row>
    <row r="389" spans="1:46" x14ac:dyDescent="0.25">
      <c r="A389" t="s">
        <v>828</v>
      </c>
      <c r="B389">
        <v>2030</v>
      </c>
      <c r="C389" t="s">
        <v>680</v>
      </c>
      <c r="D389" t="s">
        <v>831</v>
      </c>
      <c r="E389" t="s">
        <v>1028</v>
      </c>
      <c r="F389">
        <v>5</v>
      </c>
      <c r="G389" t="s">
        <v>2124</v>
      </c>
      <c r="H389" s="460">
        <v>3530.1774846573271</v>
      </c>
      <c r="I389">
        <v>1980</v>
      </c>
      <c r="J389">
        <v>150.00000001001371</v>
      </c>
      <c r="K389" s="67">
        <v>38.975250000000003</v>
      </c>
      <c r="L389" s="159">
        <v>0</v>
      </c>
      <c r="M389" s="159">
        <v>0</v>
      </c>
      <c r="N389" s="159">
        <v>0</v>
      </c>
      <c r="O389" s="159">
        <v>0</v>
      </c>
      <c r="P389" s="159">
        <v>0</v>
      </c>
      <c r="Q389" s="159">
        <v>1500</v>
      </c>
      <c r="R389" s="159">
        <v>2000</v>
      </c>
      <c r="S389" s="159">
        <v>34291</v>
      </c>
      <c r="T389" s="159">
        <v>0</v>
      </c>
      <c r="U389" s="159">
        <v>7795</v>
      </c>
      <c r="V389" s="159">
        <v>4500</v>
      </c>
      <c r="W389" s="159">
        <v>186</v>
      </c>
      <c r="X389" s="159">
        <v>0</v>
      </c>
      <c r="Y389" s="159">
        <v>1500</v>
      </c>
      <c r="Z389" s="159">
        <v>5663</v>
      </c>
      <c r="AA389" s="159">
        <v>5498</v>
      </c>
      <c r="AB389" s="159">
        <v>3761</v>
      </c>
      <c r="AC389" s="159">
        <v>0</v>
      </c>
      <c r="AD389" s="207">
        <v>66694</v>
      </c>
      <c r="AE389" s="200">
        <v>28.888073927353418</v>
      </c>
      <c r="AF389" s="200">
        <v>27.476576119691714</v>
      </c>
      <c r="AG389" s="200">
        <v>23.881687192385769</v>
      </c>
      <c r="AH389" s="200">
        <v>0</v>
      </c>
      <c r="AI389" s="200">
        <v>0</v>
      </c>
      <c r="AJ389" s="200">
        <v>204.50367205784337</v>
      </c>
      <c r="AL389" s="197">
        <f t="shared" si="58"/>
        <v>76455.715103745912</v>
      </c>
      <c r="AM389" s="197" t="str">
        <f t="shared" si="59"/>
        <v>Box Medium 6</v>
      </c>
      <c r="AN389" s="3">
        <f t="shared" si="60"/>
        <v>9.6478635670239346</v>
      </c>
      <c r="AO389" s="3">
        <f t="shared" si="61"/>
        <v>3.7240197769835728</v>
      </c>
      <c r="AP389" s="3">
        <f t="shared" si="62"/>
        <v>10.928278547090441</v>
      </c>
      <c r="AQ389" s="3">
        <f t="shared" si="54"/>
        <v>0.39341802769525586</v>
      </c>
      <c r="AR389" s="3">
        <f t="shared" si="55"/>
        <v>4.1174378046788283</v>
      </c>
      <c r="AS389" s="81">
        <f t="shared" si="56"/>
        <v>0.90445076614194464</v>
      </c>
      <c r="AT389" s="81">
        <f t="shared" si="57"/>
        <v>9.5549233858055457E-2</v>
      </c>
    </row>
    <row r="390" spans="1:46" x14ac:dyDescent="0.25">
      <c r="A390" t="s">
        <v>805</v>
      </c>
      <c r="B390">
        <v>2035</v>
      </c>
      <c r="C390" t="s">
        <v>680</v>
      </c>
      <c r="D390" t="s">
        <v>831</v>
      </c>
      <c r="E390" t="s">
        <v>1028</v>
      </c>
      <c r="F390">
        <v>5</v>
      </c>
      <c r="G390" t="s">
        <v>2125</v>
      </c>
      <c r="H390" s="460">
        <v>3752.9592605867965</v>
      </c>
      <c r="I390">
        <v>1980</v>
      </c>
      <c r="J390">
        <v>0</v>
      </c>
      <c r="K390" s="67">
        <v>0</v>
      </c>
      <c r="L390" s="159">
        <v>150</v>
      </c>
      <c r="M390" s="159">
        <v>17519</v>
      </c>
      <c r="N390" s="159">
        <v>1920</v>
      </c>
      <c r="O390" s="159">
        <v>506</v>
      </c>
      <c r="P390" s="159">
        <v>4966</v>
      </c>
      <c r="Q390" s="159">
        <v>1500</v>
      </c>
      <c r="R390" s="159">
        <v>2000</v>
      </c>
      <c r="S390" s="159">
        <v>34291</v>
      </c>
      <c r="T390" s="159">
        <v>63</v>
      </c>
      <c r="U390" s="159">
        <v>120</v>
      </c>
      <c r="V390" s="159">
        <v>0</v>
      </c>
      <c r="W390" s="159">
        <v>186</v>
      </c>
      <c r="X390" s="159">
        <v>0</v>
      </c>
      <c r="Y390" s="159">
        <v>0</v>
      </c>
      <c r="Z390" s="159">
        <v>0</v>
      </c>
      <c r="AA390" s="159">
        <v>0</v>
      </c>
      <c r="AB390" s="159">
        <v>0</v>
      </c>
      <c r="AC390" s="159">
        <v>0</v>
      </c>
      <c r="AD390" s="207">
        <v>63221</v>
      </c>
      <c r="AE390" s="200">
        <v>13.815859082306396</v>
      </c>
      <c r="AF390" s="200">
        <v>20.477010582950282</v>
      </c>
      <c r="AG390" s="200">
        <v>20.817965375315161</v>
      </c>
      <c r="AH390" s="200">
        <v>0</v>
      </c>
      <c r="AI390" s="200">
        <v>0</v>
      </c>
      <c r="AJ390" s="200">
        <v>0</v>
      </c>
      <c r="AL390" s="197">
        <f t="shared" si="58"/>
        <v>72474.386969951112</v>
      </c>
      <c r="AM390" s="197" t="str">
        <f t="shared" si="59"/>
        <v>Box Medium 6</v>
      </c>
      <c r="AN390" s="3">
        <f t="shared" si="60"/>
        <v>11.601909394874486</v>
      </c>
      <c r="AO390" s="3">
        <f t="shared" si="61"/>
        <v>4.4782702136211618</v>
      </c>
      <c r="AP390" s="3">
        <f t="shared" si="62"/>
        <v>0</v>
      </c>
      <c r="AQ390" s="3">
        <f t="shared" si="54"/>
        <v>0</v>
      </c>
      <c r="AR390" s="3">
        <f t="shared" si="55"/>
        <v>4.4782702136211618</v>
      </c>
      <c r="AS390" s="81">
        <f t="shared" si="56"/>
        <v>1</v>
      </c>
      <c r="AT390" s="81">
        <f t="shared" si="57"/>
        <v>0</v>
      </c>
    </row>
    <row r="391" spans="1:46" x14ac:dyDescent="0.25">
      <c r="A391" t="s">
        <v>805</v>
      </c>
      <c r="B391">
        <v>2035</v>
      </c>
      <c r="C391" t="s">
        <v>680</v>
      </c>
      <c r="D391" t="s">
        <v>831</v>
      </c>
      <c r="E391" t="s">
        <v>1028</v>
      </c>
      <c r="F391">
        <v>5</v>
      </c>
      <c r="G391" t="s">
        <v>2126</v>
      </c>
      <c r="H391" s="460">
        <v>3529.0760909499159</v>
      </c>
      <c r="I391">
        <v>1980</v>
      </c>
      <c r="J391">
        <v>0</v>
      </c>
      <c r="K391" s="67">
        <v>0</v>
      </c>
      <c r="L391" s="159">
        <v>150</v>
      </c>
      <c r="M391" s="159">
        <v>24088</v>
      </c>
      <c r="N391" s="159">
        <v>1920</v>
      </c>
      <c r="O391" s="159">
        <v>506</v>
      </c>
      <c r="P391" s="159">
        <v>3459</v>
      </c>
      <c r="Q391" s="159">
        <v>1500</v>
      </c>
      <c r="R391" s="159">
        <v>2000</v>
      </c>
      <c r="S391" s="159">
        <v>34291</v>
      </c>
      <c r="T391" s="159">
        <v>63</v>
      </c>
      <c r="U391" s="159">
        <v>120</v>
      </c>
      <c r="V391" s="159">
        <v>0</v>
      </c>
      <c r="W391" s="159">
        <v>186</v>
      </c>
      <c r="X391" s="159">
        <v>0</v>
      </c>
      <c r="Y391" s="159">
        <v>0</v>
      </c>
      <c r="Z391" s="159">
        <v>0</v>
      </c>
      <c r="AA391" s="159">
        <v>0</v>
      </c>
      <c r="AB391" s="159">
        <v>0</v>
      </c>
      <c r="AC391" s="159">
        <v>0</v>
      </c>
      <c r="AD391" s="207">
        <v>68283</v>
      </c>
      <c r="AE391" s="200">
        <v>10.453277223188106</v>
      </c>
      <c r="AF391" s="200">
        <v>15.006752675255163</v>
      </c>
      <c r="AG391" s="200">
        <v>16.828775639923421</v>
      </c>
      <c r="AH391" s="200">
        <v>0</v>
      </c>
      <c r="AI391" s="200">
        <v>0</v>
      </c>
      <c r="AJ391" s="200">
        <v>0</v>
      </c>
      <c r="AL391" s="197">
        <f t="shared" si="58"/>
        <v>78277.29022744298</v>
      </c>
      <c r="AM391" s="197" t="str">
        <f t="shared" si="59"/>
        <v>Box Medium 6</v>
      </c>
      <c r="AN391" s="3">
        <f t="shared" si="60"/>
        <v>14.555919384115999</v>
      </c>
      <c r="AO391" s="3">
        <f t="shared" si="61"/>
        <v>5.6185010579857888</v>
      </c>
      <c r="AP391" s="3">
        <f t="shared" si="62"/>
        <v>0</v>
      </c>
      <c r="AQ391" s="3">
        <f t="shared" si="54"/>
        <v>0</v>
      </c>
      <c r="AR391" s="3">
        <f t="shared" si="55"/>
        <v>5.6185010579857888</v>
      </c>
      <c r="AS391" s="81">
        <f t="shared" si="56"/>
        <v>1</v>
      </c>
      <c r="AT391" s="81">
        <f t="shared" si="57"/>
        <v>0</v>
      </c>
    </row>
    <row r="392" spans="1:46" x14ac:dyDescent="0.25">
      <c r="A392" t="s">
        <v>807</v>
      </c>
      <c r="B392">
        <v>2035</v>
      </c>
      <c r="C392" t="s">
        <v>680</v>
      </c>
      <c r="D392" t="s">
        <v>831</v>
      </c>
      <c r="E392" t="s">
        <v>1028</v>
      </c>
      <c r="F392">
        <v>5</v>
      </c>
      <c r="G392" t="s">
        <v>2127</v>
      </c>
      <c r="H392" s="460">
        <v>3746.1863375709199</v>
      </c>
      <c r="I392">
        <v>1980</v>
      </c>
      <c r="J392">
        <v>0</v>
      </c>
      <c r="K392" s="67">
        <v>3.1680000000000006</v>
      </c>
      <c r="L392" s="159">
        <v>150</v>
      </c>
      <c r="M392" s="159">
        <v>15139</v>
      </c>
      <c r="N392" s="159">
        <v>220</v>
      </c>
      <c r="O392" s="159">
        <v>392</v>
      </c>
      <c r="P392" s="159">
        <v>4271</v>
      </c>
      <c r="Q392" s="159">
        <v>1500</v>
      </c>
      <c r="R392" s="159">
        <v>2000</v>
      </c>
      <c r="S392" s="159">
        <v>34291</v>
      </c>
      <c r="T392" s="159">
        <v>0</v>
      </c>
      <c r="U392" s="159">
        <v>1078</v>
      </c>
      <c r="V392" s="159">
        <v>4500</v>
      </c>
      <c r="W392" s="159">
        <v>186</v>
      </c>
      <c r="X392" s="159">
        <v>120</v>
      </c>
      <c r="Y392" s="159">
        <v>1500</v>
      </c>
      <c r="Z392" s="159">
        <v>2173</v>
      </c>
      <c r="AA392" s="159">
        <v>0</v>
      </c>
      <c r="AB392" s="159">
        <v>0</v>
      </c>
      <c r="AC392" s="159">
        <v>0</v>
      </c>
      <c r="AD392" s="207">
        <v>67520</v>
      </c>
      <c r="AE392" s="200">
        <v>17.486531856227561</v>
      </c>
      <c r="AF392" s="200">
        <v>24.660301531856827</v>
      </c>
      <c r="AG392" s="200">
        <v>20.771768892216123</v>
      </c>
      <c r="AH392" s="200">
        <v>0</v>
      </c>
      <c r="AI392" s="200">
        <v>0</v>
      </c>
      <c r="AJ392" s="200">
        <v>0</v>
      </c>
      <c r="AL392" s="197">
        <f t="shared" si="58"/>
        <v>77402.613185667724</v>
      </c>
      <c r="AM392" s="197" t="str">
        <f t="shared" si="59"/>
        <v>Box Medium 6</v>
      </c>
      <c r="AN392" s="3">
        <f t="shared" si="60"/>
        <v>11.269457823387818</v>
      </c>
      <c r="AO392" s="3">
        <f t="shared" si="61"/>
        <v>4.3499458215415245</v>
      </c>
      <c r="AP392" s="3">
        <f t="shared" si="62"/>
        <v>0</v>
      </c>
      <c r="AQ392" s="3">
        <f t="shared" si="54"/>
        <v>0</v>
      </c>
      <c r="AR392" s="3">
        <f t="shared" si="55"/>
        <v>4.3499458215415245</v>
      </c>
      <c r="AS392" s="81">
        <f t="shared" si="56"/>
        <v>1</v>
      </c>
      <c r="AT392" s="81">
        <f t="shared" si="57"/>
        <v>0</v>
      </c>
    </row>
    <row r="393" spans="1:46" x14ac:dyDescent="0.25">
      <c r="A393" t="s">
        <v>807</v>
      </c>
      <c r="B393">
        <v>2035</v>
      </c>
      <c r="C393" t="s">
        <v>680</v>
      </c>
      <c r="D393" t="s">
        <v>831</v>
      </c>
      <c r="E393" t="s">
        <v>1028</v>
      </c>
      <c r="F393">
        <v>5</v>
      </c>
      <c r="G393" t="s">
        <v>2128</v>
      </c>
      <c r="H393" s="460">
        <v>3531.2490851940884</v>
      </c>
      <c r="I393">
        <v>1980</v>
      </c>
      <c r="J393">
        <v>0</v>
      </c>
      <c r="K393" s="67">
        <v>3.4214400000000005</v>
      </c>
      <c r="L393" s="159">
        <v>150</v>
      </c>
      <c r="M393" s="159">
        <v>12726</v>
      </c>
      <c r="N393" s="159">
        <v>220</v>
      </c>
      <c r="O393" s="159">
        <v>392</v>
      </c>
      <c r="P393" s="159">
        <v>2556</v>
      </c>
      <c r="Q393" s="159">
        <v>1500</v>
      </c>
      <c r="R393" s="159">
        <v>2000</v>
      </c>
      <c r="S393" s="159">
        <v>34291</v>
      </c>
      <c r="T393" s="159">
        <v>0</v>
      </c>
      <c r="U393" s="159">
        <v>1164</v>
      </c>
      <c r="V393" s="159">
        <v>4500</v>
      </c>
      <c r="W393" s="159">
        <v>186</v>
      </c>
      <c r="X393" s="159">
        <v>120</v>
      </c>
      <c r="Y393" s="159">
        <v>1500</v>
      </c>
      <c r="Z393" s="159">
        <v>2008</v>
      </c>
      <c r="AA393" s="159">
        <v>0</v>
      </c>
      <c r="AB393" s="159">
        <v>0</v>
      </c>
      <c r="AC393" s="159">
        <v>0</v>
      </c>
      <c r="AD393" s="207">
        <v>63313</v>
      </c>
      <c r="AE393" s="200">
        <v>25.158371498755692</v>
      </c>
      <c r="AF393" s="200">
        <v>20.173875348916795</v>
      </c>
      <c r="AG393" s="200">
        <v>18.832150481047471</v>
      </c>
      <c r="AH393" s="200">
        <v>0</v>
      </c>
      <c r="AI393" s="200">
        <v>0</v>
      </c>
      <c r="AJ393" s="200">
        <v>0</v>
      </c>
      <c r="AL393" s="197">
        <f t="shared" si="58"/>
        <v>72579.852615879456</v>
      </c>
      <c r="AM393" s="197" t="str">
        <f t="shared" si="59"/>
        <v>Box Medium 6</v>
      </c>
      <c r="AN393" s="3">
        <f t="shared" si="60"/>
        <v>12.258285389043236</v>
      </c>
      <c r="AO393" s="3">
        <f t="shared" si="61"/>
        <v>4.7316275674478065</v>
      </c>
      <c r="AP393" s="3">
        <f t="shared" si="62"/>
        <v>0</v>
      </c>
      <c r="AQ393" s="3">
        <f t="shared" si="54"/>
        <v>0</v>
      </c>
      <c r="AR393" s="3">
        <f t="shared" si="55"/>
        <v>4.7316275674478065</v>
      </c>
      <c r="AS393" s="81">
        <f t="shared" si="56"/>
        <v>1</v>
      </c>
      <c r="AT393" s="81">
        <f t="shared" si="57"/>
        <v>0</v>
      </c>
    </row>
    <row r="394" spans="1:46" x14ac:dyDescent="0.25">
      <c r="A394" t="s">
        <v>808</v>
      </c>
      <c r="B394">
        <v>2035</v>
      </c>
      <c r="C394" t="s">
        <v>680</v>
      </c>
      <c r="D394" t="s">
        <v>831</v>
      </c>
      <c r="E394" t="s">
        <v>1028</v>
      </c>
      <c r="F394">
        <v>5</v>
      </c>
      <c r="G394" t="s">
        <v>2129</v>
      </c>
      <c r="H394" s="460">
        <v>3995.3828183473452</v>
      </c>
      <c r="I394">
        <v>1980</v>
      </c>
      <c r="J394">
        <v>119.99999997072871</v>
      </c>
      <c r="K394" s="67">
        <v>97.810500000000005</v>
      </c>
      <c r="L394" s="159">
        <v>0</v>
      </c>
      <c r="M394" s="159">
        <v>9359</v>
      </c>
      <c r="N394" s="159">
        <v>220</v>
      </c>
      <c r="O394" s="159">
        <v>0</v>
      </c>
      <c r="P394" s="159">
        <v>0</v>
      </c>
      <c r="Q394" s="159">
        <v>1500</v>
      </c>
      <c r="R394" s="159">
        <v>2000</v>
      </c>
      <c r="S394" s="159">
        <v>34291</v>
      </c>
      <c r="T394" s="159">
        <v>1187</v>
      </c>
      <c r="U394" s="159">
        <v>15650</v>
      </c>
      <c r="V394" s="159">
        <v>4500</v>
      </c>
      <c r="W394" s="159">
        <v>186</v>
      </c>
      <c r="X394" s="159">
        <v>0</v>
      </c>
      <c r="Y394" s="159">
        <v>1500</v>
      </c>
      <c r="Z394" s="159">
        <v>4209</v>
      </c>
      <c r="AA394" s="159">
        <v>0</v>
      </c>
      <c r="AB394" s="159">
        <v>0</v>
      </c>
      <c r="AC394" s="159">
        <v>0</v>
      </c>
      <c r="AD394" s="207">
        <v>74602</v>
      </c>
      <c r="AE394" s="200">
        <v>46.917566343079727</v>
      </c>
      <c r="AF394" s="200">
        <v>40.427841178466288</v>
      </c>
      <c r="AG394" s="200">
        <v>30.582924730365452</v>
      </c>
      <c r="AH394" s="200">
        <v>729</v>
      </c>
      <c r="AI394" s="200">
        <v>726</v>
      </c>
      <c r="AJ394" s="200">
        <v>879</v>
      </c>
      <c r="AL394" s="197">
        <f t="shared" si="58"/>
        <v>85521.175190716589</v>
      </c>
      <c r="AM394" s="197" t="str">
        <f t="shared" si="59"/>
        <v>Box Medium 6</v>
      </c>
      <c r="AN394" s="3">
        <f t="shared" si="60"/>
        <v>1.4777227214801065</v>
      </c>
      <c r="AO394" s="3">
        <f t="shared" si="61"/>
        <v>0.57039246061679438</v>
      </c>
      <c r="AP394" s="3">
        <f t="shared" si="62"/>
        <v>42.6376029925311</v>
      </c>
      <c r="AQ394" s="3">
        <f t="shared" si="54"/>
        <v>1.5349537077311197</v>
      </c>
      <c r="AR394" s="3">
        <f t="shared" si="55"/>
        <v>2.1053461683479142</v>
      </c>
      <c r="AS394" s="81">
        <f t="shared" si="56"/>
        <v>0.27092573620061111</v>
      </c>
      <c r="AT394" s="81">
        <f t="shared" si="57"/>
        <v>0.72907426379938889</v>
      </c>
    </row>
    <row r="395" spans="1:46" x14ac:dyDescent="0.25">
      <c r="A395" t="s">
        <v>808</v>
      </c>
      <c r="B395">
        <v>2035</v>
      </c>
      <c r="C395" t="s">
        <v>680</v>
      </c>
      <c r="D395" t="s">
        <v>831</v>
      </c>
      <c r="E395" t="s">
        <v>1028</v>
      </c>
      <c r="F395">
        <v>5</v>
      </c>
      <c r="G395" t="s">
        <v>2130</v>
      </c>
      <c r="H395" s="460">
        <v>3917.003913286655</v>
      </c>
      <c r="I395">
        <v>1980</v>
      </c>
      <c r="J395">
        <v>119.99999997072871</v>
      </c>
      <c r="K395" s="67">
        <v>90.859499999999997</v>
      </c>
      <c r="L395" s="159">
        <v>0</v>
      </c>
      <c r="M395" s="159">
        <v>6646</v>
      </c>
      <c r="N395" s="159">
        <v>220</v>
      </c>
      <c r="O395" s="159">
        <v>0</v>
      </c>
      <c r="P395" s="159">
        <v>2932</v>
      </c>
      <c r="Q395" s="159">
        <v>1500</v>
      </c>
      <c r="R395" s="159">
        <v>2000</v>
      </c>
      <c r="S395" s="159">
        <v>34291</v>
      </c>
      <c r="T395" s="159">
        <v>879</v>
      </c>
      <c r="U395" s="159">
        <v>14538</v>
      </c>
      <c r="V395" s="159">
        <v>4500</v>
      </c>
      <c r="W395" s="159">
        <v>186</v>
      </c>
      <c r="X395" s="159">
        <v>0</v>
      </c>
      <c r="Y395" s="159">
        <v>1500</v>
      </c>
      <c r="Z395" s="159">
        <v>3189</v>
      </c>
      <c r="AA395" s="159">
        <v>0</v>
      </c>
      <c r="AB395" s="159">
        <v>0</v>
      </c>
      <c r="AC395" s="159">
        <v>0</v>
      </c>
      <c r="AD395" s="207">
        <v>72381</v>
      </c>
      <c r="AE395" s="200">
        <v>15.693034981610827</v>
      </c>
      <c r="AF395" s="200">
        <v>20.782335329869159</v>
      </c>
      <c r="AG395" s="200">
        <v>20.510613204218068</v>
      </c>
      <c r="AH395" s="200">
        <v>754</v>
      </c>
      <c r="AI395" s="200">
        <v>631</v>
      </c>
      <c r="AJ395" s="200">
        <v>754</v>
      </c>
      <c r="AL395" s="197">
        <f t="shared" si="58"/>
        <v>82975.096934120491</v>
      </c>
      <c r="AM395" s="197" t="str">
        <f t="shared" si="59"/>
        <v>Box Medium 6</v>
      </c>
      <c r="AN395" s="3">
        <f t="shared" si="60"/>
        <v>2.3261006295660667</v>
      </c>
      <c r="AO395" s="3">
        <f t="shared" si="61"/>
        <v>0.89786144751941865</v>
      </c>
      <c r="AP395" s="3">
        <f t="shared" si="62"/>
        <v>36.930915779139276</v>
      </c>
      <c r="AQ395" s="3">
        <f t="shared" si="54"/>
        <v>1.3295129680490141</v>
      </c>
      <c r="AR395" s="3">
        <f t="shared" si="55"/>
        <v>2.2273744155684327</v>
      </c>
      <c r="AS395" s="81">
        <f t="shared" si="56"/>
        <v>0.40310306217209635</v>
      </c>
      <c r="AT395" s="81">
        <f t="shared" si="57"/>
        <v>0.59689693782790365</v>
      </c>
    </row>
    <row r="396" spans="1:46" x14ac:dyDescent="0.25">
      <c r="A396" t="s">
        <v>230</v>
      </c>
      <c r="B396">
        <v>2035</v>
      </c>
      <c r="C396" t="s">
        <v>680</v>
      </c>
      <c r="D396" t="s">
        <v>831</v>
      </c>
      <c r="E396" t="s">
        <v>1028</v>
      </c>
      <c r="F396">
        <v>5</v>
      </c>
      <c r="G396" t="s">
        <v>2131</v>
      </c>
      <c r="H396" s="460">
        <v>3733.5268847130465</v>
      </c>
      <c r="I396">
        <v>1980</v>
      </c>
      <c r="J396">
        <v>150.00000001001371</v>
      </c>
      <c r="K396" s="67">
        <v>127.35225</v>
      </c>
      <c r="L396" s="159">
        <v>0</v>
      </c>
      <c r="M396" s="159">
        <v>0</v>
      </c>
      <c r="N396" s="159">
        <v>0</v>
      </c>
      <c r="O396" s="159">
        <v>0</v>
      </c>
      <c r="P396" s="159">
        <v>0</v>
      </c>
      <c r="Q396" s="159">
        <v>1500</v>
      </c>
      <c r="R396" s="159">
        <v>2000</v>
      </c>
      <c r="S396" s="159">
        <v>34291</v>
      </c>
      <c r="T396" s="159">
        <v>0</v>
      </c>
      <c r="U396" s="159">
        <v>20376</v>
      </c>
      <c r="V396" s="159">
        <v>4500</v>
      </c>
      <c r="W396" s="159">
        <v>186</v>
      </c>
      <c r="X396" s="159">
        <v>0</v>
      </c>
      <c r="Y396" s="159">
        <v>1500</v>
      </c>
      <c r="Z396" s="159">
        <v>3532</v>
      </c>
      <c r="AA396" s="159">
        <v>0</v>
      </c>
      <c r="AB396" s="159">
        <v>0</v>
      </c>
      <c r="AC396" s="159">
        <v>0</v>
      </c>
      <c r="AD396" s="207">
        <v>67885</v>
      </c>
      <c r="AE396" s="200">
        <v>0</v>
      </c>
      <c r="AF396" s="200">
        <v>0</v>
      </c>
      <c r="AG396" s="200">
        <v>0</v>
      </c>
      <c r="AH396" s="200">
        <v>709</v>
      </c>
      <c r="AI396" s="200">
        <v>694</v>
      </c>
      <c r="AJ396" s="200">
        <v>828</v>
      </c>
      <c r="AL396" s="197">
        <f t="shared" si="58"/>
        <v>77821.036672231246</v>
      </c>
      <c r="AM396" s="197" t="str">
        <f t="shared" si="59"/>
        <v>Box Medium 6</v>
      </c>
      <c r="AN396" s="3">
        <f t="shared" si="60"/>
        <v>0</v>
      </c>
      <c r="AO396" s="3">
        <f t="shared" si="61"/>
        <v>0</v>
      </c>
      <c r="AP396" s="3">
        <f t="shared" si="62"/>
        <v>50.330570295897694</v>
      </c>
      <c r="AQ396" s="3">
        <f t="shared" si="54"/>
        <v>1.811900530652317</v>
      </c>
      <c r="AR396" s="3">
        <f t="shared" si="55"/>
        <v>1.811900530652317</v>
      </c>
      <c r="AS396" s="81">
        <f t="shared" si="56"/>
        <v>0</v>
      </c>
      <c r="AT396" s="81">
        <f t="shared" si="57"/>
        <v>1</v>
      </c>
    </row>
    <row r="397" spans="1:46" x14ac:dyDescent="0.25">
      <c r="A397" t="s">
        <v>496</v>
      </c>
      <c r="B397">
        <v>2035</v>
      </c>
      <c r="C397" t="s">
        <v>680</v>
      </c>
      <c r="D397" t="s">
        <v>831</v>
      </c>
      <c r="E397" t="s">
        <v>1028</v>
      </c>
      <c r="F397">
        <v>5</v>
      </c>
      <c r="G397" t="s">
        <v>2132</v>
      </c>
      <c r="H397" s="460">
        <v>3455.3700721706173</v>
      </c>
      <c r="I397">
        <v>1980</v>
      </c>
      <c r="J397">
        <v>150.00000001001371</v>
      </c>
      <c r="K397" s="67">
        <v>4.7520000000000007</v>
      </c>
      <c r="L397" s="159">
        <v>0</v>
      </c>
      <c r="M397" s="159">
        <v>0</v>
      </c>
      <c r="N397" s="159">
        <v>0</v>
      </c>
      <c r="O397" s="159">
        <v>0</v>
      </c>
      <c r="P397" s="159">
        <v>0</v>
      </c>
      <c r="Q397" s="159">
        <v>1500</v>
      </c>
      <c r="R397" s="159">
        <v>2000</v>
      </c>
      <c r="S397" s="159">
        <v>34291</v>
      </c>
      <c r="T397" s="159">
        <v>0</v>
      </c>
      <c r="U397" s="159">
        <v>1616</v>
      </c>
      <c r="V397" s="159">
        <v>4500</v>
      </c>
      <c r="W397" s="159">
        <v>186</v>
      </c>
      <c r="X397" s="159">
        <v>0</v>
      </c>
      <c r="Y397" s="159">
        <v>1500</v>
      </c>
      <c r="Z397" s="159">
        <v>3705</v>
      </c>
      <c r="AA397" s="159">
        <v>16025</v>
      </c>
      <c r="AB397" s="159">
        <v>4173</v>
      </c>
      <c r="AC397" s="159">
        <v>0</v>
      </c>
      <c r="AD397" s="207">
        <v>69496</v>
      </c>
      <c r="AE397" s="200">
        <v>31.34070294785807</v>
      </c>
      <c r="AF397" s="200">
        <v>33.043825511379133</v>
      </c>
      <c r="AG397" s="200">
        <v>27.13580738345533</v>
      </c>
      <c r="AH397" s="200">
        <v>0</v>
      </c>
      <c r="AI397" s="200">
        <v>0</v>
      </c>
      <c r="AJ397" s="200">
        <v>0</v>
      </c>
      <c r="AL397" s="197">
        <f t="shared" si="58"/>
        <v>79667.831841693784</v>
      </c>
      <c r="AM397" s="197" t="str">
        <f t="shared" si="59"/>
        <v>Box Medium 6</v>
      </c>
      <c r="AN397" s="3">
        <f t="shared" si="60"/>
        <v>8.4704414991255295</v>
      </c>
      <c r="AO397" s="3">
        <f t="shared" si="61"/>
        <v>3.2695416392850403</v>
      </c>
      <c r="AP397" s="3">
        <f t="shared" si="62"/>
        <v>0</v>
      </c>
      <c r="AQ397" s="3">
        <f t="shared" si="54"/>
        <v>0</v>
      </c>
      <c r="AR397" s="3">
        <f t="shared" si="55"/>
        <v>3.2695416392850403</v>
      </c>
      <c r="AS397" s="81">
        <f t="shared" si="56"/>
        <v>1</v>
      </c>
      <c r="AT397" s="81">
        <f t="shared" si="57"/>
        <v>0</v>
      </c>
    </row>
    <row r="398" spans="1:46" x14ac:dyDescent="0.25">
      <c r="A398" t="s">
        <v>828</v>
      </c>
      <c r="B398">
        <v>2035</v>
      </c>
      <c r="C398" t="s">
        <v>680</v>
      </c>
      <c r="D398" t="s">
        <v>831</v>
      </c>
      <c r="E398" t="s">
        <v>1028</v>
      </c>
      <c r="F398">
        <v>5</v>
      </c>
      <c r="G398" t="s">
        <v>2133</v>
      </c>
      <c r="H398" s="460">
        <v>3446.6662330550025</v>
      </c>
      <c r="I398">
        <v>1980</v>
      </c>
      <c r="J398">
        <v>150.00000001001371</v>
      </c>
      <c r="K398" s="67">
        <v>38.478749999999998</v>
      </c>
      <c r="L398" s="159">
        <v>0</v>
      </c>
      <c r="M398" s="159">
        <v>0</v>
      </c>
      <c r="N398" s="159">
        <v>0</v>
      </c>
      <c r="O398" s="159">
        <v>0</v>
      </c>
      <c r="P398" s="159">
        <v>0</v>
      </c>
      <c r="Q398" s="159">
        <v>1500</v>
      </c>
      <c r="R398" s="159">
        <v>2000</v>
      </c>
      <c r="S398" s="159">
        <v>34291</v>
      </c>
      <c r="T398" s="159">
        <v>0</v>
      </c>
      <c r="U398" s="159">
        <v>6157</v>
      </c>
      <c r="V398" s="159">
        <v>4500</v>
      </c>
      <c r="W398" s="159">
        <v>186</v>
      </c>
      <c r="X398" s="159">
        <v>0</v>
      </c>
      <c r="Y398" s="159">
        <v>1500</v>
      </c>
      <c r="Z398" s="159">
        <v>4614</v>
      </c>
      <c r="AA398" s="159">
        <v>4411</v>
      </c>
      <c r="AB398" s="159">
        <v>2902</v>
      </c>
      <c r="AC398" s="159">
        <v>0</v>
      </c>
      <c r="AD398" s="207">
        <v>62061</v>
      </c>
      <c r="AE398" s="200">
        <v>30.884094568661293</v>
      </c>
      <c r="AF398" s="200">
        <v>29.782271085454028</v>
      </c>
      <c r="AG398" s="200">
        <v>25.796608852434755</v>
      </c>
      <c r="AH398" s="200">
        <v>0</v>
      </c>
      <c r="AI398" s="200">
        <v>0</v>
      </c>
      <c r="AJ398" s="200">
        <v>186.20097947155671</v>
      </c>
      <c r="AL398" s="197">
        <f t="shared" si="58"/>
        <v>71144.602738680755</v>
      </c>
      <c r="AM398" s="197" t="str">
        <f t="shared" si="59"/>
        <v>Box Medium 6</v>
      </c>
      <c r="AN398" s="3">
        <f t="shared" si="60"/>
        <v>8.9331417791685208</v>
      </c>
      <c r="AO398" s="3">
        <f t="shared" si="61"/>
        <v>3.4481412827942473</v>
      </c>
      <c r="AP398" s="3">
        <f t="shared" si="62"/>
        <v>9.9502182475759469</v>
      </c>
      <c r="AQ398" s="3">
        <f t="shared" si="54"/>
        <v>0.35820785691273405</v>
      </c>
      <c r="AR398" s="3">
        <f t="shared" si="55"/>
        <v>3.8063491397069811</v>
      </c>
      <c r="AS398" s="81">
        <f t="shared" si="56"/>
        <v>0.90589201259128083</v>
      </c>
      <c r="AT398" s="81">
        <f t="shared" si="57"/>
        <v>9.4107987408719285E-2</v>
      </c>
    </row>
    <row r="399" spans="1:46" x14ac:dyDescent="0.25">
      <c r="A399" t="s">
        <v>805</v>
      </c>
      <c r="B399">
        <v>2050</v>
      </c>
      <c r="C399" t="s">
        <v>680</v>
      </c>
      <c r="D399" t="s">
        <v>831</v>
      </c>
      <c r="E399" t="s">
        <v>1028</v>
      </c>
      <c r="F399">
        <v>5</v>
      </c>
      <c r="G399" t="s">
        <v>2134</v>
      </c>
      <c r="H399" s="460">
        <v>3731.7399852705385</v>
      </c>
      <c r="I399">
        <v>1980</v>
      </c>
      <c r="J399">
        <v>0</v>
      </c>
      <c r="K399" s="67">
        <v>0</v>
      </c>
      <c r="L399" s="159">
        <v>150</v>
      </c>
      <c r="M399" s="159">
        <v>17550</v>
      </c>
      <c r="N399" s="159">
        <v>1920</v>
      </c>
      <c r="O399" s="159">
        <v>506</v>
      </c>
      <c r="P399" s="159">
        <v>4927</v>
      </c>
      <c r="Q399" s="159">
        <v>1500</v>
      </c>
      <c r="R399" s="159">
        <v>2000</v>
      </c>
      <c r="S399" s="159">
        <v>34376</v>
      </c>
      <c r="T399" s="159">
        <v>44</v>
      </c>
      <c r="U399" s="159">
        <v>120</v>
      </c>
      <c r="V399" s="159">
        <v>0</v>
      </c>
      <c r="W399" s="159">
        <v>186</v>
      </c>
      <c r="X399" s="159">
        <v>0</v>
      </c>
      <c r="Y399" s="159">
        <v>0</v>
      </c>
      <c r="Z399" s="159">
        <v>0</v>
      </c>
      <c r="AA399" s="159">
        <v>0</v>
      </c>
      <c r="AB399" s="159">
        <v>0</v>
      </c>
      <c r="AC399" s="159">
        <v>0</v>
      </c>
      <c r="AD399" s="207">
        <v>63279</v>
      </c>
      <c r="AE399" s="200">
        <v>14.662398007910499</v>
      </c>
      <c r="AF399" s="200">
        <v>22.308290928516474</v>
      </c>
      <c r="AG399" s="200">
        <v>22.897811972728483</v>
      </c>
      <c r="AH399" s="200">
        <v>0</v>
      </c>
      <c r="AI399" s="200">
        <v>0</v>
      </c>
      <c r="AJ399" s="200">
        <v>0</v>
      </c>
      <c r="AL399" s="197">
        <f t="shared" si="58"/>
        <v>72540.876181514643</v>
      </c>
      <c r="AM399" s="197" t="str">
        <f t="shared" si="59"/>
        <v>Box Medium 6</v>
      </c>
      <c r="AN399" s="3">
        <f t="shared" si="60"/>
        <v>10.585299362456354</v>
      </c>
      <c r="AO399" s="3">
        <f t="shared" si="61"/>
        <v>4.0858645955374833</v>
      </c>
      <c r="AP399" s="3">
        <f t="shared" si="62"/>
        <v>0</v>
      </c>
      <c r="AQ399" s="3">
        <f t="shared" si="54"/>
        <v>0</v>
      </c>
      <c r="AR399" s="3">
        <f t="shared" si="55"/>
        <v>4.0858645955374833</v>
      </c>
      <c r="AS399" s="81">
        <f t="shared" si="56"/>
        <v>1</v>
      </c>
      <c r="AT399" s="81">
        <f t="shared" si="57"/>
        <v>0</v>
      </c>
    </row>
    <row r="400" spans="1:46" x14ac:dyDescent="0.25">
      <c r="A400" t="s">
        <v>805</v>
      </c>
      <c r="B400">
        <v>2050</v>
      </c>
      <c r="C400" t="s">
        <v>680</v>
      </c>
      <c r="D400" t="s">
        <v>831</v>
      </c>
      <c r="E400" t="s">
        <v>1028</v>
      </c>
      <c r="F400">
        <v>5</v>
      </c>
      <c r="G400" t="s">
        <v>2135</v>
      </c>
      <c r="H400" s="460">
        <v>3510.5689585991422</v>
      </c>
      <c r="I400">
        <v>1980</v>
      </c>
      <c r="J400">
        <v>0</v>
      </c>
      <c r="K400" s="67">
        <v>0</v>
      </c>
      <c r="L400" s="159">
        <v>150</v>
      </c>
      <c r="M400" s="159">
        <v>24128</v>
      </c>
      <c r="N400" s="159">
        <v>1920</v>
      </c>
      <c r="O400" s="159">
        <v>506</v>
      </c>
      <c r="P400" s="159">
        <v>3439</v>
      </c>
      <c r="Q400" s="159">
        <v>1500</v>
      </c>
      <c r="R400" s="159">
        <v>2000</v>
      </c>
      <c r="S400" s="159">
        <v>34376</v>
      </c>
      <c r="T400" s="159">
        <v>44</v>
      </c>
      <c r="U400" s="159">
        <v>120</v>
      </c>
      <c r="V400" s="159">
        <v>0</v>
      </c>
      <c r="W400" s="159">
        <v>186</v>
      </c>
      <c r="X400" s="159">
        <v>0</v>
      </c>
      <c r="Y400" s="159">
        <v>0</v>
      </c>
      <c r="Z400" s="159">
        <v>0</v>
      </c>
      <c r="AA400" s="159">
        <v>0</v>
      </c>
      <c r="AB400" s="159">
        <v>0</v>
      </c>
      <c r="AC400" s="159">
        <v>0</v>
      </c>
      <c r="AD400" s="207">
        <v>68369</v>
      </c>
      <c r="AE400" s="200">
        <v>11.106051127539882</v>
      </c>
      <c r="AF400" s="200">
        <v>16.258098728873026</v>
      </c>
      <c r="AG400" s="200">
        <v>18.467382999449509</v>
      </c>
      <c r="AH400" s="200">
        <v>0</v>
      </c>
      <c r="AI400" s="200">
        <v>0</v>
      </c>
      <c r="AJ400" s="200">
        <v>0</v>
      </c>
      <c r="AL400" s="197">
        <f t="shared" si="58"/>
        <v>78375.877679071637</v>
      </c>
      <c r="AM400" s="197" t="str">
        <f t="shared" si="59"/>
        <v>Box Medium 6</v>
      </c>
      <c r="AN400" s="3">
        <f t="shared" si="60"/>
        <v>13.31466784857772</v>
      </c>
      <c r="AO400" s="3">
        <f t="shared" si="61"/>
        <v>5.1393851133578883</v>
      </c>
      <c r="AP400" s="3">
        <f t="shared" si="62"/>
        <v>0</v>
      </c>
      <c r="AQ400" s="3">
        <f t="shared" si="54"/>
        <v>0</v>
      </c>
      <c r="AR400" s="3">
        <f t="shared" si="55"/>
        <v>5.1393851133578883</v>
      </c>
      <c r="AS400" s="81">
        <f t="shared" si="56"/>
        <v>1</v>
      </c>
      <c r="AT400" s="81">
        <f t="shared" si="57"/>
        <v>0</v>
      </c>
    </row>
    <row r="401" spans="1:46" x14ac:dyDescent="0.25">
      <c r="A401" t="s">
        <v>807</v>
      </c>
      <c r="B401">
        <v>2050</v>
      </c>
      <c r="C401" t="s">
        <v>680</v>
      </c>
      <c r="D401" t="s">
        <v>831</v>
      </c>
      <c r="E401" t="s">
        <v>1028</v>
      </c>
      <c r="F401">
        <v>5</v>
      </c>
      <c r="G401" t="s">
        <v>2136</v>
      </c>
      <c r="H401" s="460">
        <v>3727.1204395529821</v>
      </c>
      <c r="I401">
        <v>1980</v>
      </c>
      <c r="J401">
        <v>0</v>
      </c>
      <c r="K401" s="67">
        <v>3.1363200000000004</v>
      </c>
      <c r="L401" s="159">
        <v>150</v>
      </c>
      <c r="M401" s="159">
        <v>15301</v>
      </c>
      <c r="N401" s="159">
        <v>220</v>
      </c>
      <c r="O401" s="159">
        <v>392</v>
      </c>
      <c r="P401" s="159">
        <v>4271</v>
      </c>
      <c r="Q401" s="159">
        <v>1500</v>
      </c>
      <c r="R401" s="159">
        <v>2000</v>
      </c>
      <c r="S401" s="159">
        <v>34376</v>
      </c>
      <c r="T401" s="159">
        <v>0</v>
      </c>
      <c r="U401" s="159">
        <v>1008</v>
      </c>
      <c r="V401" s="159">
        <v>4500</v>
      </c>
      <c r="W401" s="159">
        <v>186</v>
      </c>
      <c r="X401" s="159">
        <v>120</v>
      </c>
      <c r="Y401" s="159">
        <v>1500</v>
      </c>
      <c r="Z401" s="159">
        <v>1570</v>
      </c>
      <c r="AA401" s="159">
        <v>0</v>
      </c>
      <c r="AB401" s="159">
        <v>0</v>
      </c>
      <c r="AC401" s="159">
        <v>0</v>
      </c>
      <c r="AD401" s="207">
        <v>67094</v>
      </c>
      <c r="AE401" s="200">
        <v>20.337838081619633</v>
      </c>
      <c r="AF401" s="200">
        <v>27.926105288658057</v>
      </c>
      <c r="AG401" s="200">
        <v>23.439376769846</v>
      </c>
      <c r="AH401" s="200">
        <v>0</v>
      </c>
      <c r="AI401" s="200">
        <v>0</v>
      </c>
      <c r="AJ401" s="200">
        <v>0</v>
      </c>
      <c r="AL401" s="197">
        <f t="shared" si="58"/>
        <v>76914.261390390864</v>
      </c>
      <c r="AM401" s="197" t="str">
        <f t="shared" si="59"/>
        <v>Box Medium 6</v>
      </c>
      <c r="AN401" s="3">
        <f t="shared" si="60"/>
        <v>9.9664545969602134</v>
      </c>
      <c r="AO401" s="3">
        <f t="shared" si="61"/>
        <v>3.8469940798445164</v>
      </c>
      <c r="AP401" s="3">
        <f t="shared" si="62"/>
        <v>0</v>
      </c>
      <c r="AQ401" s="3">
        <f t="shared" si="54"/>
        <v>0</v>
      </c>
      <c r="AR401" s="3">
        <f t="shared" si="55"/>
        <v>3.8469940798445164</v>
      </c>
      <c r="AS401" s="81">
        <f t="shared" si="56"/>
        <v>1</v>
      </c>
      <c r="AT401" s="81">
        <f t="shared" si="57"/>
        <v>0</v>
      </c>
    </row>
    <row r="402" spans="1:46" x14ac:dyDescent="0.25">
      <c r="A402" t="s">
        <v>807</v>
      </c>
      <c r="B402">
        <v>2050</v>
      </c>
      <c r="C402" t="s">
        <v>680</v>
      </c>
      <c r="D402" t="s">
        <v>831</v>
      </c>
      <c r="E402" t="s">
        <v>1028</v>
      </c>
      <c r="F402">
        <v>5</v>
      </c>
      <c r="G402" t="s">
        <v>2137</v>
      </c>
      <c r="H402" s="460">
        <v>3506.8662253937091</v>
      </c>
      <c r="I402">
        <v>1980</v>
      </c>
      <c r="J402">
        <v>0</v>
      </c>
      <c r="K402" s="67">
        <v>3.0096000000000003</v>
      </c>
      <c r="L402" s="159">
        <v>150</v>
      </c>
      <c r="M402" s="159">
        <v>12672</v>
      </c>
      <c r="N402" s="159">
        <v>220</v>
      </c>
      <c r="O402" s="159">
        <v>392</v>
      </c>
      <c r="P402" s="159">
        <v>2488</v>
      </c>
      <c r="Q402" s="159">
        <v>1500</v>
      </c>
      <c r="R402" s="159">
        <v>2000</v>
      </c>
      <c r="S402" s="159">
        <v>34376</v>
      </c>
      <c r="T402" s="159">
        <v>0</v>
      </c>
      <c r="U402" s="159">
        <v>967</v>
      </c>
      <c r="V402" s="159">
        <v>4500</v>
      </c>
      <c r="W402" s="159">
        <v>186</v>
      </c>
      <c r="X402" s="159">
        <v>120</v>
      </c>
      <c r="Y402" s="159">
        <v>1500</v>
      </c>
      <c r="Z402" s="159">
        <v>1467</v>
      </c>
      <c r="AA402" s="159">
        <v>0</v>
      </c>
      <c r="AB402" s="159">
        <v>0</v>
      </c>
      <c r="AC402" s="159">
        <v>0</v>
      </c>
      <c r="AD402" s="207">
        <v>62538</v>
      </c>
      <c r="AE402" s="200">
        <v>13.112202839281178</v>
      </c>
      <c r="AF402" s="200">
        <v>23.152538056031453</v>
      </c>
      <c r="AG402" s="200">
        <v>21.514967830801535</v>
      </c>
      <c r="AH402" s="200">
        <v>0</v>
      </c>
      <c r="AI402" s="200">
        <v>0</v>
      </c>
      <c r="AJ402" s="200">
        <v>0</v>
      </c>
      <c r="AL402" s="197">
        <f t="shared" si="58"/>
        <v>71691.41918550487</v>
      </c>
      <c r="AM402" s="197" t="str">
        <f t="shared" si="59"/>
        <v>Box Medium 6</v>
      </c>
      <c r="AN402" s="3">
        <f t="shared" si="60"/>
        <v>11.213334370571282</v>
      </c>
      <c r="AO402" s="3">
        <f t="shared" si="61"/>
        <v>4.3282824919567497</v>
      </c>
      <c r="AP402" s="3">
        <f t="shared" si="62"/>
        <v>0</v>
      </c>
      <c r="AQ402" s="3">
        <f t="shared" si="54"/>
        <v>0</v>
      </c>
      <c r="AR402" s="3">
        <f t="shared" si="55"/>
        <v>4.3282824919567497</v>
      </c>
      <c r="AS402" s="81">
        <f t="shared" si="56"/>
        <v>1</v>
      </c>
      <c r="AT402" s="81">
        <f t="shared" si="57"/>
        <v>0</v>
      </c>
    </row>
    <row r="403" spans="1:46" x14ac:dyDescent="0.25">
      <c r="A403" t="s">
        <v>808</v>
      </c>
      <c r="B403">
        <v>2050</v>
      </c>
      <c r="C403" t="s">
        <v>680</v>
      </c>
      <c r="D403" t="s">
        <v>831</v>
      </c>
      <c r="E403" t="s">
        <v>1028</v>
      </c>
      <c r="F403">
        <v>5</v>
      </c>
      <c r="G403" t="s">
        <v>2138</v>
      </c>
      <c r="H403" s="460">
        <v>3739.4285984650433</v>
      </c>
      <c r="I403">
        <v>1980</v>
      </c>
      <c r="J403">
        <v>119.99999997072871</v>
      </c>
      <c r="K403" s="67">
        <v>86.887500000000003</v>
      </c>
      <c r="L403" s="159">
        <v>0</v>
      </c>
      <c r="M403" s="159">
        <v>9353</v>
      </c>
      <c r="N403" s="159">
        <v>220</v>
      </c>
      <c r="O403" s="159">
        <v>0</v>
      </c>
      <c r="P403" s="159">
        <v>0</v>
      </c>
      <c r="Q403" s="159">
        <v>1500</v>
      </c>
      <c r="R403" s="159">
        <v>2000</v>
      </c>
      <c r="S403" s="159">
        <v>34376</v>
      </c>
      <c r="T403" s="159">
        <v>773</v>
      </c>
      <c r="U403" s="159">
        <v>7820</v>
      </c>
      <c r="V403" s="159">
        <v>4500</v>
      </c>
      <c r="W403" s="159">
        <v>186</v>
      </c>
      <c r="X403" s="159">
        <v>0</v>
      </c>
      <c r="Y403" s="159">
        <v>1500</v>
      </c>
      <c r="Z403" s="159">
        <v>3037</v>
      </c>
      <c r="AA403" s="159">
        <v>0</v>
      </c>
      <c r="AB403" s="159">
        <v>0</v>
      </c>
      <c r="AC403" s="159">
        <v>0</v>
      </c>
      <c r="AD403" s="207">
        <v>65265</v>
      </c>
      <c r="AE403" s="200">
        <v>53.30708816916615</v>
      </c>
      <c r="AF403" s="200">
        <v>46.06717520328931</v>
      </c>
      <c r="AG403" s="200">
        <v>34.428645764497986</v>
      </c>
      <c r="AH403" s="200">
        <v>642</v>
      </c>
      <c r="AI403" s="200">
        <v>652</v>
      </c>
      <c r="AJ403" s="200">
        <v>795</v>
      </c>
      <c r="AL403" s="197">
        <f t="shared" si="58"/>
        <v>74817.558494706813</v>
      </c>
      <c r="AM403" s="197" t="str">
        <f t="shared" si="59"/>
        <v>Box Medium 6</v>
      </c>
      <c r="AN403" s="3">
        <f t="shared" si="60"/>
        <v>1.3111280960667113</v>
      </c>
      <c r="AO403" s="3">
        <f t="shared" si="61"/>
        <v>0.50608789458839754</v>
      </c>
      <c r="AP403" s="3">
        <f t="shared" si="62"/>
        <v>38.49926056644339</v>
      </c>
      <c r="AQ403" s="3">
        <f t="shared" si="54"/>
        <v>1.3859733803919623</v>
      </c>
      <c r="AR403" s="3">
        <f t="shared" si="55"/>
        <v>1.8920612749803598</v>
      </c>
      <c r="AS403" s="81">
        <f t="shared" si="56"/>
        <v>0.26747965368809257</v>
      </c>
      <c r="AT403" s="81">
        <f t="shared" si="57"/>
        <v>0.73252034631190743</v>
      </c>
    </row>
    <row r="404" spans="1:46" x14ac:dyDescent="0.25">
      <c r="A404" t="s">
        <v>808</v>
      </c>
      <c r="B404">
        <v>2050</v>
      </c>
      <c r="C404" t="s">
        <v>680</v>
      </c>
      <c r="D404" t="s">
        <v>831</v>
      </c>
      <c r="E404" t="s">
        <v>1028</v>
      </c>
      <c r="F404">
        <v>5</v>
      </c>
      <c r="G404" t="s">
        <v>2139</v>
      </c>
      <c r="H404" s="460">
        <v>3691.2552060376393</v>
      </c>
      <c r="I404">
        <v>1980</v>
      </c>
      <c r="J404">
        <v>119.99999997072871</v>
      </c>
      <c r="K404" s="67">
        <v>80.433000000000007</v>
      </c>
      <c r="L404" s="159">
        <v>0</v>
      </c>
      <c r="M404" s="159">
        <v>6897</v>
      </c>
      <c r="N404" s="159">
        <v>220</v>
      </c>
      <c r="O404" s="159">
        <v>0</v>
      </c>
      <c r="P404" s="159">
        <v>2916</v>
      </c>
      <c r="Q404" s="159">
        <v>1500</v>
      </c>
      <c r="R404" s="159">
        <v>2000</v>
      </c>
      <c r="S404" s="159">
        <v>34376</v>
      </c>
      <c r="T404" s="159">
        <v>563</v>
      </c>
      <c r="U404" s="159">
        <v>7239</v>
      </c>
      <c r="V404" s="159">
        <v>4500</v>
      </c>
      <c r="W404" s="159">
        <v>186</v>
      </c>
      <c r="X404" s="159">
        <v>0</v>
      </c>
      <c r="Y404" s="159">
        <v>1500</v>
      </c>
      <c r="Z404" s="159">
        <v>2309</v>
      </c>
      <c r="AA404" s="159">
        <v>0</v>
      </c>
      <c r="AB404" s="159">
        <v>0</v>
      </c>
      <c r="AC404" s="159">
        <v>0</v>
      </c>
      <c r="AD404" s="207">
        <v>64206</v>
      </c>
      <c r="AE404" s="200">
        <v>18.629270027291675</v>
      </c>
      <c r="AF404" s="200">
        <v>24.201478783632069</v>
      </c>
      <c r="AG404" s="200">
        <v>23.78390272774195</v>
      </c>
      <c r="AH404" s="200">
        <v>667</v>
      </c>
      <c r="AI404" s="200">
        <v>565</v>
      </c>
      <c r="AJ404" s="200">
        <v>677</v>
      </c>
      <c r="AL404" s="197">
        <f t="shared" si="58"/>
        <v>73603.557200814306</v>
      </c>
      <c r="AM404" s="197" t="str">
        <f t="shared" si="59"/>
        <v>Box Medium 6</v>
      </c>
      <c r="AN404" s="3">
        <f t="shared" si="60"/>
        <v>2.0022282232450066</v>
      </c>
      <c r="AO404" s="3">
        <f t="shared" si="61"/>
        <v>0.7728485637882142</v>
      </c>
      <c r="AP404" s="3">
        <f t="shared" si="62"/>
        <v>33.12761753265314</v>
      </c>
      <c r="AQ404" s="3">
        <f t="shared" si="54"/>
        <v>1.1925942311755131</v>
      </c>
      <c r="AR404" s="3">
        <f t="shared" si="55"/>
        <v>1.9654427949637272</v>
      </c>
      <c r="AS404" s="81">
        <f t="shared" si="56"/>
        <v>0.39321854890336677</v>
      </c>
      <c r="AT404" s="81">
        <f t="shared" si="57"/>
        <v>0.60678145109663328</v>
      </c>
    </row>
    <row r="405" spans="1:46" x14ac:dyDescent="0.25">
      <c r="A405" t="s">
        <v>230</v>
      </c>
      <c r="B405">
        <v>2050</v>
      </c>
      <c r="C405" t="s">
        <v>680</v>
      </c>
      <c r="D405" t="s">
        <v>831</v>
      </c>
      <c r="E405" t="s">
        <v>1028</v>
      </c>
      <c r="F405">
        <v>5</v>
      </c>
      <c r="G405" t="s">
        <v>2140</v>
      </c>
      <c r="H405" s="460">
        <v>3452.2383476216946</v>
      </c>
      <c r="I405">
        <v>1980</v>
      </c>
      <c r="J405">
        <v>150.00000001001371</v>
      </c>
      <c r="K405" s="67">
        <v>115.43625</v>
      </c>
      <c r="L405" s="159">
        <v>0</v>
      </c>
      <c r="M405" s="159">
        <v>0</v>
      </c>
      <c r="N405" s="159">
        <v>0</v>
      </c>
      <c r="O405" s="159">
        <v>0</v>
      </c>
      <c r="P405" s="159">
        <v>0</v>
      </c>
      <c r="Q405" s="159">
        <v>1500</v>
      </c>
      <c r="R405" s="159">
        <v>2000</v>
      </c>
      <c r="S405" s="159">
        <v>34376</v>
      </c>
      <c r="T405" s="159">
        <v>0</v>
      </c>
      <c r="U405" s="159">
        <v>10389</v>
      </c>
      <c r="V405" s="159">
        <v>4500</v>
      </c>
      <c r="W405" s="159">
        <v>186</v>
      </c>
      <c r="X405" s="159">
        <v>0</v>
      </c>
      <c r="Y405" s="159">
        <v>1500</v>
      </c>
      <c r="Z405" s="159">
        <v>2553</v>
      </c>
      <c r="AA405" s="159">
        <v>0</v>
      </c>
      <c r="AB405" s="159">
        <v>0</v>
      </c>
      <c r="AC405" s="159">
        <v>0</v>
      </c>
      <c r="AD405" s="207">
        <v>57004</v>
      </c>
      <c r="AE405" s="200">
        <v>0</v>
      </c>
      <c r="AF405" s="200">
        <v>0</v>
      </c>
      <c r="AG405" s="200">
        <v>0</v>
      </c>
      <c r="AH405" s="200">
        <v>622</v>
      </c>
      <c r="AI405" s="200">
        <v>623</v>
      </c>
      <c r="AJ405" s="200">
        <v>748</v>
      </c>
      <c r="AL405" s="197">
        <f t="shared" si="58"/>
        <v>65347.431309771971</v>
      </c>
      <c r="AM405" s="197" t="str">
        <f t="shared" si="59"/>
        <v>Box Medium 6</v>
      </c>
      <c r="AN405" s="3">
        <f t="shared" si="60"/>
        <v>0</v>
      </c>
      <c r="AO405" s="3">
        <f t="shared" si="61"/>
        <v>0</v>
      </c>
      <c r="AP405" s="3">
        <f t="shared" si="62"/>
        <v>45.388171548585134</v>
      </c>
      <c r="AQ405" s="3">
        <f t="shared" si="54"/>
        <v>1.6339741757490649</v>
      </c>
      <c r="AR405" s="3">
        <f t="shared" si="55"/>
        <v>1.6339741757490649</v>
      </c>
      <c r="AS405" s="81">
        <f t="shared" si="56"/>
        <v>0</v>
      </c>
      <c r="AT405" s="81">
        <f t="shared" si="57"/>
        <v>1</v>
      </c>
    </row>
    <row r="406" spans="1:46" x14ac:dyDescent="0.25">
      <c r="A406" t="s">
        <v>496</v>
      </c>
      <c r="B406">
        <v>2050</v>
      </c>
      <c r="C406" t="s">
        <v>680</v>
      </c>
      <c r="D406" t="s">
        <v>831</v>
      </c>
      <c r="E406" t="s">
        <v>1028</v>
      </c>
      <c r="F406">
        <v>5</v>
      </c>
      <c r="G406" t="s">
        <v>2141</v>
      </c>
      <c r="H406" s="460">
        <v>3333.0309734511811</v>
      </c>
      <c r="I406">
        <v>1980</v>
      </c>
      <c r="J406">
        <v>150.00000001001371</v>
      </c>
      <c r="K406" s="67">
        <v>4.7520000000000007</v>
      </c>
      <c r="L406" s="159">
        <v>0</v>
      </c>
      <c r="M406" s="159">
        <v>0</v>
      </c>
      <c r="N406" s="159">
        <v>0</v>
      </c>
      <c r="O406" s="159">
        <v>0</v>
      </c>
      <c r="P406" s="159">
        <v>0</v>
      </c>
      <c r="Q406" s="159">
        <v>1500</v>
      </c>
      <c r="R406" s="159">
        <v>2000</v>
      </c>
      <c r="S406" s="159">
        <v>34376</v>
      </c>
      <c r="T406" s="159">
        <v>0</v>
      </c>
      <c r="U406" s="159">
        <v>1527</v>
      </c>
      <c r="V406" s="159">
        <v>4500</v>
      </c>
      <c r="W406" s="159">
        <v>186</v>
      </c>
      <c r="X406" s="159">
        <v>0</v>
      </c>
      <c r="Y406" s="159">
        <v>1500</v>
      </c>
      <c r="Z406" s="159">
        <v>2675</v>
      </c>
      <c r="AA406" s="159">
        <v>13336</v>
      </c>
      <c r="AB406" s="159">
        <v>2538</v>
      </c>
      <c r="AC406" s="159">
        <v>0</v>
      </c>
      <c r="AD406" s="207">
        <v>64138</v>
      </c>
      <c r="AE406" s="200">
        <v>35.22217914335949</v>
      </c>
      <c r="AF406" s="200">
        <v>37.258479550329746</v>
      </c>
      <c r="AG406" s="200">
        <v>30.461805434639359</v>
      </c>
      <c r="AH406" s="200">
        <v>0</v>
      </c>
      <c r="AI406" s="200">
        <v>0</v>
      </c>
      <c r="AJ406" s="200">
        <v>0</v>
      </c>
      <c r="AL406" s="197">
        <f t="shared" si="58"/>
        <v>73525.604332084666</v>
      </c>
      <c r="AM406" s="197" t="str">
        <f t="shared" si="59"/>
        <v>Box Medium 6</v>
      </c>
      <c r="AN406" s="3">
        <f t="shared" si="60"/>
        <v>7.5426887198530936</v>
      </c>
      <c r="AO406" s="3">
        <f t="shared" si="61"/>
        <v>2.91143440920656</v>
      </c>
      <c r="AP406" s="3">
        <f t="shared" si="62"/>
        <v>0</v>
      </c>
      <c r="AQ406" s="3">
        <f t="shared" si="54"/>
        <v>0</v>
      </c>
      <c r="AR406" s="3">
        <f t="shared" si="55"/>
        <v>2.91143440920656</v>
      </c>
      <c r="AS406" s="81">
        <f t="shared" si="56"/>
        <v>1</v>
      </c>
      <c r="AT406" s="81">
        <f t="shared" si="57"/>
        <v>0</v>
      </c>
    </row>
    <row r="407" spans="1:46" x14ac:dyDescent="0.25">
      <c r="A407" t="s">
        <v>828</v>
      </c>
      <c r="B407">
        <v>2050</v>
      </c>
      <c r="C407" t="s">
        <v>680</v>
      </c>
      <c r="D407" t="s">
        <v>831</v>
      </c>
      <c r="E407" t="s">
        <v>1028</v>
      </c>
      <c r="F407">
        <v>5</v>
      </c>
      <c r="G407" t="s">
        <v>2142</v>
      </c>
      <c r="H407" s="460">
        <v>3280.0162668736011</v>
      </c>
      <c r="I407">
        <v>1980</v>
      </c>
      <c r="J407">
        <v>150.00000001001371</v>
      </c>
      <c r="K407" s="67">
        <v>37.982250000000001</v>
      </c>
      <c r="L407" s="159">
        <v>0</v>
      </c>
      <c r="M407" s="159">
        <v>0</v>
      </c>
      <c r="N407" s="159">
        <v>0</v>
      </c>
      <c r="O407" s="159">
        <v>0</v>
      </c>
      <c r="P407" s="159">
        <v>0</v>
      </c>
      <c r="Q407" s="159">
        <v>1500</v>
      </c>
      <c r="R407" s="159">
        <v>2000</v>
      </c>
      <c r="S407" s="159">
        <v>34376</v>
      </c>
      <c r="T407" s="159">
        <v>0</v>
      </c>
      <c r="U407" s="159">
        <v>3418</v>
      </c>
      <c r="V407" s="159">
        <v>4500</v>
      </c>
      <c r="W407" s="159">
        <v>186</v>
      </c>
      <c r="X407" s="159">
        <v>0</v>
      </c>
      <c r="Y407" s="159">
        <v>1500</v>
      </c>
      <c r="Z407" s="159">
        <v>3332</v>
      </c>
      <c r="AA407" s="159">
        <v>3354</v>
      </c>
      <c r="AB407" s="159">
        <v>1645</v>
      </c>
      <c r="AC407" s="159">
        <v>0</v>
      </c>
      <c r="AD407" s="207">
        <v>55811</v>
      </c>
      <c r="AE407" s="200">
        <v>35.295897441162381</v>
      </c>
      <c r="AF407" s="200">
        <v>33.651835024244726</v>
      </c>
      <c r="AG407" s="200">
        <v>28.926331529160318</v>
      </c>
      <c r="AH407" s="200">
        <v>0</v>
      </c>
      <c r="AI407" s="200">
        <v>0</v>
      </c>
      <c r="AJ407" s="200">
        <v>170.0929161823172</v>
      </c>
      <c r="AL407" s="197">
        <f t="shared" si="58"/>
        <v>63979.817009853403</v>
      </c>
      <c r="AM407" s="197" t="str">
        <f t="shared" si="59"/>
        <v>Box Medium 6</v>
      </c>
      <c r="AN407" s="3">
        <f t="shared" si="60"/>
        <v>7.9553840983193691</v>
      </c>
      <c r="AO407" s="3">
        <f t="shared" si="61"/>
        <v>3.0707324486741951</v>
      </c>
      <c r="AP407" s="3">
        <f t="shared" si="62"/>
        <v>9.0894346699139277</v>
      </c>
      <c r="AQ407" s="3">
        <f t="shared" si="54"/>
        <v>0.32721964811690141</v>
      </c>
      <c r="AR407" s="3">
        <f t="shared" si="55"/>
        <v>3.3979520967910966</v>
      </c>
      <c r="AS407" s="81">
        <f t="shared" si="56"/>
        <v>0.90370092373405853</v>
      </c>
      <c r="AT407" s="81">
        <f t="shared" si="57"/>
        <v>9.6299076265941433E-2</v>
      </c>
    </row>
    <row r="408" spans="1:46" x14ac:dyDescent="0.25">
      <c r="A408" t="s">
        <v>805</v>
      </c>
      <c r="B408">
        <v>2023</v>
      </c>
      <c r="C408" t="s">
        <v>680</v>
      </c>
      <c r="D408" t="s">
        <v>810</v>
      </c>
      <c r="E408" t="s">
        <v>1028</v>
      </c>
      <c r="F408">
        <v>6</v>
      </c>
      <c r="G408" t="s">
        <v>2143</v>
      </c>
      <c r="H408" s="460">
        <v>4602.567453300554</v>
      </c>
      <c r="I408">
        <v>2600</v>
      </c>
      <c r="J408">
        <v>0</v>
      </c>
      <c r="K408" s="67">
        <v>0</v>
      </c>
      <c r="L408" s="159">
        <v>150</v>
      </c>
      <c r="M408" s="159">
        <v>15786</v>
      </c>
      <c r="N408" s="159">
        <v>1920</v>
      </c>
      <c r="O408" s="159">
        <v>506</v>
      </c>
      <c r="P408" s="159">
        <v>4628</v>
      </c>
      <c r="Q408" s="159">
        <v>1500</v>
      </c>
      <c r="R408" s="159">
        <v>2000</v>
      </c>
      <c r="S408" s="159">
        <v>41000</v>
      </c>
      <c r="T408" s="159">
        <v>98</v>
      </c>
      <c r="U408" s="159">
        <v>120</v>
      </c>
      <c r="V408" s="159">
        <v>0</v>
      </c>
      <c r="W408" s="159">
        <v>186</v>
      </c>
      <c r="X408" s="159">
        <v>0</v>
      </c>
      <c r="Y408" s="159">
        <v>0</v>
      </c>
      <c r="Z408" s="159">
        <v>0</v>
      </c>
      <c r="AA408" s="159">
        <v>0</v>
      </c>
      <c r="AB408" s="159">
        <v>0</v>
      </c>
      <c r="AC408" s="159">
        <v>0</v>
      </c>
      <c r="AD408" s="207">
        <v>67894</v>
      </c>
      <c r="AE408" s="200">
        <v>10.536386423447679</v>
      </c>
      <c r="AF408" s="200">
        <v>12.769873111306747</v>
      </c>
      <c r="AG408" s="200">
        <v>9.8156355264207349</v>
      </c>
      <c r="AH408" s="200">
        <v>0</v>
      </c>
      <c r="AI408" s="200">
        <v>0</v>
      </c>
      <c r="AJ408" s="200">
        <v>0</v>
      </c>
      <c r="AL408" s="197">
        <f t="shared" si="58"/>
        <v>77831.353963680755</v>
      </c>
      <c r="AM408" s="197" t="str">
        <f t="shared" si="59"/>
        <v>Box Medium 6</v>
      </c>
      <c r="AN408" s="3">
        <f t="shared" si="60"/>
        <v>23.382408843378283</v>
      </c>
      <c r="AO408" s="3">
        <f t="shared" si="61"/>
        <v>9.0254751594830758</v>
      </c>
      <c r="AP408" s="3">
        <f t="shared" si="62"/>
        <v>0</v>
      </c>
      <c r="AQ408" s="3">
        <f t="shared" si="54"/>
        <v>0</v>
      </c>
      <c r="AR408" s="3">
        <f t="shared" si="55"/>
        <v>9.0254751594830758</v>
      </c>
      <c r="AS408" s="81">
        <f t="shared" si="56"/>
        <v>1</v>
      </c>
      <c r="AT408" s="81">
        <f t="shared" si="57"/>
        <v>0</v>
      </c>
    </row>
    <row r="409" spans="1:46" x14ac:dyDescent="0.25">
      <c r="A409" t="s">
        <v>805</v>
      </c>
      <c r="B409">
        <v>2023</v>
      </c>
      <c r="C409" t="s">
        <v>680</v>
      </c>
      <c r="D409" t="s">
        <v>810</v>
      </c>
      <c r="E409" t="s">
        <v>1028</v>
      </c>
      <c r="F409">
        <v>6</v>
      </c>
      <c r="G409" t="s">
        <v>2144</v>
      </c>
      <c r="H409" s="460">
        <v>4393.8022594611721</v>
      </c>
      <c r="I409">
        <v>2600</v>
      </c>
      <c r="J409">
        <v>0</v>
      </c>
      <c r="K409" s="67">
        <v>0</v>
      </c>
      <c r="L409" s="159">
        <v>150</v>
      </c>
      <c r="M409" s="159">
        <v>17299</v>
      </c>
      <c r="N409" s="159">
        <v>1920</v>
      </c>
      <c r="O409" s="159">
        <v>506</v>
      </c>
      <c r="P409" s="159">
        <v>3130</v>
      </c>
      <c r="Q409" s="159">
        <v>1500</v>
      </c>
      <c r="R409" s="159">
        <v>2000</v>
      </c>
      <c r="S409" s="159">
        <v>41000</v>
      </c>
      <c r="T409" s="159">
        <v>98</v>
      </c>
      <c r="U409" s="159">
        <v>120</v>
      </c>
      <c r="V409" s="159">
        <v>0</v>
      </c>
      <c r="W409" s="159">
        <v>186</v>
      </c>
      <c r="X409" s="159">
        <v>0</v>
      </c>
      <c r="Y409" s="159">
        <v>0</v>
      </c>
      <c r="Z409" s="159">
        <v>0</v>
      </c>
      <c r="AA409" s="159">
        <v>0</v>
      </c>
      <c r="AB409" s="159">
        <v>0</v>
      </c>
      <c r="AC409" s="159">
        <v>0</v>
      </c>
      <c r="AD409" s="207">
        <v>67909</v>
      </c>
      <c r="AE409" s="200">
        <v>7.9908040733218586</v>
      </c>
      <c r="AF409" s="200">
        <v>10.199813734368504</v>
      </c>
      <c r="AG409" s="200">
        <v>7.8558031264482224</v>
      </c>
      <c r="AH409" s="200">
        <v>0</v>
      </c>
      <c r="AI409" s="200">
        <v>0</v>
      </c>
      <c r="AJ409" s="200">
        <v>0</v>
      </c>
      <c r="AL409" s="197">
        <f t="shared" si="58"/>
        <v>77848.549449429949</v>
      </c>
      <c r="AM409" s="197" t="str">
        <f t="shared" si="59"/>
        <v>Box Medium 6</v>
      </c>
      <c r="AN409" s="3">
        <f t="shared" si="60"/>
        <v>29.297006305240529</v>
      </c>
      <c r="AO409" s="3">
        <f t="shared" si="61"/>
        <v>11.308475718918455</v>
      </c>
      <c r="AP409" s="3">
        <f t="shared" si="62"/>
        <v>0</v>
      </c>
      <c r="AQ409" s="3">
        <f t="shared" si="54"/>
        <v>0</v>
      </c>
      <c r="AR409" s="3">
        <f t="shared" si="55"/>
        <v>11.308475718918455</v>
      </c>
      <c r="AS409" s="81">
        <f t="shared" si="56"/>
        <v>1</v>
      </c>
      <c r="AT409" s="81">
        <f t="shared" si="57"/>
        <v>0</v>
      </c>
    </row>
    <row r="410" spans="1:46" x14ac:dyDescent="0.25">
      <c r="A410" t="s">
        <v>807</v>
      </c>
      <c r="B410">
        <v>2023</v>
      </c>
      <c r="C410" t="s">
        <v>680</v>
      </c>
      <c r="D410" t="s">
        <v>810</v>
      </c>
      <c r="E410" t="s">
        <v>1028</v>
      </c>
      <c r="F410">
        <v>6</v>
      </c>
      <c r="G410" t="s">
        <v>2145</v>
      </c>
      <c r="H410" s="460">
        <v>4677.987102297514</v>
      </c>
      <c r="I410">
        <v>2600</v>
      </c>
      <c r="J410">
        <v>0</v>
      </c>
      <c r="K410" s="67">
        <v>3.1680000000000006</v>
      </c>
      <c r="L410" s="159">
        <v>150</v>
      </c>
      <c r="M410" s="159">
        <v>15595</v>
      </c>
      <c r="N410" s="159">
        <v>220</v>
      </c>
      <c r="O410" s="159">
        <v>392</v>
      </c>
      <c r="P410" s="159">
        <v>4572</v>
      </c>
      <c r="Q410" s="159">
        <v>1500</v>
      </c>
      <c r="R410" s="159">
        <v>2000</v>
      </c>
      <c r="S410" s="159">
        <v>41000</v>
      </c>
      <c r="T410" s="159">
        <v>0</v>
      </c>
      <c r="U410" s="159">
        <v>2218</v>
      </c>
      <c r="V410" s="159">
        <v>4500</v>
      </c>
      <c r="W410" s="159">
        <v>186</v>
      </c>
      <c r="X410" s="159">
        <v>120</v>
      </c>
      <c r="Y410" s="159">
        <v>1500</v>
      </c>
      <c r="Z410" s="159">
        <v>4186</v>
      </c>
      <c r="AA410" s="159">
        <v>0</v>
      </c>
      <c r="AB410" s="159">
        <v>0</v>
      </c>
      <c r="AC410" s="159">
        <v>0</v>
      </c>
      <c r="AD410" s="207">
        <v>78139</v>
      </c>
      <c r="AE410" s="200">
        <v>11.034746074147353</v>
      </c>
      <c r="AF410" s="200">
        <v>11.749335283772254</v>
      </c>
      <c r="AG410" s="200">
        <v>9.2537850873935543</v>
      </c>
      <c r="AH410" s="200">
        <v>0</v>
      </c>
      <c r="AI410" s="200">
        <v>0</v>
      </c>
      <c r="AJ410" s="200">
        <v>0</v>
      </c>
      <c r="AL410" s="197">
        <f t="shared" si="58"/>
        <v>89575.870730374561</v>
      </c>
      <c r="AM410" s="197" t="str">
        <f t="shared" si="59"/>
        <v>Box Medium 6</v>
      </c>
      <c r="AN410" s="3">
        <f t="shared" si="60"/>
        <v>24.727246688771533</v>
      </c>
      <c r="AO410" s="3">
        <f t="shared" si="61"/>
        <v>9.5445748231846146</v>
      </c>
      <c r="AP410" s="3">
        <f t="shared" si="62"/>
        <v>0</v>
      </c>
      <c r="AQ410" s="3">
        <f t="shared" si="54"/>
        <v>0</v>
      </c>
      <c r="AR410" s="3">
        <f t="shared" si="55"/>
        <v>9.5445748231846146</v>
      </c>
      <c r="AS410" s="81">
        <f t="shared" si="56"/>
        <v>1</v>
      </c>
      <c r="AT410" s="81">
        <f t="shared" si="57"/>
        <v>0</v>
      </c>
    </row>
    <row r="411" spans="1:46" x14ac:dyDescent="0.25">
      <c r="A411" t="s">
        <v>807</v>
      </c>
      <c r="B411">
        <v>2023</v>
      </c>
      <c r="C411" t="s">
        <v>680</v>
      </c>
      <c r="D411" t="s">
        <v>810</v>
      </c>
      <c r="E411" t="s">
        <v>1028</v>
      </c>
      <c r="F411">
        <v>6</v>
      </c>
      <c r="G411" t="s">
        <v>2146</v>
      </c>
      <c r="H411" s="460">
        <v>4497.5357444024894</v>
      </c>
      <c r="I411">
        <v>2600</v>
      </c>
      <c r="J411">
        <v>0</v>
      </c>
      <c r="K411" s="67">
        <v>3.8808000000000002</v>
      </c>
      <c r="L411" s="159">
        <v>150</v>
      </c>
      <c r="M411" s="159">
        <v>21691</v>
      </c>
      <c r="N411" s="159">
        <v>220</v>
      </c>
      <c r="O411" s="159">
        <v>392</v>
      </c>
      <c r="P411" s="159">
        <v>3389</v>
      </c>
      <c r="Q411" s="159">
        <v>1500</v>
      </c>
      <c r="R411" s="159">
        <v>2000</v>
      </c>
      <c r="S411" s="159">
        <v>41000</v>
      </c>
      <c r="T411" s="159">
        <v>0</v>
      </c>
      <c r="U411" s="159">
        <v>2717</v>
      </c>
      <c r="V411" s="159">
        <v>4500</v>
      </c>
      <c r="W411" s="159">
        <v>186</v>
      </c>
      <c r="X411" s="159">
        <v>120</v>
      </c>
      <c r="Y411" s="159">
        <v>1500</v>
      </c>
      <c r="Z411" s="159">
        <v>4190</v>
      </c>
      <c r="AA411" s="159">
        <v>0</v>
      </c>
      <c r="AB411" s="159">
        <v>0</v>
      </c>
      <c r="AC411" s="159">
        <v>0</v>
      </c>
      <c r="AD411" s="207">
        <v>83555</v>
      </c>
      <c r="AE411" s="200">
        <v>8.9304507835560649</v>
      </c>
      <c r="AF411" s="200">
        <v>8.6885169073310049</v>
      </c>
      <c r="AG411" s="200">
        <v>7.5787382921847186</v>
      </c>
      <c r="AH411" s="200">
        <v>0</v>
      </c>
      <c r="AI411" s="200">
        <v>0</v>
      </c>
      <c r="AJ411" s="200">
        <v>0</v>
      </c>
      <c r="AL411" s="197">
        <f t="shared" si="58"/>
        <v>95784.58745154721</v>
      </c>
      <c r="AM411" s="197" t="str">
        <f t="shared" si="59"/>
        <v>Box Medium 6</v>
      </c>
      <c r="AN411" s="3">
        <f t="shared" si="60"/>
        <v>30.444521812488727</v>
      </c>
      <c r="AO411" s="3">
        <f t="shared" si="61"/>
        <v>11.751410096431199</v>
      </c>
      <c r="AP411" s="3">
        <f t="shared" si="62"/>
        <v>0</v>
      </c>
      <c r="AQ411" s="3">
        <f t="shared" si="54"/>
        <v>0</v>
      </c>
      <c r="AR411" s="3">
        <f t="shared" si="55"/>
        <v>11.751410096431199</v>
      </c>
      <c r="AS411" s="81">
        <f t="shared" si="56"/>
        <v>1</v>
      </c>
      <c r="AT411" s="81">
        <f t="shared" si="57"/>
        <v>0</v>
      </c>
    </row>
    <row r="412" spans="1:46" x14ac:dyDescent="0.25">
      <c r="A412" t="s">
        <v>808</v>
      </c>
      <c r="B412">
        <v>2023</v>
      </c>
      <c r="C412" t="s">
        <v>680</v>
      </c>
      <c r="D412" t="s">
        <v>810</v>
      </c>
      <c r="E412" t="s">
        <v>1028</v>
      </c>
      <c r="F412">
        <v>6</v>
      </c>
      <c r="G412" t="s">
        <v>2147</v>
      </c>
      <c r="H412" s="460">
        <v>6061.3577726973126</v>
      </c>
      <c r="I412">
        <v>2600</v>
      </c>
      <c r="J412">
        <v>119.99999997072871</v>
      </c>
      <c r="K412" s="67">
        <v>190.65600000000001</v>
      </c>
      <c r="L412" s="159">
        <v>0</v>
      </c>
      <c r="M412" s="159">
        <v>10884</v>
      </c>
      <c r="N412" s="159">
        <v>220</v>
      </c>
      <c r="O412" s="159">
        <v>0</v>
      </c>
      <c r="P412" s="159">
        <v>3243</v>
      </c>
      <c r="Q412" s="159">
        <v>1500</v>
      </c>
      <c r="R412" s="159">
        <v>2000</v>
      </c>
      <c r="S412" s="159">
        <v>41000</v>
      </c>
      <c r="T412" s="159">
        <v>3584</v>
      </c>
      <c r="U412" s="159">
        <v>66730</v>
      </c>
      <c r="V412" s="159">
        <v>4500</v>
      </c>
      <c r="W412" s="159">
        <v>186</v>
      </c>
      <c r="X412" s="159">
        <v>0</v>
      </c>
      <c r="Y412" s="159">
        <v>1500</v>
      </c>
      <c r="Z412" s="159">
        <v>6600</v>
      </c>
      <c r="AA412" s="159">
        <v>0</v>
      </c>
      <c r="AB412" s="159">
        <v>0</v>
      </c>
      <c r="AC412" s="159">
        <v>0</v>
      </c>
      <c r="AD412" s="207">
        <v>141947</v>
      </c>
      <c r="AE412" s="200">
        <v>11.014038157191433</v>
      </c>
      <c r="AF412" s="200">
        <v>9.3876249018620985</v>
      </c>
      <c r="AG412" s="200">
        <v>8.8936988028832253</v>
      </c>
      <c r="AH412" s="200">
        <v>1185</v>
      </c>
      <c r="AI412" s="200">
        <v>1375</v>
      </c>
      <c r="AJ412" s="200">
        <v>1734</v>
      </c>
      <c r="AL412" s="197">
        <f t="shared" si="58"/>
        <v>162723.17437597716</v>
      </c>
      <c r="AM412" s="197" t="str">
        <f t="shared" si="59"/>
        <v>Box Medium 6</v>
      </c>
      <c r="AN412" s="3">
        <f t="shared" si="60"/>
        <v>5.2135161124781533</v>
      </c>
      <c r="AO412" s="3">
        <f t="shared" si="61"/>
        <v>2.0123871959437492</v>
      </c>
      <c r="AP412" s="3">
        <f t="shared" si="62"/>
        <v>83.226167248685798</v>
      </c>
      <c r="AQ412" s="3">
        <f t="shared" si="54"/>
        <v>2.9961420209526888</v>
      </c>
      <c r="AR412" s="3">
        <f t="shared" si="55"/>
        <v>5.0085292168964379</v>
      </c>
      <c r="AS412" s="81">
        <f t="shared" si="56"/>
        <v>0.40179204488912529</v>
      </c>
      <c r="AT412" s="81">
        <f t="shared" si="57"/>
        <v>0.59820795511087466</v>
      </c>
    </row>
    <row r="413" spans="1:46" x14ac:dyDescent="0.25">
      <c r="A413" t="s">
        <v>808</v>
      </c>
      <c r="B413">
        <v>2023</v>
      </c>
      <c r="C413" t="s">
        <v>680</v>
      </c>
      <c r="D413" t="s">
        <v>810</v>
      </c>
      <c r="E413" t="s">
        <v>1028</v>
      </c>
      <c r="F413">
        <v>6</v>
      </c>
      <c r="G413" t="s">
        <v>2148</v>
      </c>
      <c r="H413" s="460">
        <v>5978.4554578388052</v>
      </c>
      <c r="I413">
        <v>2600</v>
      </c>
      <c r="J413">
        <v>119.99999997072871</v>
      </c>
      <c r="K413" s="67">
        <v>190.65600000000001</v>
      </c>
      <c r="L413" s="159">
        <v>0</v>
      </c>
      <c r="M413" s="159">
        <v>7809</v>
      </c>
      <c r="N413" s="159">
        <v>220</v>
      </c>
      <c r="O413" s="159">
        <v>0</v>
      </c>
      <c r="P413" s="159">
        <v>3243</v>
      </c>
      <c r="Q413" s="159">
        <v>1500</v>
      </c>
      <c r="R413" s="159">
        <v>2000</v>
      </c>
      <c r="S413" s="159">
        <v>41000</v>
      </c>
      <c r="T413" s="159">
        <v>3584</v>
      </c>
      <c r="U413" s="159">
        <v>66730</v>
      </c>
      <c r="V413" s="159">
        <v>4500</v>
      </c>
      <c r="W413" s="159">
        <v>186</v>
      </c>
      <c r="X413" s="159">
        <v>0</v>
      </c>
      <c r="Y413" s="159">
        <v>1500</v>
      </c>
      <c r="Z413" s="159">
        <v>6600</v>
      </c>
      <c r="AA413" s="159">
        <v>0</v>
      </c>
      <c r="AB413" s="159">
        <v>0</v>
      </c>
      <c r="AC413" s="159">
        <v>0</v>
      </c>
      <c r="AD413" s="207">
        <v>138872</v>
      </c>
      <c r="AE413" s="200">
        <v>8.3963889904904097</v>
      </c>
      <c r="AF413" s="200">
        <v>7.1861206007149852</v>
      </c>
      <c r="AG413" s="200">
        <v>7.0085979729939023</v>
      </c>
      <c r="AH413" s="200">
        <v>1180</v>
      </c>
      <c r="AI413" s="200">
        <v>1372</v>
      </c>
      <c r="AJ413" s="200">
        <v>1731</v>
      </c>
      <c r="AL413" s="197">
        <f t="shared" si="58"/>
        <v>159198.0997973941</v>
      </c>
      <c r="AM413" s="197" t="str">
        <f t="shared" si="59"/>
        <v>Box Medium 6</v>
      </c>
      <c r="AN413" s="3">
        <f t="shared" si="60"/>
        <v>6.641793237555544</v>
      </c>
      <c r="AO413" s="3">
        <f t="shared" si="61"/>
        <v>2.563693941095222</v>
      </c>
      <c r="AP413" s="3">
        <f t="shared" si="62"/>
        <v>83.072066809996656</v>
      </c>
      <c r="AQ413" s="3">
        <f t="shared" si="54"/>
        <v>2.9905944051598796</v>
      </c>
      <c r="AR413" s="3">
        <f t="shared" si="55"/>
        <v>5.5542883462551016</v>
      </c>
      <c r="AS413" s="81">
        <f t="shared" si="56"/>
        <v>0.46157019248447112</v>
      </c>
      <c r="AT413" s="81">
        <f t="shared" si="57"/>
        <v>0.53842980751552894</v>
      </c>
    </row>
    <row r="414" spans="1:46" x14ac:dyDescent="0.25">
      <c r="A414" t="s">
        <v>230</v>
      </c>
      <c r="B414">
        <v>2023</v>
      </c>
      <c r="C414" t="s">
        <v>680</v>
      </c>
      <c r="D414" t="s">
        <v>810</v>
      </c>
      <c r="E414" t="s">
        <v>1028</v>
      </c>
      <c r="F414">
        <v>6</v>
      </c>
      <c r="G414" t="s">
        <v>2149</v>
      </c>
      <c r="H414" s="460">
        <v>5849.9072829753823</v>
      </c>
      <c r="I414">
        <v>2600</v>
      </c>
      <c r="J414">
        <v>150.00000001001371</v>
      </c>
      <c r="K414" s="67">
        <v>237.07875000000001</v>
      </c>
      <c r="L414" s="159">
        <v>0</v>
      </c>
      <c r="M414" s="159">
        <v>0</v>
      </c>
      <c r="N414" s="159">
        <v>0</v>
      </c>
      <c r="O414" s="159">
        <v>0</v>
      </c>
      <c r="P414" s="159">
        <v>2800</v>
      </c>
      <c r="Q414" s="159">
        <v>1500</v>
      </c>
      <c r="R414" s="159">
        <v>2000</v>
      </c>
      <c r="S414" s="159">
        <v>41000</v>
      </c>
      <c r="T414" s="159">
        <v>0</v>
      </c>
      <c r="U414" s="159">
        <v>82978</v>
      </c>
      <c r="V414" s="159">
        <v>4500</v>
      </c>
      <c r="W414" s="159">
        <v>186</v>
      </c>
      <c r="X414" s="159">
        <v>0</v>
      </c>
      <c r="Y414" s="159">
        <v>1500</v>
      </c>
      <c r="Z414" s="159">
        <v>5526</v>
      </c>
      <c r="AA414" s="159">
        <v>0</v>
      </c>
      <c r="AB414" s="159">
        <v>0</v>
      </c>
      <c r="AC414" s="159">
        <v>0</v>
      </c>
      <c r="AD414" s="207">
        <v>141990</v>
      </c>
      <c r="AE414" s="200">
        <v>0</v>
      </c>
      <c r="AF414" s="200">
        <v>0</v>
      </c>
      <c r="AG414" s="200">
        <v>0</v>
      </c>
      <c r="AH414" s="200">
        <v>1148</v>
      </c>
      <c r="AI414" s="200">
        <v>1325</v>
      </c>
      <c r="AJ414" s="200">
        <v>1668</v>
      </c>
      <c r="AL414" s="197">
        <f t="shared" si="58"/>
        <v>162772.46810179148</v>
      </c>
      <c r="AM414" s="197" t="str">
        <f t="shared" si="59"/>
        <v>Box Medium 6</v>
      </c>
      <c r="AN414" s="3">
        <f t="shared" si="60"/>
        <v>0</v>
      </c>
      <c r="AO414" s="3">
        <f t="shared" si="61"/>
        <v>0</v>
      </c>
      <c r="AP414" s="3">
        <f t="shared" si="62"/>
        <v>100.11122571986033</v>
      </c>
      <c r="AQ414" s="3">
        <f t="shared" si="54"/>
        <v>3.6040041259149715</v>
      </c>
      <c r="AR414" s="3">
        <f t="shared" si="55"/>
        <v>3.6040041259149715</v>
      </c>
      <c r="AS414" s="81">
        <f t="shared" si="56"/>
        <v>0</v>
      </c>
      <c r="AT414" s="81">
        <f t="shared" si="57"/>
        <v>1</v>
      </c>
    </row>
    <row r="415" spans="1:46" x14ac:dyDescent="0.25">
      <c r="A415" t="s">
        <v>496</v>
      </c>
      <c r="B415">
        <v>2023</v>
      </c>
      <c r="C415" t="s">
        <v>680</v>
      </c>
      <c r="D415" t="s">
        <v>810</v>
      </c>
      <c r="E415" t="s">
        <v>1028</v>
      </c>
      <c r="F415">
        <v>6</v>
      </c>
      <c r="G415" t="s">
        <v>2150</v>
      </c>
      <c r="H415" s="460">
        <v>4770.4475786489875</v>
      </c>
      <c r="I415">
        <v>2600</v>
      </c>
      <c r="J415">
        <v>150.00000001001371</v>
      </c>
      <c r="K415" s="67">
        <v>4.4668800000000006</v>
      </c>
      <c r="L415" s="159">
        <v>0</v>
      </c>
      <c r="M415" s="159">
        <v>0</v>
      </c>
      <c r="N415" s="159">
        <v>0</v>
      </c>
      <c r="O415" s="159">
        <v>0</v>
      </c>
      <c r="P415" s="159">
        <v>2943</v>
      </c>
      <c r="Q415" s="159">
        <v>1500</v>
      </c>
      <c r="R415" s="159">
        <v>2000</v>
      </c>
      <c r="S415" s="159">
        <v>41000</v>
      </c>
      <c r="T415" s="159">
        <v>0</v>
      </c>
      <c r="U415" s="159">
        <v>3127</v>
      </c>
      <c r="V415" s="159">
        <v>4500</v>
      </c>
      <c r="W415" s="159">
        <v>186</v>
      </c>
      <c r="X415" s="159">
        <v>0</v>
      </c>
      <c r="Y415" s="159">
        <v>1500</v>
      </c>
      <c r="Z415" s="159">
        <v>5873</v>
      </c>
      <c r="AA415" s="159">
        <v>24405</v>
      </c>
      <c r="AB415" s="159">
        <v>13170</v>
      </c>
      <c r="AC415" s="159">
        <v>0</v>
      </c>
      <c r="AD415" s="207">
        <v>100204</v>
      </c>
      <c r="AE415" s="200">
        <v>19.287551001202079</v>
      </c>
      <c r="AF415" s="200">
        <v>16.20004078248331</v>
      </c>
      <c r="AG415" s="200">
        <v>12.353919837296486</v>
      </c>
      <c r="AH415" s="200">
        <v>0</v>
      </c>
      <c r="AI415" s="200">
        <v>0</v>
      </c>
      <c r="AJ415" s="200">
        <v>0</v>
      </c>
      <c r="AL415" s="197">
        <f t="shared" si="58"/>
        <v>114870.43026742668</v>
      </c>
      <c r="AM415" s="197" t="str">
        <f t="shared" si="59"/>
        <v>Box Medium 6</v>
      </c>
      <c r="AN415" s="3">
        <f t="shared" si="60"/>
        <v>18.290661622915724</v>
      </c>
      <c r="AO415" s="3">
        <f t="shared" si="61"/>
        <v>7.0600900546175431</v>
      </c>
      <c r="AP415" s="3">
        <f t="shared" si="62"/>
        <v>0</v>
      </c>
      <c r="AQ415" s="3">
        <f t="shared" si="54"/>
        <v>0</v>
      </c>
      <c r="AR415" s="3">
        <f t="shared" si="55"/>
        <v>7.0600900546175431</v>
      </c>
      <c r="AS415" s="81">
        <f t="shared" si="56"/>
        <v>1</v>
      </c>
      <c r="AT415" s="81">
        <f t="shared" si="57"/>
        <v>0</v>
      </c>
    </row>
    <row r="416" spans="1:46" x14ac:dyDescent="0.25">
      <c r="A416" t="s">
        <v>828</v>
      </c>
      <c r="B416">
        <v>2023</v>
      </c>
      <c r="C416" t="s">
        <v>680</v>
      </c>
      <c r="D416" t="s">
        <v>810</v>
      </c>
      <c r="E416" t="s">
        <v>1028</v>
      </c>
      <c r="F416">
        <v>6</v>
      </c>
      <c r="G416" t="s">
        <v>2151</v>
      </c>
      <c r="H416" s="460">
        <v>4938.0204447031201</v>
      </c>
      <c r="I416">
        <v>2600</v>
      </c>
      <c r="J416">
        <v>150.00000001001371</v>
      </c>
      <c r="K416" s="67">
        <v>39.47175</v>
      </c>
      <c r="L416" s="159">
        <v>0</v>
      </c>
      <c r="M416" s="159">
        <v>0</v>
      </c>
      <c r="N416" s="159">
        <v>0</v>
      </c>
      <c r="O416" s="159">
        <v>0</v>
      </c>
      <c r="P416" s="159">
        <v>3430</v>
      </c>
      <c r="Q416" s="159">
        <v>1500</v>
      </c>
      <c r="R416" s="159">
        <v>2000</v>
      </c>
      <c r="S416" s="159">
        <v>41000</v>
      </c>
      <c r="T416" s="159">
        <v>0</v>
      </c>
      <c r="U416" s="159">
        <v>13815</v>
      </c>
      <c r="V416" s="159">
        <v>4500</v>
      </c>
      <c r="W416" s="159">
        <v>186</v>
      </c>
      <c r="X416" s="159">
        <v>0</v>
      </c>
      <c r="Y416" s="159">
        <v>1500</v>
      </c>
      <c r="Z416" s="159">
        <v>7053</v>
      </c>
      <c r="AA416" s="159">
        <v>15296</v>
      </c>
      <c r="AB416" s="159">
        <v>10286</v>
      </c>
      <c r="AC416" s="159">
        <v>0</v>
      </c>
      <c r="AD416" s="207">
        <v>100566</v>
      </c>
      <c r="AE416" s="200">
        <v>19.02949922747549</v>
      </c>
      <c r="AF416" s="200">
        <v>15.430973363020653</v>
      </c>
      <c r="AG416" s="200">
        <v>13.137285983672642</v>
      </c>
      <c r="AH416" s="200">
        <v>0</v>
      </c>
      <c r="AI416" s="200">
        <v>0</v>
      </c>
      <c r="AJ416" s="200">
        <v>344.03755186775584</v>
      </c>
      <c r="AL416" s="197">
        <f t="shared" si="58"/>
        <v>115285.41465684035</v>
      </c>
      <c r="AM416" s="197" t="str">
        <f t="shared" si="59"/>
        <v>Box Medium 6</v>
      </c>
      <c r="AN416" s="3">
        <f t="shared" si="60"/>
        <v>17.387679429519359</v>
      </c>
      <c r="AO416" s="3">
        <f t="shared" si="61"/>
        <v>6.7115441280389634</v>
      </c>
      <c r="AP416" s="3">
        <f t="shared" si="62"/>
        <v>18.384697739835588</v>
      </c>
      <c r="AQ416" s="3">
        <f t="shared" si="54"/>
        <v>0.66184911863408113</v>
      </c>
      <c r="AR416" s="3">
        <f t="shared" si="55"/>
        <v>7.3733932466730447</v>
      </c>
      <c r="AS416" s="81">
        <f t="shared" si="56"/>
        <v>0.91023819068205603</v>
      </c>
      <c r="AT416" s="81">
        <f t="shared" si="57"/>
        <v>8.9761809317943905E-2</v>
      </c>
    </row>
    <row r="417" spans="1:47" x14ac:dyDescent="0.25">
      <c r="A417" t="s">
        <v>805</v>
      </c>
      <c r="B417">
        <v>2025</v>
      </c>
      <c r="C417" t="s">
        <v>680</v>
      </c>
      <c r="D417" t="s">
        <v>810</v>
      </c>
      <c r="E417" t="s">
        <v>1028</v>
      </c>
      <c r="F417">
        <v>6</v>
      </c>
      <c r="G417" t="s">
        <v>2152</v>
      </c>
      <c r="H417" s="460">
        <v>4554.9130433975834</v>
      </c>
      <c r="I417">
        <v>2600</v>
      </c>
      <c r="J417">
        <v>0</v>
      </c>
      <c r="K417" s="67">
        <v>0</v>
      </c>
      <c r="L417" s="159">
        <v>150</v>
      </c>
      <c r="M417" s="159">
        <v>15751</v>
      </c>
      <c r="N417" s="159">
        <v>1920</v>
      </c>
      <c r="O417" s="159">
        <v>506</v>
      </c>
      <c r="P417" s="159">
        <v>4506</v>
      </c>
      <c r="Q417" s="159">
        <v>1500</v>
      </c>
      <c r="R417" s="159">
        <v>2000</v>
      </c>
      <c r="S417" s="159">
        <v>41176</v>
      </c>
      <c r="T417" s="159">
        <v>92</v>
      </c>
      <c r="U417" s="159">
        <v>120</v>
      </c>
      <c r="V417" s="159">
        <v>0</v>
      </c>
      <c r="W417" s="159">
        <v>186</v>
      </c>
      <c r="X417" s="159">
        <v>0</v>
      </c>
      <c r="Y417" s="159">
        <v>0</v>
      </c>
      <c r="Z417" s="159">
        <v>0</v>
      </c>
      <c r="AA417" s="159">
        <v>0</v>
      </c>
      <c r="AB417" s="159">
        <v>0</v>
      </c>
      <c r="AC417" s="159">
        <v>0</v>
      </c>
      <c r="AD417" s="207">
        <v>67907</v>
      </c>
      <c r="AE417" s="200">
        <v>11.325177323332737</v>
      </c>
      <c r="AF417" s="200">
        <v>14.26518799001647</v>
      </c>
      <c r="AG417" s="200">
        <v>11.038729692884477</v>
      </c>
      <c r="AH417" s="200">
        <v>0</v>
      </c>
      <c r="AI417" s="200">
        <v>0</v>
      </c>
      <c r="AJ417" s="200">
        <v>0</v>
      </c>
      <c r="AL417" s="197">
        <f t="shared" si="58"/>
        <v>77846.256717996715</v>
      </c>
      <c r="AM417" s="197" t="str">
        <f t="shared" si="59"/>
        <v>Box Medium 6</v>
      </c>
      <c r="AN417" s="3">
        <f t="shared" si="60"/>
        <v>20.847474041688113</v>
      </c>
      <c r="AO417" s="3">
        <f t="shared" si="61"/>
        <v>8.0470049241530255</v>
      </c>
      <c r="AP417" s="3">
        <f t="shared" si="62"/>
        <v>0</v>
      </c>
      <c r="AQ417" s="3">
        <f t="shared" si="54"/>
        <v>0</v>
      </c>
      <c r="AR417" s="3">
        <f t="shared" si="55"/>
        <v>8.0470049241530255</v>
      </c>
      <c r="AS417" s="81">
        <f t="shared" si="56"/>
        <v>1</v>
      </c>
      <c r="AT417" s="81">
        <f t="shared" si="57"/>
        <v>0</v>
      </c>
    </row>
    <row r="418" spans="1:47" x14ac:dyDescent="0.25">
      <c r="A418" t="s">
        <v>805</v>
      </c>
      <c r="B418">
        <v>2025</v>
      </c>
      <c r="C418" t="s">
        <v>680</v>
      </c>
      <c r="D418" t="s">
        <v>810</v>
      </c>
      <c r="E418" t="s">
        <v>1028</v>
      </c>
      <c r="F418">
        <v>6</v>
      </c>
      <c r="G418" t="s">
        <v>2153</v>
      </c>
      <c r="H418" s="460">
        <v>4356.0267049254408</v>
      </c>
      <c r="I418">
        <v>2600</v>
      </c>
      <c r="J418">
        <v>0</v>
      </c>
      <c r="K418" s="67">
        <v>0</v>
      </c>
      <c r="L418" s="159">
        <v>150</v>
      </c>
      <c r="M418" s="159">
        <v>17097</v>
      </c>
      <c r="N418" s="159">
        <v>1920</v>
      </c>
      <c r="O418" s="159">
        <v>506</v>
      </c>
      <c r="P418" s="159">
        <v>3092</v>
      </c>
      <c r="Q418" s="159">
        <v>1500</v>
      </c>
      <c r="R418" s="159">
        <v>2000</v>
      </c>
      <c r="S418" s="159">
        <v>41176</v>
      </c>
      <c r="T418" s="159">
        <v>92</v>
      </c>
      <c r="U418" s="159">
        <v>120</v>
      </c>
      <c r="V418" s="159">
        <v>0</v>
      </c>
      <c r="W418" s="159">
        <v>186</v>
      </c>
      <c r="X418" s="159">
        <v>0</v>
      </c>
      <c r="Y418" s="159">
        <v>0</v>
      </c>
      <c r="Z418" s="159">
        <v>0</v>
      </c>
      <c r="AA418" s="159">
        <v>0</v>
      </c>
      <c r="AB418" s="159">
        <v>0</v>
      </c>
      <c r="AC418" s="159">
        <v>0</v>
      </c>
      <c r="AD418" s="207">
        <v>67839</v>
      </c>
      <c r="AE418" s="200">
        <v>8.678625562280379</v>
      </c>
      <c r="AF418" s="200">
        <v>11.50895656728426</v>
      </c>
      <c r="AG418" s="200">
        <v>8.9307695976996566</v>
      </c>
      <c r="AH418" s="200">
        <v>0</v>
      </c>
      <c r="AI418" s="200">
        <v>0</v>
      </c>
      <c r="AJ418" s="200">
        <v>0</v>
      </c>
      <c r="AL418" s="197">
        <f t="shared" si="58"/>
        <v>77768.303849267075</v>
      </c>
      <c r="AM418" s="197" t="str">
        <f t="shared" si="59"/>
        <v>Box Medium 6</v>
      </c>
      <c r="AN418" s="3">
        <f t="shared" si="60"/>
        <v>25.844865675185915</v>
      </c>
      <c r="AO418" s="3">
        <f t="shared" si="61"/>
        <v>9.9759693158228799</v>
      </c>
      <c r="AP418" s="3">
        <f t="shared" si="62"/>
        <v>0</v>
      </c>
      <c r="AQ418" s="3">
        <f t="shared" si="54"/>
        <v>0</v>
      </c>
      <c r="AR418" s="3">
        <f t="shared" si="55"/>
        <v>9.9759693158228799</v>
      </c>
      <c r="AS418" s="81">
        <f t="shared" si="56"/>
        <v>1</v>
      </c>
      <c r="AT418" s="81">
        <f t="shared" si="57"/>
        <v>0</v>
      </c>
    </row>
    <row r="419" spans="1:47" x14ac:dyDescent="0.25">
      <c r="A419" t="s">
        <v>807</v>
      </c>
      <c r="B419">
        <v>2025</v>
      </c>
      <c r="C419" t="s">
        <v>680</v>
      </c>
      <c r="D419" t="s">
        <v>810</v>
      </c>
      <c r="E419" t="s">
        <v>1028</v>
      </c>
      <c r="F419">
        <v>6</v>
      </c>
      <c r="G419" t="s">
        <v>2154</v>
      </c>
      <c r="H419" s="460">
        <v>4633.4557825720913</v>
      </c>
      <c r="I419">
        <v>2600</v>
      </c>
      <c r="J419">
        <v>0</v>
      </c>
      <c r="K419" s="67">
        <v>2.8512000000000004</v>
      </c>
      <c r="L419" s="159">
        <v>150</v>
      </c>
      <c r="M419" s="159">
        <v>15814</v>
      </c>
      <c r="N419" s="159">
        <v>220</v>
      </c>
      <c r="O419" s="159">
        <v>392</v>
      </c>
      <c r="P419" s="159">
        <v>4524</v>
      </c>
      <c r="Q419" s="159">
        <v>1500</v>
      </c>
      <c r="R419" s="159">
        <v>2000</v>
      </c>
      <c r="S419" s="159">
        <v>41176</v>
      </c>
      <c r="T419" s="159">
        <v>0</v>
      </c>
      <c r="U419" s="159">
        <v>1347</v>
      </c>
      <c r="V419" s="159">
        <v>4500</v>
      </c>
      <c r="W419" s="159">
        <v>186</v>
      </c>
      <c r="X419" s="159">
        <v>120</v>
      </c>
      <c r="Y419" s="159">
        <v>1500</v>
      </c>
      <c r="Z419" s="159">
        <v>3485</v>
      </c>
      <c r="AA419" s="159">
        <v>0</v>
      </c>
      <c r="AB419" s="159">
        <v>0</v>
      </c>
      <c r="AC419" s="159">
        <v>0</v>
      </c>
      <c r="AD419" s="207">
        <v>76914</v>
      </c>
      <c r="AE419" s="200">
        <v>12.248899975207092</v>
      </c>
      <c r="AF419" s="200">
        <v>12.975798915019192</v>
      </c>
      <c r="AG419" s="200">
        <v>10.430429548315001</v>
      </c>
      <c r="AH419" s="200">
        <v>0</v>
      </c>
      <c r="AI419" s="200">
        <v>0</v>
      </c>
      <c r="AJ419" s="200">
        <v>0</v>
      </c>
      <c r="AL419" s="197">
        <f t="shared" si="58"/>
        <v>88171.572727524399</v>
      </c>
      <c r="AM419" s="197" t="str">
        <f t="shared" si="59"/>
        <v>Box Medium 6</v>
      </c>
      <c r="AN419" s="3">
        <f t="shared" si="60"/>
        <v>21.985333965959082</v>
      </c>
      <c r="AO419" s="3">
        <f t="shared" si="61"/>
        <v>8.4862123022409026</v>
      </c>
      <c r="AP419" s="3">
        <f t="shared" si="62"/>
        <v>0</v>
      </c>
      <c r="AQ419" s="3">
        <f t="shared" si="54"/>
        <v>0</v>
      </c>
      <c r="AR419" s="3">
        <f t="shared" si="55"/>
        <v>8.4862123022409026</v>
      </c>
      <c r="AS419" s="81">
        <f t="shared" si="56"/>
        <v>1</v>
      </c>
      <c r="AT419" s="81">
        <f t="shared" si="57"/>
        <v>0</v>
      </c>
    </row>
    <row r="420" spans="1:47" x14ac:dyDescent="0.25">
      <c r="A420" t="s">
        <v>807</v>
      </c>
      <c r="B420">
        <v>2025</v>
      </c>
      <c r="C420" t="s">
        <v>680</v>
      </c>
      <c r="D420" t="s">
        <v>810</v>
      </c>
      <c r="E420" t="s">
        <v>1028</v>
      </c>
      <c r="F420">
        <v>6</v>
      </c>
      <c r="G420" t="s">
        <v>2155</v>
      </c>
      <c r="H420" s="460">
        <v>4451.6548041729002</v>
      </c>
      <c r="I420">
        <v>2600</v>
      </c>
      <c r="J420">
        <v>0</v>
      </c>
      <c r="K420" s="67">
        <v>3.0096000000000003</v>
      </c>
      <c r="L420" s="159">
        <v>150</v>
      </c>
      <c r="M420" s="159">
        <v>21475</v>
      </c>
      <c r="N420" s="159">
        <v>220</v>
      </c>
      <c r="O420" s="159">
        <v>392</v>
      </c>
      <c r="P420" s="159">
        <v>3350</v>
      </c>
      <c r="Q420" s="159">
        <v>1500</v>
      </c>
      <c r="R420" s="159">
        <v>2000</v>
      </c>
      <c r="S420" s="159">
        <v>41176</v>
      </c>
      <c r="T420" s="159">
        <v>0</v>
      </c>
      <c r="U420" s="159">
        <v>1422</v>
      </c>
      <c r="V420" s="159">
        <v>4500</v>
      </c>
      <c r="W420" s="159">
        <v>186</v>
      </c>
      <c r="X420" s="159">
        <v>120</v>
      </c>
      <c r="Y420" s="159">
        <v>1500</v>
      </c>
      <c r="Z420" s="159">
        <v>3483</v>
      </c>
      <c r="AA420" s="159">
        <v>0</v>
      </c>
      <c r="AB420" s="159">
        <v>0</v>
      </c>
      <c r="AC420" s="159">
        <v>0</v>
      </c>
      <c r="AD420" s="207">
        <v>81474</v>
      </c>
      <c r="AE420" s="200">
        <v>10.1072497931473</v>
      </c>
      <c r="AF420" s="200">
        <v>9.8295858913214964</v>
      </c>
      <c r="AG420" s="200">
        <v>8.7088318568578718</v>
      </c>
      <c r="AH420" s="200">
        <v>0</v>
      </c>
      <c r="AI420" s="200">
        <v>0</v>
      </c>
      <c r="AJ420" s="200">
        <v>0</v>
      </c>
      <c r="AL420" s="197">
        <f t="shared" si="58"/>
        <v>93399.000395276846</v>
      </c>
      <c r="AM420" s="197" t="str">
        <f t="shared" si="59"/>
        <v>Box Medium 6</v>
      </c>
      <c r="AN420" s="3">
        <f t="shared" si="60"/>
        <v>26.544803252122929</v>
      </c>
      <c r="AO420" s="3">
        <f t="shared" si="61"/>
        <v>10.246141189736665</v>
      </c>
      <c r="AP420" s="3">
        <f t="shared" si="62"/>
        <v>0</v>
      </c>
      <c r="AQ420" s="3">
        <f t="shared" si="54"/>
        <v>0</v>
      </c>
      <c r="AR420" s="3">
        <f t="shared" si="55"/>
        <v>10.246141189736665</v>
      </c>
      <c r="AS420" s="81">
        <f t="shared" si="56"/>
        <v>1</v>
      </c>
      <c r="AT420" s="81">
        <f t="shared" si="57"/>
        <v>0</v>
      </c>
    </row>
    <row r="421" spans="1:47" x14ac:dyDescent="0.25">
      <c r="A421" t="s">
        <v>808</v>
      </c>
      <c r="B421">
        <v>2025</v>
      </c>
      <c r="C421" t="s">
        <v>680</v>
      </c>
      <c r="D421" t="s">
        <v>810</v>
      </c>
      <c r="E421" t="s">
        <v>1028</v>
      </c>
      <c r="F421">
        <v>6</v>
      </c>
      <c r="G421" t="s">
        <v>2156</v>
      </c>
      <c r="H421" s="460">
        <v>5738.5463161551306</v>
      </c>
      <c r="I421">
        <v>2600</v>
      </c>
      <c r="J421">
        <v>119.99999997072871</v>
      </c>
      <c r="K421" s="67">
        <v>179.733</v>
      </c>
      <c r="L421" s="159">
        <v>0</v>
      </c>
      <c r="M421" s="159">
        <v>11020</v>
      </c>
      <c r="N421" s="159">
        <v>220</v>
      </c>
      <c r="O421" s="159">
        <v>0</v>
      </c>
      <c r="P421" s="159">
        <v>3221</v>
      </c>
      <c r="Q421" s="159">
        <v>1500</v>
      </c>
      <c r="R421" s="159">
        <v>2000</v>
      </c>
      <c r="S421" s="159">
        <v>41176</v>
      </c>
      <c r="T421" s="159">
        <v>3163</v>
      </c>
      <c r="U421" s="159">
        <v>50325</v>
      </c>
      <c r="V421" s="159">
        <v>4500</v>
      </c>
      <c r="W421" s="159">
        <v>186</v>
      </c>
      <c r="X421" s="159">
        <v>0</v>
      </c>
      <c r="Y421" s="159">
        <v>1500</v>
      </c>
      <c r="Z421" s="159">
        <v>5505</v>
      </c>
      <c r="AA421" s="159">
        <v>0</v>
      </c>
      <c r="AB421" s="159">
        <v>0</v>
      </c>
      <c r="AC421" s="159">
        <v>0</v>
      </c>
      <c r="AD421" s="207">
        <v>124316</v>
      </c>
      <c r="AE421" s="200">
        <v>12.472412588473592</v>
      </c>
      <c r="AF421" s="200">
        <v>10.708602232844193</v>
      </c>
      <c r="AG421" s="200">
        <v>9.9500150807949179</v>
      </c>
      <c r="AH421" s="200">
        <v>1097</v>
      </c>
      <c r="AI421" s="200">
        <v>1264</v>
      </c>
      <c r="AJ421" s="200">
        <v>1594</v>
      </c>
      <c r="AL421" s="197">
        <f t="shared" si="58"/>
        <v>142511.60042638434</v>
      </c>
      <c r="AM421" s="197" t="str">
        <f t="shared" si="59"/>
        <v>Box Medium 6</v>
      </c>
      <c r="AN421" s="3">
        <f t="shared" si="60"/>
        <v>4.6499834759259357</v>
      </c>
      <c r="AO421" s="3">
        <f t="shared" si="61"/>
        <v>1.7948668434929624</v>
      </c>
      <c r="AP421" s="3">
        <f t="shared" si="62"/>
        <v>76.525780754843595</v>
      </c>
      <c r="AQ421" s="3">
        <f t="shared" si="54"/>
        <v>2.7549281071743694</v>
      </c>
      <c r="AR421" s="3">
        <f t="shared" si="55"/>
        <v>4.5497949506673319</v>
      </c>
      <c r="AS421" s="81">
        <f t="shared" si="56"/>
        <v>0.39449400752218605</v>
      </c>
      <c r="AT421" s="81">
        <f t="shared" si="57"/>
        <v>0.605505992477814</v>
      </c>
    </row>
    <row r="422" spans="1:47" x14ac:dyDescent="0.25">
      <c r="A422" t="s">
        <v>808</v>
      </c>
      <c r="B422">
        <v>2025</v>
      </c>
      <c r="C422" t="s">
        <v>680</v>
      </c>
      <c r="D422" t="s">
        <v>810</v>
      </c>
      <c r="E422" t="s">
        <v>1028</v>
      </c>
      <c r="F422">
        <v>6</v>
      </c>
      <c r="G422" t="s">
        <v>2157</v>
      </c>
      <c r="H422" s="460">
        <v>5661.4589896843081</v>
      </c>
      <c r="I422">
        <v>2600</v>
      </c>
      <c r="J422">
        <v>119.99999997072871</v>
      </c>
      <c r="K422" s="67">
        <v>179.733</v>
      </c>
      <c r="L422" s="159">
        <v>0</v>
      </c>
      <c r="M422" s="159">
        <v>8036</v>
      </c>
      <c r="N422" s="159">
        <v>220</v>
      </c>
      <c r="O422" s="159">
        <v>0</v>
      </c>
      <c r="P422" s="159">
        <v>3221</v>
      </c>
      <c r="Q422" s="159">
        <v>1500</v>
      </c>
      <c r="R422" s="159">
        <v>2000</v>
      </c>
      <c r="S422" s="159">
        <v>41176</v>
      </c>
      <c r="T422" s="159">
        <v>3163</v>
      </c>
      <c r="U422" s="159">
        <v>50325</v>
      </c>
      <c r="V422" s="159">
        <v>4500</v>
      </c>
      <c r="W422" s="159">
        <v>186</v>
      </c>
      <c r="X422" s="159">
        <v>0</v>
      </c>
      <c r="Y422" s="159">
        <v>1500</v>
      </c>
      <c r="Z422" s="159">
        <v>5505</v>
      </c>
      <c r="AA422" s="159">
        <v>0</v>
      </c>
      <c r="AB422" s="159">
        <v>0</v>
      </c>
      <c r="AC422" s="159">
        <v>0</v>
      </c>
      <c r="AD422" s="207">
        <v>121332</v>
      </c>
      <c r="AE422" s="200">
        <v>9.6628446680277005</v>
      </c>
      <c r="AF422" s="200">
        <v>8.321914320572203</v>
      </c>
      <c r="AG422" s="200">
        <v>7.9356496736321258</v>
      </c>
      <c r="AH422" s="200">
        <v>1093</v>
      </c>
      <c r="AI422" s="200">
        <v>1261</v>
      </c>
      <c r="AJ422" s="200">
        <v>1591</v>
      </c>
      <c r="AL422" s="197">
        <f t="shared" si="58"/>
        <v>139090.845128013</v>
      </c>
      <c r="AM422" s="197" t="str">
        <f t="shared" si="59"/>
        <v>Box Medium 6</v>
      </c>
      <c r="AN422" s="3">
        <f t="shared" si="60"/>
        <v>5.8503174160331772</v>
      </c>
      <c r="AO422" s="3">
        <f t="shared" si="61"/>
        <v>2.2581888319197594</v>
      </c>
      <c r="AP422" s="3">
        <f t="shared" si="62"/>
        <v>76.374165807101051</v>
      </c>
      <c r="AQ422" s="3">
        <f t="shared" si="54"/>
        <v>2.7494699690556375</v>
      </c>
      <c r="AR422" s="3">
        <f t="shared" si="55"/>
        <v>5.0076588009753973</v>
      </c>
      <c r="AS422" s="81">
        <f t="shared" si="56"/>
        <v>0.45094702368298473</v>
      </c>
      <c r="AT422" s="81">
        <f t="shared" si="57"/>
        <v>0.54905297631701522</v>
      </c>
    </row>
    <row r="423" spans="1:47" x14ac:dyDescent="0.25">
      <c r="A423" t="s">
        <v>230</v>
      </c>
      <c r="B423">
        <v>2025</v>
      </c>
      <c r="C423" t="s">
        <v>680</v>
      </c>
      <c r="D423" t="s">
        <v>810</v>
      </c>
      <c r="E423" t="s">
        <v>1028</v>
      </c>
      <c r="F423">
        <v>6</v>
      </c>
      <c r="G423" t="s">
        <v>2158</v>
      </c>
      <c r="H423" s="460">
        <v>5513.2030033595138</v>
      </c>
      <c r="I423">
        <v>2600</v>
      </c>
      <c r="J423">
        <v>150.00000001001371</v>
      </c>
      <c r="K423" s="67">
        <v>222.307875</v>
      </c>
      <c r="L423" s="159">
        <v>0</v>
      </c>
      <c r="M423" s="159">
        <v>0</v>
      </c>
      <c r="N423" s="159">
        <v>0</v>
      </c>
      <c r="O423" s="159">
        <v>0</v>
      </c>
      <c r="P423" s="159">
        <v>2784</v>
      </c>
      <c r="Q423" s="159">
        <v>1500</v>
      </c>
      <c r="R423" s="159">
        <v>2000</v>
      </c>
      <c r="S423" s="159">
        <v>41176</v>
      </c>
      <c r="T423" s="159">
        <v>0</v>
      </c>
      <c r="U423" s="159">
        <v>62246</v>
      </c>
      <c r="V423" s="159">
        <v>4500</v>
      </c>
      <c r="W423" s="159">
        <v>186</v>
      </c>
      <c r="X423" s="159">
        <v>0</v>
      </c>
      <c r="Y423" s="159">
        <v>1500</v>
      </c>
      <c r="Z423" s="159">
        <v>4602</v>
      </c>
      <c r="AA423" s="159">
        <v>0</v>
      </c>
      <c r="AB423" s="159">
        <v>0</v>
      </c>
      <c r="AC423" s="159">
        <v>0</v>
      </c>
      <c r="AD423" s="207">
        <v>120494</v>
      </c>
      <c r="AE423" s="200">
        <v>0</v>
      </c>
      <c r="AF423" s="200">
        <v>0</v>
      </c>
      <c r="AG423" s="200">
        <v>0</v>
      </c>
      <c r="AH423" s="200">
        <v>1059</v>
      </c>
      <c r="AI423" s="200">
        <v>1213</v>
      </c>
      <c r="AJ423" s="200">
        <v>1523</v>
      </c>
      <c r="AL423" s="197">
        <f t="shared" si="58"/>
        <v>138130.19065749182</v>
      </c>
      <c r="AM423" s="197" t="str">
        <f t="shared" si="59"/>
        <v>Box Medium 6</v>
      </c>
      <c r="AN423" s="3">
        <f t="shared" si="60"/>
        <v>0</v>
      </c>
      <c r="AO423" s="3">
        <f t="shared" si="61"/>
        <v>0</v>
      </c>
      <c r="AP423" s="3">
        <f t="shared" si="62"/>
        <v>91.45985310748506</v>
      </c>
      <c r="AQ423" s="3">
        <f t="shared" si="54"/>
        <v>3.2925547118694625</v>
      </c>
      <c r="AR423" s="3">
        <f t="shared" si="55"/>
        <v>3.2925547118694625</v>
      </c>
      <c r="AS423" s="81">
        <f t="shared" si="56"/>
        <v>0</v>
      </c>
      <c r="AT423" s="81">
        <f t="shared" si="57"/>
        <v>1</v>
      </c>
      <c r="AU423" s="56"/>
    </row>
    <row r="424" spans="1:47" x14ac:dyDescent="0.25">
      <c r="A424" t="s">
        <v>496</v>
      </c>
      <c r="B424">
        <v>2025</v>
      </c>
      <c r="C424" t="s">
        <v>680</v>
      </c>
      <c r="D424" t="s">
        <v>810</v>
      </c>
      <c r="E424" t="s">
        <v>1028</v>
      </c>
      <c r="F424">
        <v>6</v>
      </c>
      <c r="G424" t="s">
        <v>2159</v>
      </c>
      <c r="H424" s="460">
        <v>4582.2694318165295</v>
      </c>
      <c r="I424">
        <v>2600</v>
      </c>
      <c r="J424">
        <v>150.00000001001371</v>
      </c>
      <c r="K424" s="67">
        <v>4.4352000000000009</v>
      </c>
      <c r="L424" s="159">
        <v>0</v>
      </c>
      <c r="M424" s="159">
        <v>0</v>
      </c>
      <c r="N424" s="159">
        <v>0</v>
      </c>
      <c r="O424" s="159">
        <v>0</v>
      </c>
      <c r="P424" s="159">
        <v>2925</v>
      </c>
      <c r="Q424" s="159">
        <v>1500</v>
      </c>
      <c r="R424" s="159">
        <v>2000</v>
      </c>
      <c r="S424" s="159">
        <v>41176</v>
      </c>
      <c r="T424" s="159">
        <v>0</v>
      </c>
      <c r="U424" s="159">
        <v>2095</v>
      </c>
      <c r="V424" s="159">
        <v>4500</v>
      </c>
      <c r="W424" s="159">
        <v>186</v>
      </c>
      <c r="X424" s="159">
        <v>0</v>
      </c>
      <c r="Y424" s="159">
        <v>1500</v>
      </c>
      <c r="Z424" s="159">
        <v>4893</v>
      </c>
      <c r="AA424" s="159">
        <v>17908</v>
      </c>
      <c r="AB424" s="159">
        <v>9733</v>
      </c>
      <c r="AC424" s="159">
        <v>0</v>
      </c>
      <c r="AD424" s="207">
        <v>88416</v>
      </c>
      <c r="AE424" s="200">
        <v>20.705684510125451</v>
      </c>
      <c r="AF424" s="200">
        <v>17.74598931996843</v>
      </c>
      <c r="AG424" s="200">
        <v>13.59621094071343</v>
      </c>
      <c r="AH424" s="200">
        <v>0</v>
      </c>
      <c r="AI424" s="200">
        <v>0</v>
      </c>
      <c r="AJ424" s="200">
        <v>0</v>
      </c>
      <c r="AL424" s="197">
        <f t="shared" si="58"/>
        <v>101357.07119999998</v>
      </c>
      <c r="AM424" s="197" t="str">
        <f t="shared" si="59"/>
        <v>Box Medium 6</v>
      </c>
      <c r="AN424" s="3">
        <f t="shared" si="60"/>
        <v>16.638948443196419</v>
      </c>
      <c r="AO424" s="3">
        <f t="shared" si="61"/>
        <v>6.4225382790925378</v>
      </c>
      <c r="AP424" s="3">
        <f t="shared" si="62"/>
        <v>0</v>
      </c>
      <c r="AQ424" s="3">
        <f t="shared" si="54"/>
        <v>0</v>
      </c>
      <c r="AR424" s="3">
        <f t="shared" si="55"/>
        <v>6.4225382790925378</v>
      </c>
      <c r="AS424" s="81">
        <f t="shared" si="56"/>
        <v>1</v>
      </c>
      <c r="AT424" s="81">
        <f t="shared" si="57"/>
        <v>0</v>
      </c>
    </row>
    <row r="425" spans="1:47" x14ac:dyDescent="0.25">
      <c r="A425" t="s">
        <v>828</v>
      </c>
      <c r="B425">
        <v>2025</v>
      </c>
      <c r="C425" t="s">
        <v>680</v>
      </c>
      <c r="D425" t="s">
        <v>810</v>
      </c>
      <c r="E425" t="s">
        <v>1028</v>
      </c>
      <c r="F425">
        <v>6</v>
      </c>
      <c r="G425" t="s">
        <v>2160</v>
      </c>
      <c r="H425" s="460">
        <v>4708.102763850844</v>
      </c>
      <c r="I425">
        <v>2600</v>
      </c>
      <c r="J425">
        <v>150.00000001001371</v>
      </c>
      <c r="K425" s="67">
        <v>38.478749999999998</v>
      </c>
      <c r="L425" s="159">
        <v>0</v>
      </c>
      <c r="M425" s="159">
        <v>0</v>
      </c>
      <c r="N425" s="159">
        <v>0</v>
      </c>
      <c r="O425" s="159">
        <v>0</v>
      </c>
      <c r="P425" s="159">
        <v>3403</v>
      </c>
      <c r="Q425" s="159">
        <v>1500</v>
      </c>
      <c r="R425" s="159">
        <v>2000</v>
      </c>
      <c r="S425" s="159">
        <v>41176</v>
      </c>
      <c r="T425" s="159">
        <v>0</v>
      </c>
      <c r="U425" s="159">
        <v>10774</v>
      </c>
      <c r="V425" s="159">
        <v>4500</v>
      </c>
      <c r="W425" s="159">
        <v>186</v>
      </c>
      <c r="X425" s="159">
        <v>0</v>
      </c>
      <c r="Y425" s="159">
        <v>1500</v>
      </c>
      <c r="Z425" s="159">
        <v>5880</v>
      </c>
      <c r="AA425" s="159">
        <v>10514</v>
      </c>
      <c r="AB425" s="159">
        <v>7525</v>
      </c>
      <c r="AC425" s="159">
        <v>0</v>
      </c>
      <c r="AD425" s="207">
        <v>88958</v>
      </c>
      <c r="AE425" s="200">
        <v>20.476521543073719</v>
      </c>
      <c r="AF425" s="200">
        <v>16.812309565618097</v>
      </c>
      <c r="AG425" s="200">
        <v>14.278089316747844</v>
      </c>
      <c r="AH425" s="200">
        <v>0</v>
      </c>
      <c r="AI425" s="200">
        <v>0</v>
      </c>
      <c r="AJ425" s="200">
        <v>295.7730597653067</v>
      </c>
      <c r="AL425" s="197">
        <f t="shared" si="58"/>
        <v>101978.40141840388</v>
      </c>
      <c r="AM425" s="197" t="str">
        <f t="shared" si="59"/>
        <v>Box Medium 6</v>
      </c>
      <c r="AN425" s="3">
        <f t="shared" si="60"/>
        <v>16.001023666397405</v>
      </c>
      <c r="AO425" s="3">
        <f t="shared" si="61"/>
        <v>6.1763029889141787</v>
      </c>
      <c r="AP425" s="3">
        <f t="shared" si="62"/>
        <v>15.805537139334371</v>
      </c>
      <c r="AQ425" s="3">
        <f t="shared" si="54"/>
        <v>0.56899933701603733</v>
      </c>
      <c r="AR425" s="3">
        <f t="shared" si="55"/>
        <v>6.7453023259302158</v>
      </c>
      <c r="AS425" s="81">
        <f t="shared" si="56"/>
        <v>0.91564509498281554</v>
      </c>
      <c r="AT425" s="81">
        <f t="shared" si="57"/>
        <v>8.4354905017184539E-2</v>
      </c>
    </row>
    <row r="426" spans="1:47" x14ac:dyDescent="0.25">
      <c r="A426" t="s">
        <v>805</v>
      </c>
      <c r="B426">
        <v>2030</v>
      </c>
      <c r="C426" t="s">
        <v>680</v>
      </c>
      <c r="D426" t="s">
        <v>810</v>
      </c>
      <c r="E426" t="s">
        <v>1028</v>
      </c>
      <c r="F426">
        <v>6</v>
      </c>
      <c r="G426" t="s">
        <v>2161</v>
      </c>
      <c r="H426" s="460">
        <v>4515.7164083039652</v>
      </c>
      <c r="I426">
        <v>2600</v>
      </c>
      <c r="J426">
        <v>0</v>
      </c>
      <c r="K426" s="67">
        <v>0</v>
      </c>
      <c r="L426" s="159">
        <v>150</v>
      </c>
      <c r="M426" s="159">
        <v>16016</v>
      </c>
      <c r="N426" s="159">
        <v>1920</v>
      </c>
      <c r="O426" s="159">
        <v>506</v>
      </c>
      <c r="P426" s="159">
        <v>4511</v>
      </c>
      <c r="Q426" s="159">
        <v>1500</v>
      </c>
      <c r="R426" s="159">
        <v>2000</v>
      </c>
      <c r="S426" s="159">
        <v>41373</v>
      </c>
      <c r="T426" s="159">
        <v>73</v>
      </c>
      <c r="U426" s="159">
        <v>120</v>
      </c>
      <c r="V426" s="159">
        <v>0</v>
      </c>
      <c r="W426" s="159">
        <v>186</v>
      </c>
      <c r="X426" s="159">
        <v>0</v>
      </c>
      <c r="Y426" s="159">
        <v>0</v>
      </c>
      <c r="Z426" s="159">
        <v>0</v>
      </c>
      <c r="AA426" s="159">
        <v>0</v>
      </c>
      <c r="AB426" s="159">
        <v>0</v>
      </c>
      <c r="AC426" s="159">
        <v>0</v>
      </c>
      <c r="AD426" s="207">
        <v>68355</v>
      </c>
      <c r="AE426" s="200">
        <v>11.988329562613291</v>
      </c>
      <c r="AF426" s="200">
        <v>15.838214039172525</v>
      </c>
      <c r="AG426" s="200">
        <v>12.366527345333051</v>
      </c>
      <c r="AH426" s="200">
        <v>0</v>
      </c>
      <c r="AI426" s="200">
        <v>0</v>
      </c>
      <c r="AJ426" s="200">
        <v>0</v>
      </c>
      <c r="AL426" s="197">
        <f t="shared" si="58"/>
        <v>78359.828559039059</v>
      </c>
      <c r="AM426" s="197" t="str">
        <f t="shared" si="59"/>
        <v>Box Medium 6</v>
      </c>
      <c r="AN426" s="3">
        <f t="shared" si="60"/>
        <v>18.675079429770616</v>
      </c>
      <c r="AO426" s="3">
        <f t="shared" si="61"/>
        <v>7.2084731142873899</v>
      </c>
      <c r="AP426" s="3">
        <f t="shared" si="62"/>
        <v>0</v>
      </c>
      <c r="AQ426" s="3">
        <f t="shared" si="54"/>
        <v>0</v>
      </c>
      <c r="AR426" s="3">
        <f t="shared" si="55"/>
        <v>7.2084731142873899</v>
      </c>
      <c r="AS426" s="81">
        <f t="shared" si="56"/>
        <v>1</v>
      </c>
      <c r="AT426" s="81">
        <f t="shared" si="57"/>
        <v>0</v>
      </c>
    </row>
    <row r="427" spans="1:47" x14ac:dyDescent="0.25">
      <c r="A427" t="s">
        <v>805</v>
      </c>
      <c r="B427">
        <v>2030</v>
      </c>
      <c r="C427" t="s">
        <v>680</v>
      </c>
      <c r="D427" t="s">
        <v>810</v>
      </c>
      <c r="E427" t="s">
        <v>1028</v>
      </c>
      <c r="F427">
        <v>6</v>
      </c>
      <c r="G427" t="s">
        <v>2162</v>
      </c>
      <c r="H427" s="460">
        <v>4314.1980305391062</v>
      </c>
      <c r="I427">
        <v>2600</v>
      </c>
      <c r="J427">
        <v>0</v>
      </c>
      <c r="K427" s="67">
        <v>0</v>
      </c>
      <c r="L427" s="159">
        <v>150</v>
      </c>
      <c r="M427" s="159">
        <v>16861</v>
      </c>
      <c r="N427" s="159">
        <v>1920</v>
      </c>
      <c r="O427" s="159">
        <v>506</v>
      </c>
      <c r="P427" s="159">
        <v>3056</v>
      </c>
      <c r="Q427" s="159">
        <v>1500</v>
      </c>
      <c r="R427" s="159">
        <v>2000</v>
      </c>
      <c r="S427" s="159">
        <v>41373</v>
      </c>
      <c r="T427" s="159">
        <v>73</v>
      </c>
      <c r="U427" s="159">
        <v>120</v>
      </c>
      <c r="V427" s="159">
        <v>0</v>
      </c>
      <c r="W427" s="159">
        <v>186</v>
      </c>
      <c r="X427" s="159">
        <v>0</v>
      </c>
      <c r="Y427" s="159">
        <v>0</v>
      </c>
      <c r="Z427" s="159">
        <v>0</v>
      </c>
      <c r="AA427" s="159">
        <v>0</v>
      </c>
      <c r="AB427" s="159">
        <v>0</v>
      </c>
      <c r="AC427" s="159">
        <v>0</v>
      </c>
      <c r="AD427" s="207">
        <v>67745</v>
      </c>
      <c r="AE427" s="200">
        <v>9.3187549115186439</v>
      </c>
      <c r="AF427" s="200">
        <v>12.875764556766887</v>
      </c>
      <c r="AG427" s="200">
        <v>10.066561620219424</v>
      </c>
      <c r="AH427" s="200">
        <v>0</v>
      </c>
      <c r="AI427" s="200">
        <v>0</v>
      </c>
      <c r="AJ427" s="200">
        <v>0</v>
      </c>
      <c r="AL427" s="197">
        <f t="shared" si="58"/>
        <v>77660.545471905512</v>
      </c>
      <c r="AM427" s="197" t="str">
        <f t="shared" si="59"/>
        <v>Box Medium 6</v>
      </c>
      <c r="AN427" s="3">
        <f t="shared" si="60"/>
        <v>23.000923215280135</v>
      </c>
      <c r="AO427" s="3">
        <f t="shared" si="61"/>
        <v>8.8782239039275694</v>
      </c>
      <c r="AP427" s="3">
        <f t="shared" si="62"/>
        <v>0</v>
      </c>
      <c r="AQ427" s="3">
        <f t="shared" si="54"/>
        <v>0</v>
      </c>
      <c r="AR427" s="3">
        <f t="shared" si="55"/>
        <v>8.8782239039275694</v>
      </c>
      <c r="AS427" s="81">
        <f t="shared" si="56"/>
        <v>1</v>
      </c>
      <c r="AT427" s="81">
        <f t="shared" si="57"/>
        <v>0</v>
      </c>
    </row>
    <row r="428" spans="1:47" x14ac:dyDescent="0.25">
      <c r="A428" t="s">
        <v>807</v>
      </c>
      <c r="B428">
        <v>2030</v>
      </c>
      <c r="C428" t="s">
        <v>680</v>
      </c>
      <c r="D428" t="s">
        <v>810</v>
      </c>
      <c r="E428" t="s">
        <v>1028</v>
      </c>
      <c r="F428">
        <v>6</v>
      </c>
      <c r="G428" t="s">
        <v>2163</v>
      </c>
      <c r="H428" s="460">
        <v>4584.2831943792444</v>
      </c>
      <c r="I428">
        <v>2600</v>
      </c>
      <c r="J428">
        <v>0</v>
      </c>
      <c r="K428" s="67">
        <v>2.9462400000000004</v>
      </c>
      <c r="L428" s="159">
        <v>150</v>
      </c>
      <c r="M428" s="159">
        <v>15883</v>
      </c>
      <c r="N428" s="159">
        <v>220</v>
      </c>
      <c r="O428" s="159">
        <v>392</v>
      </c>
      <c r="P428" s="159">
        <v>4472</v>
      </c>
      <c r="Q428" s="159">
        <v>1500</v>
      </c>
      <c r="R428" s="159">
        <v>2000</v>
      </c>
      <c r="S428" s="159">
        <v>41373</v>
      </c>
      <c r="T428" s="159">
        <v>0</v>
      </c>
      <c r="U428" s="159">
        <v>1058</v>
      </c>
      <c r="V428" s="159">
        <v>4500</v>
      </c>
      <c r="W428" s="159">
        <v>186</v>
      </c>
      <c r="X428" s="159">
        <v>120</v>
      </c>
      <c r="Y428" s="159">
        <v>1500</v>
      </c>
      <c r="Z428" s="159">
        <v>2731</v>
      </c>
      <c r="AA428" s="159">
        <v>0</v>
      </c>
      <c r="AB428" s="159">
        <v>0</v>
      </c>
      <c r="AC428" s="159">
        <v>0</v>
      </c>
      <c r="AD428" s="207">
        <v>76085</v>
      </c>
      <c r="AE428" s="200">
        <v>13.506411677720097</v>
      </c>
      <c r="AF428" s="200">
        <v>14.723528587598329</v>
      </c>
      <c r="AG428" s="200">
        <v>11.754605170973669</v>
      </c>
      <c r="AH428" s="200">
        <v>0</v>
      </c>
      <c r="AI428" s="200">
        <v>0</v>
      </c>
      <c r="AJ428" s="200">
        <v>0</v>
      </c>
      <c r="AL428" s="197">
        <f t="shared" si="58"/>
        <v>87221.235548452736</v>
      </c>
      <c r="AM428" s="197" t="str">
        <f t="shared" si="59"/>
        <v>Box Medium 6</v>
      </c>
      <c r="AN428" s="3">
        <f t="shared" si="60"/>
        <v>19.517544998011019</v>
      </c>
      <c r="AO428" s="3">
        <f t="shared" si="61"/>
        <v>7.5336599720574711</v>
      </c>
      <c r="AP428" s="3">
        <f t="shared" si="62"/>
        <v>0</v>
      </c>
      <c r="AQ428" s="3">
        <f t="shared" si="54"/>
        <v>0</v>
      </c>
      <c r="AR428" s="3">
        <f t="shared" si="55"/>
        <v>7.5336599720574711</v>
      </c>
      <c r="AS428" s="81">
        <f t="shared" si="56"/>
        <v>1</v>
      </c>
      <c r="AT428" s="81">
        <f t="shared" si="57"/>
        <v>0</v>
      </c>
    </row>
    <row r="429" spans="1:47" x14ac:dyDescent="0.25">
      <c r="A429" t="s">
        <v>807</v>
      </c>
      <c r="B429">
        <v>2030</v>
      </c>
      <c r="C429" t="s">
        <v>680</v>
      </c>
      <c r="D429" t="s">
        <v>810</v>
      </c>
      <c r="E429" t="s">
        <v>1028</v>
      </c>
      <c r="F429">
        <v>6</v>
      </c>
      <c r="G429" t="s">
        <v>2164</v>
      </c>
      <c r="H429" s="460">
        <v>4409.6082768880988</v>
      </c>
      <c r="I429">
        <v>2600</v>
      </c>
      <c r="J429">
        <v>0</v>
      </c>
      <c r="K429" s="67">
        <v>4.134240000000001</v>
      </c>
      <c r="L429" s="159">
        <v>150</v>
      </c>
      <c r="M429" s="159">
        <v>21109</v>
      </c>
      <c r="N429" s="159">
        <v>220</v>
      </c>
      <c r="O429" s="159">
        <v>392</v>
      </c>
      <c r="P429" s="159">
        <v>3306</v>
      </c>
      <c r="Q429" s="159">
        <v>1500</v>
      </c>
      <c r="R429" s="159">
        <v>2000</v>
      </c>
      <c r="S429" s="159">
        <v>41373</v>
      </c>
      <c r="T429" s="159">
        <v>0</v>
      </c>
      <c r="U429" s="159">
        <v>1484</v>
      </c>
      <c r="V429" s="159">
        <v>4500</v>
      </c>
      <c r="W429" s="159">
        <v>186</v>
      </c>
      <c r="X429" s="159">
        <v>120</v>
      </c>
      <c r="Y429" s="159">
        <v>1500</v>
      </c>
      <c r="Z429" s="159">
        <v>2730</v>
      </c>
      <c r="AA429" s="159">
        <v>0</v>
      </c>
      <c r="AB429" s="159">
        <v>0</v>
      </c>
      <c r="AC429" s="159">
        <v>0</v>
      </c>
      <c r="AD429" s="207">
        <v>80570</v>
      </c>
      <c r="AE429" s="200">
        <v>11.187943510963805</v>
      </c>
      <c r="AF429" s="200">
        <v>11.046714238247501</v>
      </c>
      <c r="AG429" s="200">
        <v>9.9295039648130192</v>
      </c>
      <c r="AH429" s="200">
        <v>0</v>
      </c>
      <c r="AI429" s="200">
        <v>0</v>
      </c>
      <c r="AJ429" s="200">
        <v>0</v>
      </c>
      <c r="AL429" s="197">
        <f t="shared" si="58"/>
        <v>92362.685787459253</v>
      </c>
      <c r="AM429" s="197" t="str">
        <f t="shared" si="59"/>
        <v>Box Medium 6</v>
      </c>
      <c r="AN429" s="3">
        <f t="shared" si="60"/>
        <v>23.339663761583008</v>
      </c>
      <c r="AO429" s="3">
        <f t="shared" si="61"/>
        <v>9.008975804069463</v>
      </c>
      <c r="AP429" s="3">
        <f t="shared" si="62"/>
        <v>0</v>
      </c>
      <c r="AQ429" s="3">
        <f t="shared" si="54"/>
        <v>0</v>
      </c>
      <c r="AR429" s="3">
        <f t="shared" si="55"/>
        <v>9.008975804069463</v>
      </c>
      <c r="AS429" s="81">
        <f t="shared" si="56"/>
        <v>1</v>
      </c>
      <c r="AT429" s="81">
        <f t="shared" si="57"/>
        <v>0</v>
      </c>
    </row>
    <row r="430" spans="1:47" x14ac:dyDescent="0.25">
      <c r="A430" t="s">
        <v>808</v>
      </c>
      <c r="B430">
        <v>2030</v>
      </c>
      <c r="C430" t="s">
        <v>680</v>
      </c>
      <c r="D430" t="s">
        <v>810</v>
      </c>
      <c r="E430" t="s">
        <v>1028</v>
      </c>
      <c r="F430">
        <v>6</v>
      </c>
      <c r="G430" t="s">
        <v>2165</v>
      </c>
      <c r="H430" s="460">
        <v>5404.0324248751713</v>
      </c>
      <c r="I430">
        <v>2600</v>
      </c>
      <c r="J430">
        <v>119.99999997072871</v>
      </c>
      <c r="K430" s="67">
        <v>166.82400000000001</v>
      </c>
      <c r="L430" s="159">
        <v>0</v>
      </c>
      <c r="M430" s="159">
        <v>10999</v>
      </c>
      <c r="N430" s="159">
        <v>220</v>
      </c>
      <c r="O430" s="159">
        <v>0</v>
      </c>
      <c r="P430" s="159">
        <v>3198</v>
      </c>
      <c r="Q430" s="159">
        <v>1500</v>
      </c>
      <c r="R430" s="159">
        <v>2000</v>
      </c>
      <c r="S430" s="159">
        <v>41373</v>
      </c>
      <c r="T430" s="159">
        <v>2352</v>
      </c>
      <c r="U430" s="159">
        <v>33365</v>
      </c>
      <c r="V430" s="159">
        <v>4500</v>
      </c>
      <c r="W430" s="159">
        <v>186</v>
      </c>
      <c r="X430" s="159">
        <v>0</v>
      </c>
      <c r="Y430" s="159">
        <v>1500</v>
      </c>
      <c r="Z430" s="159">
        <v>4310</v>
      </c>
      <c r="AA430" s="159">
        <v>0</v>
      </c>
      <c r="AB430" s="159">
        <v>0</v>
      </c>
      <c r="AC430" s="159">
        <v>0</v>
      </c>
      <c r="AD430" s="207">
        <v>105503</v>
      </c>
      <c r="AE430" s="200">
        <v>13.935126653337518</v>
      </c>
      <c r="AF430" s="200">
        <v>12.097356368975312</v>
      </c>
      <c r="AG430" s="200">
        <v>11.120841104422402</v>
      </c>
      <c r="AH430" s="200">
        <v>1024</v>
      </c>
      <c r="AI430" s="200">
        <v>1166</v>
      </c>
      <c r="AJ430" s="200">
        <v>1472</v>
      </c>
      <c r="AL430" s="197">
        <f t="shared" si="58"/>
        <v>120945.02219975567</v>
      </c>
      <c r="AM430" s="197" t="str">
        <f t="shared" si="59"/>
        <v>Box Medium 6</v>
      </c>
      <c r="AN430" s="3">
        <f t="shared" si="60"/>
        <v>4.1567205082018148</v>
      </c>
      <c r="AO430" s="3">
        <f t="shared" si="61"/>
        <v>1.6044701785425199</v>
      </c>
      <c r="AP430" s="3">
        <f t="shared" si="62"/>
        <v>70.690345110417937</v>
      </c>
      <c r="AQ430" s="3">
        <f t="shared" si="54"/>
        <v>2.5448524239750459</v>
      </c>
      <c r="AR430" s="3">
        <f t="shared" si="55"/>
        <v>4.1493226025175662</v>
      </c>
      <c r="AS430" s="81">
        <f t="shared" si="56"/>
        <v>0.38668243765115329</v>
      </c>
      <c r="AT430" s="81">
        <f t="shared" si="57"/>
        <v>0.6133175623488466</v>
      </c>
    </row>
    <row r="431" spans="1:47" x14ac:dyDescent="0.25">
      <c r="A431" t="s">
        <v>808</v>
      </c>
      <c r="B431">
        <v>2030</v>
      </c>
      <c r="C431" t="s">
        <v>680</v>
      </c>
      <c r="D431" t="s">
        <v>810</v>
      </c>
      <c r="E431" t="s">
        <v>1028</v>
      </c>
      <c r="F431">
        <v>6</v>
      </c>
      <c r="G431" t="s">
        <v>2166</v>
      </c>
      <c r="H431" s="460">
        <v>5332.552345753611</v>
      </c>
      <c r="I431">
        <v>2600</v>
      </c>
      <c r="J431">
        <v>119.99999997072871</v>
      </c>
      <c r="K431" s="67">
        <v>166.82400000000001</v>
      </c>
      <c r="L431" s="159">
        <v>0</v>
      </c>
      <c r="M431" s="159">
        <v>8180</v>
      </c>
      <c r="N431" s="159">
        <v>220</v>
      </c>
      <c r="O431" s="159">
        <v>0</v>
      </c>
      <c r="P431" s="159">
        <v>3198</v>
      </c>
      <c r="Q431" s="159">
        <v>1500</v>
      </c>
      <c r="R431" s="159">
        <v>2000</v>
      </c>
      <c r="S431" s="159">
        <v>41373</v>
      </c>
      <c r="T431" s="159">
        <v>2352</v>
      </c>
      <c r="U431" s="159">
        <v>33365</v>
      </c>
      <c r="V431" s="159">
        <v>4500</v>
      </c>
      <c r="W431" s="159">
        <v>186</v>
      </c>
      <c r="X431" s="159">
        <v>0</v>
      </c>
      <c r="Y431" s="159">
        <v>1500</v>
      </c>
      <c r="Z431" s="159">
        <v>4310</v>
      </c>
      <c r="AA431" s="159">
        <v>0</v>
      </c>
      <c r="AB431" s="159">
        <v>0</v>
      </c>
      <c r="AC431" s="159">
        <v>0</v>
      </c>
      <c r="AD431" s="207">
        <v>102684</v>
      </c>
      <c r="AE431" s="200">
        <v>10.902517573866616</v>
      </c>
      <c r="AF431" s="200">
        <v>9.4994280337394699</v>
      </c>
      <c r="AG431" s="200">
        <v>8.9398679168681898</v>
      </c>
      <c r="AH431" s="200">
        <v>1020</v>
      </c>
      <c r="AI431" s="200">
        <v>1163</v>
      </c>
      <c r="AJ431" s="200">
        <v>1469</v>
      </c>
      <c r="AL431" s="197">
        <f t="shared" si="58"/>
        <v>117713.41724462538</v>
      </c>
      <c r="AM431" s="197" t="str">
        <f t="shared" si="59"/>
        <v>Box Medium 6</v>
      </c>
      <c r="AN431" s="3">
        <f t="shared" si="60"/>
        <v>5.1868998601579781</v>
      </c>
      <c r="AO431" s="3">
        <f t="shared" si="61"/>
        <v>2.0021134758252037</v>
      </c>
      <c r="AP431" s="3">
        <f t="shared" si="62"/>
        <v>70.538730162675378</v>
      </c>
      <c r="AQ431" s="3">
        <f t="shared" ref="AQ431:AQ494" si="63">AP431*3.6/100</f>
        <v>2.5393942858563134</v>
      </c>
      <c r="AR431" s="3">
        <f t="shared" ref="AR431:AR494" si="64">AO431+AQ431</f>
        <v>4.5415077616815172</v>
      </c>
      <c r="AS431" s="81">
        <f t="shared" ref="AS431:AS494" si="65">AO431/AR431</f>
        <v>0.44084774944519983</v>
      </c>
      <c r="AT431" s="81">
        <f t="shared" ref="AT431:AT494" si="66">AQ431/AR431</f>
        <v>0.55915225055480022</v>
      </c>
    </row>
    <row r="432" spans="1:47" x14ac:dyDescent="0.25">
      <c r="A432" t="s">
        <v>230</v>
      </c>
      <c r="B432">
        <v>2030</v>
      </c>
      <c r="C432" t="s">
        <v>680</v>
      </c>
      <c r="D432" t="s">
        <v>810</v>
      </c>
      <c r="E432" t="s">
        <v>1028</v>
      </c>
      <c r="F432">
        <v>6</v>
      </c>
      <c r="G432" t="s">
        <v>2167</v>
      </c>
      <c r="H432" s="460">
        <v>5151.6797139214286</v>
      </c>
      <c r="I432">
        <v>2600</v>
      </c>
      <c r="J432">
        <v>150.00000001001371</v>
      </c>
      <c r="K432" s="67">
        <v>206.668125</v>
      </c>
      <c r="L432" s="159">
        <v>0</v>
      </c>
      <c r="M432" s="159">
        <v>0</v>
      </c>
      <c r="N432" s="159">
        <v>0</v>
      </c>
      <c r="O432" s="159">
        <v>0</v>
      </c>
      <c r="P432" s="159">
        <v>2726</v>
      </c>
      <c r="Q432" s="159">
        <v>1500</v>
      </c>
      <c r="R432" s="159">
        <v>2000</v>
      </c>
      <c r="S432" s="159">
        <v>41373</v>
      </c>
      <c r="T432" s="159">
        <v>0</v>
      </c>
      <c r="U432" s="159">
        <v>41334</v>
      </c>
      <c r="V432" s="159">
        <v>4500</v>
      </c>
      <c r="W432" s="159">
        <v>186</v>
      </c>
      <c r="X432" s="159">
        <v>0</v>
      </c>
      <c r="Y432" s="159">
        <v>1500</v>
      </c>
      <c r="Z432" s="159">
        <v>3535</v>
      </c>
      <c r="AA432" s="159">
        <v>0</v>
      </c>
      <c r="AB432" s="159">
        <v>0</v>
      </c>
      <c r="AC432" s="159">
        <v>0</v>
      </c>
      <c r="AD432" s="207">
        <v>98654</v>
      </c>
      <c r="AE432" s="200">
        <v>0</v>
      </c>
      <c r="AF432" s="200">
        <v>0</v>
      </c>
      <c r="AG432" s="200">
        <v>0</v>
      </c>
      <c r="AH432" s="200">
        <v>986</v>
      </c>
      <c r="AI432" s="200">
        <v>1115</v>
      </c>
      <c r="AJ432" s="200">
        <v>1396</v>
      </c>
      <c r="AL432" s="197">
        <f t="shared" si="58"/>
        <v>113093.56340667749</v>
      </c>
      <c r="AM432" s="197" t="str">
        <f t="shared" si="59"/>
        <v>Box Medium 6</v>
      </c>
      <c r="AN432" s="3">
        <f t="shared" si="60"/>
        <v>0</v>
      </c>
      <c r="AO432" s="3">
        <f t="shared" si="61"/>
        <v>0</v>
      </c>
      <c r="AP432" s="3">
        <f t="shared" si="62"/>
        <v>83.898368275193562</v>
      </c>
      <c r="AQ432" s="3">
        <f t="shared" si="63"/>
        <v>3.0203412579069679</v>
      </c>
      <c r="AR432" s="3">
        <f t="shared" si="64"/>
        <v>3.0203412579069679</v>
      </c>
      <c r="AS432" s="81">
        <f t="shared" si="65"/>
        <v>0</v>
      </c>
      <c r="AT432" s="81">
        <f t="shared" si="66"/>
        <v>1</v>
      </c>
    </row>
    <row r="433" spans="1:46" x14ac:dyDescent="0.25">
      <c r="A433" t="s">
        <v>496</v>
      </c>
      <c r="B433">
        <v>2030</v>
      </c>
      <c r="C433" t="s">
        <v>680</v>
      </c>
      <c r="D433" t="s">
        <v>810</v>
      </c>
      <c r="E433" t="s">
        <v>1028</v>
      </c>
      <c r="F433">
        <v>6</v>
      </c>
      <c r="G433" t="s">
        <v>2168</v>
      </c>
      <c r="H433" s="460">
        <v>4430.795997399855</v>
      </c>
      <c r="I433">
        <v>2600</v>
      </c>
      <c r="J433">
        <v>150.00000001001371</v>
      </c>
      <c r="K433" s="67">
        <v>4.4352000000000009</v>
      </c>
      <c r="L433" s="159">
        <v>0</v>
      </c>
      <c r="M433" s="159">
        <v>0</v>
      </c>
      <c r="N433" s="159">
        <v>0</v>
      </c>
      <c r="O433" s="159">
        <v>0</v>
      </c>
      <c r="P433" s="159">
        <v>2902</v>
      </c>
      <c r="Q433" s="159">
        <v>1500</v>
      </c>
      <c r="R433" s="159">
        <v>2000</v>
      </c>
      <c r="S433" s="159">
        <v>41373</v>
      </c>
      <c r="T433" s="159">
        <v>0</v>
      </c>
      <c r="U433" s="159">
        <v>1593</v>
      </c>
      <c r="V433" s="159">
        <v>4500</v>
      </c>
      <c r="W433" s="159">
        <v>186</v>
      </c>
      <c r="X433" s="159">
        <v>0</v>
      </c>
      <c r="Y433" s="159">
        <v>1500</v>
      </c>
      <c r="Z433" s="159">
        <v>3823</v>
      </c>
      <c r="AA433" s="159">
        <v>15407</v>
      </c>
      <c r="AB433" s="159">
        <v>7800</v>
      </c>
      <c r="AC433" s="159">
        <v>0</v>
      </c>
      <c r="AD433" s="207">
        <v>82584</v>
      </c>
      <c r="AE433" s="200">
        <v>22.330791623722309</v>
      </c>
      <c r="AF433" s="200">
        <v>19.612675030688006</v>
      </c>
      <c r="AG433" s="200">
        <v>15.108775655359894</v>
      </c>
      <c r="AH433" s="200">
        <v>0</v>
      </c>
      <c r="AI433" s="200">
        <v>0</v>
      </c>
      <c r="AJ433" s="200">
        <v>0</v>
      </c>
      <c r="AL433" s="197">
        <f t="shared" si="58"/>
        <v>94671.466340716579</v>
      </c>
      <c r="AM433" s="197" t="str">
        <f t="shared" si="59"/>
        <v>Box Medium 6</v>
      </c>
      <c r="AN433" s="3">
        <f t="shared" si="60"/>
        <v>14.994609118707864</v>
      </c>
      <c r="AO433" s="3">
        <f t="shared" si="61"/>
        <v>5.78783276922222</v>
      </c>
      <c r="AP433" s="3">
        <f t="shared" si="62"/>
        <v>0</v>
      </c>
      <c r="AQ433" s="3">
        <f t="shared" si="63"/>
        <v>0</v>
      </c>
      <c r="AR433" s="3">
        <f t="shared" si="64"/>
        <v>5.78783276922222</v>
      </c>
      <c r="AS433" s="81">
        <f t="shared" si="65"/>
        <v>1</v>
      </c>
      <c r="AT433" s="81">
        <f t="shared" si="66"/>
        <v>0</v>
      </c>
    </row>
    <row r="434" spans="1:46" x14ac:dyDescent="0.25">
      <c r="A434" t="s">
        <v>828</v>
      </c>
      <c r="B434">
        <v>2030</v>
      </c>
      <c r="C434" t="s">
        <v>680</v>
      </c>
      <c r="D434" t="s">
        <v>810</v>
      </c>
      <c r="E434" t="s">
        <v>1028</v>
      </c>
      <c r="F434">
        <v>6</v>
      </c>
      <c r="G434" t="s">
        <v>2169</v>
      </c>
      <c r="H434" s="460">
        <v>4526.2226482778278</v>
      </c>
      <c r="I434">
        <v>2600</v>
      </c>
      <c r="J434">
        <v>150.00000001001371</v>
      </c>
      <c r="K434" s="67">
        <v>38.975250000000003</v>
      </c>
      <c r="L434" s="159">
        <v>0</v>
      </c>
      <c r="M434" s="159">
        <v>0</v>
      </c>
      <c r="N434" s="159">
        <v>0</v>
      </c>
      <c r="O434" s="159">
        <v>0</v>
      </c>
      <c r="P434" s="159">
        <v>3369</v>
      </c>
      <c r="Q434" s="159">
        <v>1500</v>
      </c>
      <c r="R434" s="159">
        <v>2000</v>
      </c>
      <c r="S434" s="159">
        <v>41373</v>
      </c>
      <c r="T434" s="159">
        <v>0</v>
      </c>
      <c r="U434" s="159">
        <v>7795</v>
      </c>
      <c r="V434" s="159">
        <v>4500</v>
      </c>
      <c r="W434" s="159">
        <v>186</v>
      </c>
      <c r="X434" s="159">
        <v>0</v>
      </c>
      <c r="Y434" s="159">
        <v>1500</v>
      </c>
      <c r="Z434" s="159">
        <v>4590</v>
      </c>
      <c r="AA434" s="159">
        <v>8536</v>
      </c>
      <c r="AB434" s="159">
        <v>5905</v>
      </c>
      <c r="AC434" s="159">
        <v>0</v>
      </c>
      <c r="AD434" s="207">
        <v>81254</v>
      </c>
      <c r="AE434" s="200">
        <v>22.13808860885338</v>
      </c>
      <c r="AF434" s="200">
        <v>18.499054492470332</v>
      </c>
      <c r="AG434" s="200">
        <v>15.651776032465373</v>
      </c>
      <c r="AH434" s="200">
        <v>0</v>
      </c>
      <c r="AI434" s="200">
        <v>0</v>
      </c>
      <c r="AJ434" s="200">
        <v>254.74704980986184</v>
      </c>
      <c r="AL434" s="197">
        <f t="shared" si="58"/>
        <v>93146.799937622127</v>
      </c>
      <c r="AM434" s="197" t="str">
        <f t="shared" si="59"/>
        <v>Box Medium 6</v>
      </c>
      <c r="AN434" s="3">
        <f t="shared" si="60"/>
        <v>14.599686158991986</v>
      </c>
      <c r="AO434" s="3">
        <f t="shared" si="61"/>
        <v>5.6353947810448553</v>
      </c>
      <c r="AP434" s="3">
        <f t="shared" si="62"/>
        <v>13.613186948468391</v>
      </c>
      <c r="AQ434" s="3">
        <f t="shared" si="63"/>
        <v>0.49007473014486208</v>
      </c>
      <c r="AR434" s="3">
        <f t="shared" si="64"/>
        <v>6.1254695111897171</v>
      </c>
      <c r="AS434" s="81">
        <f t="shared" si="65"/>
        <v>0.9199939320162126</v>
      </c>
      <c r="AT434" s="81">
        <f t="shared" si="66"/>
        <v>8.0006067983787496E-2</v>
      </c>
    </row>
    <row r="435" spans="1:46" x14ac:dyDescent="0.25">
      <c r="A435" t="s">
        <v>805</v>
      </c>
      <c r="B435">
        <v>2035</v>
      </c>
      <c r="C435" t="s">
        <v>680</v>
      </c>
      <c r="D435" t="s">
        <v>810</v>
      </c>
      <c r="E435" t="s">
        <v>1028</v>
      </c>
      <c r="F435">
        <v>6</v>
      </c>
      <c r="G435" t="s">
        <v>2170</v>
      </c>
      <c r="H435" s="460">
        <v>4507.7024248551788</v>
      </c>
      <c r="I435">
        <v>2600</v>
      </c>
      <c r="J435">
        <v>0</v>
      </c>
      <c r="K435" s="67">
        <v>0</v>
      </c>
      <c r="L435" s="159">
        <v>150</v>
      </c>
      <c r="M435" s="159">
        <v>15718</v>
      </c>
      <c r="N435" s="159">
        <v>1920</v>
      </c>
      <c r="O435" s="159">
        <v>506</v>
      </c>
      <c r="P435" s="159">
        <v>4440</v>
      </c>
      <c r="Q435" s="159">
        <v>1500</v>
      </c>
      <c r="R435" s="159">
        <v>2000</v>
      </c>
      <c r="S435" s="159">
        <v>41373</v>
      </c>
      <c r="T435" s="159">
        <v>63</v>
      </c>
      <c r="U435" s="159">
        <v>120</v>
      </c>
      <c r="V435" s="159">
        <v>0</v>
      </c>
      <c r="W435" s="159">
        <v>186</v>
      </c>
      <c r="X435" s="159">
        <v>0</v>
      </c>
      <c r="Y435" s="159">
        <v>0</v>
      </c>
      <c r="Z435" s="159">
        <v>0</v>
      </c>
      <c r="AA435" s="159">
        <v>0</v>
      </c>
      <c r="AB435" s="159">
        <v>0</v>
      </c>
      <c r="AC435" s="159">
        <v>0</v>
      </c>
      <c r="AD435" s="207">
        <v>67976</v>
      </c>
      <c r="AE435" s="200">
        <v>12.547132512412823</v>
      </c>
      <c r="AF435" s="200">
        <v>17.385159407192788</v>
      </c>
      <c r="AG435" s="200">
        <v>13.710099977441706</v>
      </c>
      <c r="AH435" s="200">
        <v>0</v>
      </c>
      <c r="AI435" s="200">
        <v>0</v>
      </c>
      <c r="AJ435" s="200">
        <v>0</v>
      </c>
      <c r="AL435" s="197">
        <f t="shared" si="58"/>
        <v>77925.355952442973</v>
      </c>
      <c r="AM435" s="197" t="str">
        <f t="shared" si="59"/>
        <v>Box Medium 6</v>
      </c>
      <c r="AN435" s="3">
        <f t="shared" si="60"/>
        <v>16.909445987938128</v>
      </c>
      <c r="AO435" s="3">
        <f t="shared" si="61"/>
        <v>6.5269487736279981</v>
      </c>
      <c r="AP435" s="3">
        <f t="shared" si="62"/>
        <v>0</v>
      </c>
      <c r="AQ435" s="3">
        <f t="shared" si="63"/>
        <v>0</v>
      </c>
      <c r="AR435" s="3">
        <f t="shared" si="64"/>
        <v>6.5269487736279981</v>
      </c>
      <c r="AS435" s="81">
        <f t="shared" si="65"/>
        <v>1</v>
      </c>
      <c r="AT435" s="81">
        <f t="shared" si="66"/>
        <v>0</v>
      </c>
    </row>
    <row r="436" spans="1:46" x14ac:dyDescent="0.25">
      <c r="A436" t="s">
        <v>805</v>
      </c>
      <c r="B436">
        <v>2035</v>
      </c>
      <c r="C436" t="s">
        <v>680</v>
      </c>
      <c r="D436" t="s">
        <v>810</v>
      </c>
      <c r="E436" t="s">
        <v>1028</v>
      </c>
      <c r="F436">
        <v>6</v>
      </c>
      <c r="G436" t="s">
        <v>2171</v>
      </c>
      <c r="H436" s="460">
        <v>4309.4088030904877</v>
      </c>
      <c r="I436">
        <v>2600</v>
      </c>
      <c r="J436">
        <v>0</v>
      </c>
      <c r="K436" s="67">
        <v>0</v>
      </c>
      <c r="L436" s="159">
        <v>150</v>
      </c>
      <c r="M436" s="159">
        <v>16057</v>
      </c>
      <c r="N436" s="159">
        <v>1920</v>
      </c>
      <c r="O436" s="159">
        <v>506</v>
      </c>
      <c r="P436" s="159">
        <v>2986</v>
      </c>
      <c r="Q436" s="159">
        <v>1500</v>
      </c>
      <c r="R436" s="159">
        <v>2000</v>
      </c>
      <c r="S436" s="159">
        <v>41373</v>
      </c>
      <c r="T436" s="159">
        <v>63</v>
      </c>
      <c r="U436" s="159">
        <v>120</v>
      </c>
      <c r="V436" s="159">
        <v>0</v>
      </c>
      <c r="W436" s="159">
        <v>186</v>
      </c>
      <c r="X436" s="159">
        <v>0</v>
      </c>
      <c r="Y436" s="159">
        <v>0</v>
      </c>
      <c r="Z436" s="159">
        <v>0</v>
      </c>
      <c r="AA436" s="159">
        <v>0</v>
      </c>
      <c r="AB436" s="159">
        <v>0</v>
      </c>
      <c r="AC436" s="159">
        <v>0</v>
      </c>
      <c r="AD436" s="207">
        <v>66861</v>
      </c>
      <c r="AE436" s="200">
        <v>10.013381999015817</v>
      </c>
      <c r="AF436" s="200">
        <v>14.435007323824763</v>
      </c>
      <c r="AG436" s="200">
        <v>11.36208799545139</v>
      </c>
      <c r="AH436" s="200">
        <v>0</v>
      </c>
      <c r="AI436" s="200">
        <v>0</v>
      </c>
      <c r="AJ436" s="200">
        <v>0</v>
      </c>
      <c r="AL436" s="197">
        <f t="shared" si="58"/>
        <v>76647.15817842017</v>
      </c>
      <c r="AM436" s="197" t="str">
        <f t="shared" si="59"/>
        <v>Box Medium 6</v>
      </c>
      <c r="AN436" s="3">
        <f t="shared" si="60"/>
        <v>20.444539209599725</v>
      </c>
      <c r="AO436" s="3">
        <f t="shared" si="61"/>
        <v>7.8914743993784544</v>
      </c>
      <c r="AP436" s="3">
        <f t="shared" si="62"/>
        <v>0</v>
      </c>
      <c r="AQ436" s="3">
        <f t="shared" si="63"/>
        <v>0</v>
      </c>
      <c r="AR436" s="3">
        <f t="shared" si="64"/>
        <v>7.8914743993784544</v>
      </c>
      <c r="AS436" s="81">
        <f t="shared" si="65"/>
        <v>1</v>
      </c>
      <c r="AT436" s="81">
        <f t="shared" si="66"/>
        <v>0</v>
      </c>
    </row>
    <row r="437" spans="1:46" x14ac:dyDescent="0.25">
      <c r="A437" t="s">
        <v>807</v>
      </c>
      <c r="B437">
        <v>2035</v>
      </c>
      <c r="C437" t="s">
        <v>680</v>
      </c>
      <c r="D437" t="s">
        <v>810</v>
      </c>
      <c r="E437" t="s">
        <v>1028</v>
      </c>
      <c r="F437">
        <v>6</v>
      </c>
      <c r="G437" t="s">
        <v>2172</v>
      </c>
      <c r="H437" s="460">
        <v>4578.3728159600496</v>
      </c>
      <c r="I437">
        <v>2600</v>
      </c>
      <c r="J437">
        <v>0</v>
      </c>
      <c r="K437" s="67">
        <v>3.0412800000000004</v>
      </c>
      <c r="L437" s="159">
        <v>150</v>
      </c>
      <c r="M437" s="159">
        <v>15648</v>
      </c>
      <c r="N437" s="159">
        <v>220</v>
      </c>
      <c r="O437" s="159">
        <v>392</v>
      </c>
      <c r="P437" s="159">
        <v>4420</v>
      </c>
      <c r="Q437" s="159">
        <v>1500</v>
      </c>
      <c r="R437" s="159">
        <v>2000</v>
      </c>
      <c r="S437" s="159">
        <v>41373</v>
      </c>
      <c r="T437" s="159">
        <v>0</v>
      </c>
      <c r="U437" s="159">
        <v>1035</v>
      </c>
      <c r="V437" s="159">
        <v>4500</v>
      </c>
      <c r="W437" s="159">
        <v>186</v>
      </c>
      <c r="X437" s="159">
        <v>120</v>
      </c>
      <c r="Y437" s="159">
        <v>1500</v>
      </c>
      <c r="Z437" s="159">
        <v>2273</v>
      </c>
      <c r="AA437" s="159">
        <v>0</v>
      </c>
      <c r="AB437" s="159">
        <v>0</v>
      </c>
      <c r="AC437" s="159">
        <v>0</v>
      </c>
      <c r="AD437" s="207">
        <v>75317</v>
      </c>
      <c r="AE437" s="200">
        <v>14.602763379779171</v>
      </c>
      <c r="AF437" s="200">
        <v>16.2208804262889</v>
      </c>
      <c r="AG437" s="200">
        <v>12.994309437167576</v>
      </c>
      <c r="AH437" s="200">
        <v>0</v>
      </c>
      <c r="AI437" s="200">
        <v>0</v>
      </c>
      <c r="AJ437" s="200">
        <v>0</v>
      </c>
      <c r="AL437" s="197">
        <f t="shared" si="58"/>
        <v>86340.82667809444</v>
      </c>
      <c r="AM437" s="197" t="str">
        <f t="shared" si="59"/>
        <v>Box Medium 6</v>
      </c>
      <c r="AN437" s="3">
        <f t="shared" si="60"/>
        <v>17.677646462566713</v>
      </c>
      <c r="AO437" s="3">
        <f t="shared" si="61"/>
        <v>6.8234697329399765</v>
      </c>
      <c r="AP437" s="3">
        <f t="shared" si="62"/>
        <v>0</v>
      </c>
      <c r="AQ437" s="3">
        <f t="shared" si="63"/>
        <v>0</v>
      </c>
      <c r="AR437" s="3">
        <f t="shared" si="64"/>
        <v>6.8234697329399765</v>
      </c>
      <c r="AS437" s="81">
        <f t="shared" si="65"/>
        <v>1</v>
      </c>
      <c r="AT437" s="81">
        <f t="shared" si="66"/>
        <v>0</v>
      </c>
    </row>
    <row r="438" spans="1:46" x14ac:dyDescent="0.25">
      <c r="A438" t="s">
        <v>807</v>
      </c>
      <c r="B438">
        <v>2035</v>
      </c>
      <c r="C438" t="s">
        <v>680</v>
      </c>
      <c r="D438" t="s">
        <v>810</v>
      </c>
      <c r="E438" t="s">
        <v>1028</v>
      </c>
      <c r="F438">
        <v>6</v>
      </c>
      <c r="G438" t="s">
        <v>2173</v>
      </c>
      <c r="H438" s="460">
        <v>4401.1465151412431</v>
      </c>
      <c r="I438">
        <v>2600</v>
      </c>
      <c r="J438">
        <v>0</v>
      </c>
      <c r="K438" s="67">
        <v>3.1680000000000006</v>
      </c>
      <c r="L438" s="159">
        <v>150</v>
      </c>
      <c r="M438" s="159">
        <v>20826</v>
      </c>
      <c r="N438" s="159">
        <v>220</v>
      </c>
      <c r="O438" s="159">
        <v>392</v>
      </c>
      <c r="P438" s="159">
        <v>3267</v>
      </c>
      <c r="Q438" s="159">
        <v>1500</v>
      </c>
      <c r="R438" s="159">
        <v>2000</v>
      </c>
      <c r="S438" s="159">
        <v>41373</v>
      </c>
      <c r="T438" s="159">
        <v>0</v>
      </c>
      <c r="U438" s="159">
        <v>1078</v>
      </c>
      <c r="V438" s="159">
        <v>4500</v>
      </c>
      <c r="W438" s="159">
        <v>186</v>
      </c>
      <c r="X438" s="159">
        <v>120</v>
      </c>
      <c r="Y438" s="159">
        <v>1500</v>
      </c>
      <c r="Z438" s="159">
        <v>2264</v>
      </c>
      <c r="AA438" s="159">
        <v>0</v>
      </c>
      <c r="AB438" s="159">
        <v>0</v>
      </c>
      <c r="AC438" s="159">
        <v>0</v>
      </c>
      <c r="AD438" s="207">
        <v>79376</v>
      </c>
      <c r="AE438" s="200">
        <v>12.277268540824387</v>
      </c>
      <c r="AF438" s="200">
        <v>12.409723806312572</v>
      </c>
      <c r="AG438" s="200">
        <v>11.305987337331761</v>
      </c>
      <c r="AH438" s="200">
        <v>0</v>
      </c>
      <c r="AI438" s="200">
        <v>0</v>
      </c>
      <c r="AJ438" s="200">
        <v>0</v>
      </c>
      <c r="AL438" s="197">
        <f t="shared" si="58"/>
        <v>90993.925121824082</v>
      </c>
      <c r="AM438" s="197" t="str">
        <f t="shared" si="59"/>
        <v>Box Medium 6</v>
      </c>
      <c r="AN438" s="3">
        <f t="shared" si="60"/>
        <v>20.555645775636929</v>
      </c>
      <c r="AO438" s="3">
        <f t="shared" si="61"/>
        <v>7.9343608940309593</v>
      </c>
      <c r="AP438" s="3">
        <f t="shared" si="62"/>
        <v>0</v>
      </c>
      <c r="AQ438" s="3">
        <f t="shared" si="63"/>
        <v>0</v>
      </c>
      <c r="AR438" s="3">
        <f t="shared" si="64"/>
        <v>7.9343608940309593</v>
      </c>
      <c r="AS438" s="81">
        <f t="shared" si="65"/>
        <v>1</v>
      </c>
      <c r="AT438" s="81">
        <f t="shared" si="66"/>
        <v>0</v>
      </c>
    </row>
    <row r="439" spans="1:46" x14ac:dyDescent="0.25">
      <c r="A439" t="s">
        <v>808</v>
      </c>
      <c r="B439">
        <v>2035</v>
      </c>
      <c r="C439" t="s">
        <v>680</v>
      </c>
      <c r="D439" t="s">
        <v>810</v>
      </c>
      <c r="E439" t="s">
        <v>1028</v>
      </c>
      <c r="F439">
        <v>6</v>
      </c>
      <c r="G439" t="s">
        <v>2174</v>
      </c>
      <c r="H439" s="460">
        <v>5154.6941271946544</v>
      </c>
      <c r="I439">
        <v>2600</v>
      </c>
      <c r="J439">
        <v>119.99999997072871</v>
      </c>
      <c r="K439" s="67">
        <v>150.31537500000002</v>
      </c>
      <c r="L439" s="159">
        <v>0</v>
      </c>
      <c r="M439" s="159">
        <v>10641</v>
      </c>
      <c r="N439" s="159">
        <v>220</v>
      </c>
      <c r="O439" s="159">
        <v>0</v>
      </c>
      <c r="P439" s="159">
        <v>3175</v>
      </c>
      <c r="Q439" s="159">
        <v>1500</v>
      </c>
      <c r="R439" s="159">
        <v>2000</v>
      </c>
      <c r="S439" s="159">
        <v>41373</v>
      </c>
      <c r="T439" s="159">
        <v>1854</v>
      </c>
      <c r="U439" s="159">
        <v>24050</v>
      </c>
      <c r="V439" s="159">
        <v>4500</v>
      </c>
      <c r="W439" s="159">
        <v>186</v>
      </c>
      <c r="X439" s="159">
        <v>0</v>
      </c>
      <c r="Y439" s="159">
        <v>1500</v>
      </c>
      <c r="Z439" s="159">
        <v>3516</v>
      </c>
      <c r="AA439" s="159">
        <v>0</v>
      </c>
      <c r="AB439" s="159">
        <v>0</v>
      </c>
      <c r="AC439" s="159">
        <v>0</v>
      </c>
      <c r="AD439" s="207">
        <v>94515</v>
      </c>
      <c r="AE439" s="200">
        <v>15.447682885441948</v>
      </c>
      <c r="AF439" s="200">
        <v>13.612750226758845</v>
      </c>
      <c r="AG439" s="200">
        <v>12.457791248594051</v>
      </c>
      <c r="AH439" s="200">
        <v>950</v>
      </c>
      <c r="AI439" s="200">
        <v>1066</v>
      </c>
      <c r="AJ439" s="200">
        <v>1347</v>
      </c>
      <c r="AL439" s="197">
        <f t="shared" si="58"/>
        <v>108348.75570561887</v>
      </c>
      <c r="AM439" s="197" t="str">
        <f t="shared" si="59"/>
        <v>Box Medium 6</v>
      </c>
      <c r="AN439" s="3">
        <f t="shared" si="60"/>
        <v>3.7108141333060338</v>
      </c>
      <c r="AO439" s="3">
        <f t="shared" si="61"/>
        <v>1.4323528857077941</v>
      </c>
      <c r="AP439" s="3">
        <f t="shared" si="62"/>
        <v>64.715224874793392</v>
      </c>
      <c r="AQ439" s="3">
        <f t="shared" si="63"/>
        <v>2.3297480954925622</v>
      </c>
      <c r="AR439" s="3">
        <f t="shared" si="64"/>
        <v>3.7621009812003563</v>
      </c>
      <c r="AS439" s="81">
        <f t="shared" si="65"/>
        <v>0.38073217408714527</v>
      </c>
      <c r="AT439" s="81">
        <f t="shared" si="66"/>
        <v>0.61926782591285479</v>
      </c>
    </row>
    <row r="440" spans="1:46" x14ac:dyDescent="0.25">
      <c r="A440" t="s">
        <v>808</v>
      </c>
      <c r="B440">
        <v>2035</v>
      </c>
      <c r="C440" t="s">
        <v>680</v>
      </c>
      <c r="D440" t="s">
        <v>810</v>
      </c>
      <c r="E440" t="s">
        <v>1028</v>
      </c>
      <c r="F440">
        <v>6</v>
      </c>
      <c r="G440" t="s">
        <v>2175</v>
      </c>
      <c r="H440" s="460">
        <v>5089.5318713579627</v>
      </c>
      <c r="I440">
        <v>2600</v>
      </c>
      <c r="J440">
        <v>119.99999997072871</v>
      </c>
      <c r="K440" s="67">
        <v>150.31537500000002</v>
      </c>
      <c r="L440" s="159">
        <v>0</v>
      </c>
      <c r="M440" s="159">
        <v>8296</v>
      </c>
      <c r="N440" s="159">
        <v>220</v>
      </c>
      <c r="O440" s="159">
        <v>0</v>
      </c>
      <c r="P440" s="159">
        <v>3175</v>
      </c>
      <c r="Q440" s="159">
        <v>1500</v>
      </c>
      <c r="R440" s="159">
        <v>2000</v>
      </c>
      <c r="S440" s="159">
        <v>41373</v>
      </c>
      <c r="T440" s="159">
        <v>1854</v>
      </c>
      <c r="U440" s="159">
        <v>24050</v>
      </c>
      <c r="V440" s="159">
        <v>4500</v>
      </c>
      <c r="W440" s="159">
        <v>186</v>
      </c>
      <c r="X440" s="159">
        <v>0</v>
      </c>
      <c r="Y440" s="159">
        <v>1500</v>
      </c>
      <c r="Z440" s="159">
        <v>3516</v>
      </c>
      <c r="AA440" s="159">
        <v>0</v>
      </c>
      <c r="AB440" s="159">
        <v>0</v>
      </c>
      <c r="AC440" s="159">
        <v>0</v>
      </c>
      <c r="AD440" s="207">
        <v>92170</v>
      </c>
      <c r="AE440" s="200">
        <v>12.350091175194102</v>
      </c>
      <c r="AF440" s="200">
        <v>10.931709846998915</v>
      </c>
      <c r="AG440" s="200">
        <v>10.238688679851796</v>
      </c>
      <c r="AH440" s="200">
        <v>947</v>
      </c>
      <c r="AI440" s="200">
        <v>1064</v>
      </c>
      <c r="AJ440" s="200">
        <v>1345</v>
      </c>
      <c r="AL440" s="197">
        <f t="shared" si="58"/>
        <v>105660.52810016283</v>
      </c>
      <c r="AM440" s="197" t="str">
        <f t="shared" si="59"/>
        <v>Box Medium 6</v>
      </c>
      <c r="AN440" s="3">
        <f t="shared" si="60"/>
        <v>4.5291430591716439</v>
      </c>
      <c r="AO440" s="3">
        <f t="shared" si="61"/>
        <v>1.7482231385187288</v>
      </c>
      <c r="AP440" s="3">
        <f t="shared" si="62"/>
        <v>64.613319745982821</v>
      </c>
      <c r="AQ440" s="3">
        <f t="shared" si="63"/>
        <v>2.3260795108553816</v>
      </c>
      <c r="AR440" s="3">
        <f t="shared" si="64"/>
        <v>4.0743026493741104</v>
      </c>
      <c r="AS440" s="81">
        <f t="shared" si="65"/>
        <v>0.42908524205664711</v>
      </c>
      <c r="AT440" s="81">
        <f t="shared" si="66"/>
        <v>0.57091475794335289</v>
      </c>
    </row>
    <row r="441" spans="1:46" x14ac:dyDescent="0.25">
      <c r="A441" t="s">
        <v>230</v>
      </c>
      <c r="B441">
        <v>2035</v>
      </c>
      <c r="C441" t="s">
        <v>680</v>
      </c>
      <c r="D441" t="s">
        <v>810</v>
      </c>
      <c r="E441" t="s">
        <v>1028</v>
      </c>
      <c r="F441">
        <v>6</v>
      </c>
      <c r="G441" t="s">
        <v>2176</v>
      </c>
      <c r="H441" s="460">
        <v>4880.427414791533</v>
      </c>
      <c r="I441">
        <v>2600</v>
      </c>
      <c r="J441">
        <v>150.00000001001371</v>
      </c>
      <c r="K441" s="67">
        <v>187.67699999999999</v>
      </c>
      <c r="L441" s="159">
        <v>0</v>
      </c>
      <c r="M441" s="159">
        <v>0</v>
      </c>
      <c r="N441" s="159">
        <v>0</v>
      </c>
      <c r="O441" s="159">
        <v>0</v>
      </c>
      <c r="P441" s="159">
        <v>2726</v>
      </c>
      <c r="Q441" s="159">
        <v>1500</v>
      </c>
      <c r="R441" s="159">
        <v>2000</v>
      </c>
      <c r="S441" s="159">
        <v>41373</v>
      </c>
      <c r="T441" s="159">
        <v>0</v>
      </c>
      <c r="U441" s="159">
        <v>30028</v>
      </c>
      <c r="V441" s="159">
        <v>4500</v>
      </c>
      <c r="W441" s="159">
        <v>186</v>
      </c>
      <c r="X441" s="159">
        <v>0</v>
      </c>
      <c r="Y441" s="159">
        <v>1500</v>
      </c>
      <c r="Z441" s="159">
        <v>2912</v>
      </c>
      <c r="AA441" s="159">
        <v>0</v>
      </c>
      <c r="AB441" s="159">
        <v>0</v>
      </c>
      <c r="AC441" s="159">
        <v>0</v>
      </c>
      <c r="AD441" s="207">
        <v>86725</v>
      </c>
      <c r="AE441" s="200">
        <v>0</v>
      </c>
      <c r="AF441" s="200">
        <v>0</v>
      </c>
      <c r="AG441" s="200">
        <v>0</v>
      </c>
      <c r="AH441" s="200">
        <v>911</v>
      </c>
      <c r="AI441" s="200">
        <v>1016</v>
      </c>
      <c r="AJ441" s="200">
        <v>1266</v>
      </c>
      <c r="AL441" s="197">
        <f t="shared" si="58"/>
        <v>99418.56677320844</v>
      </c>
      <c r="AM441" s="197" t="str">
        <f t="shared" si="59"/>
        <v>Box Medium 6</v>
      </c>
      <c r="AN441" s="3">
        <f t="shared" si="60"/>
        <v>0</v>
      </c>
      <c r="AO441" s="3">
        <f t="shared" si="61"/>
        <v>0</v>
      </c>
      <c r="AP441" s="3">
        <f t="shared" si="62"/>
        <v>76.164763194850053</v>
      </c>
      <c r="AQ441" s="3">
        <f t="shared" si="63"/>
        <v>2.741931475014602</v>
      </c>
      <c r="AR441" s="3">
        <f t="shared" si="64"/>
        <v>2.741931475014602</v>
      </c>
      <c r="AS441" s="81">
        <f t="shared" si="65"/>
        <v>0</v>
      </c>
      <c r="AT441" s="81">
        <f t="shared" si="66"/>
        <v>1</v>
      </c>
    </row>
    <row r="442" spans="1:46" x14ac:dyDescent="0.25">
      <c r="A442" t="s">
        <v>496</v>
      </c>
      <c r="B442">
        <v>2035</v>
      </c>
      <c r="C442" t="s">
        <v>680</v>
      </c>
      <c r="D442" t="s">
        <v>810</v>
      </c>
      <c r="E442" t="s">
        <v>1028</v>
      </c>
      <c r="F442">
        <v>6</v>
      </c>
      <c r="G442" t="s">
        <v>2177</v>
      </c>
      <c r="H442" s="460">
        <v>4377.2304389951769</v>
      </c>
      <c r="I442">
        <v>2600</v>
      </c>
      <c r="J442">
        <v>150.00000001001371</v>
      </c>
      <c r="K442" s="67">
        <v>4.5619199999999998</v>
      </c>
      <c r="L442" s="159">
        <v>0</v>
      </c>
      <c r="M442" s="159">
        <v>0</v>
      </c>
      <c r="N442" s="159">
        <v>0</v>
      </c>
      <c r="O442" s="159">
        <v>0</v>
      </c>
      <c r="P442" s="159">
        <v>2884</v>
      </c>
      <c r="Q442" s="159">
        <v>1500</v>
      </c>
      <c r="R442" s="159">
        <v>2000</v>
      </c>
      <c r="S442" s="159">
        <v>41373</v>
      </c>
      <c r="T442" s="159">
        <v>0</v>
      </c>
      <c r="U442" s="159">
        <v>1552</v>
      </c>
      <c r="V442" s="159">
        <v>4500</v>
      </c>
      <c r="W442" s="159">
        <v>186</v>
      </c>
      <c r="X442" s="159">
        <v>0</v>
      </c>
      <c r="Y442" s="159">
        <v>1500</v>
      </c>
      <c r="Z442" s="159">
        <v>3124</v>
      </c>
      <c r="AA442" s="159">
        <v>13188</v>
      </c>
      <c r="AB442" s="159">
        <v>6163</v>
      </c>
      <c r="AC442" s="159">
        <v>0</v>
      </c>
      <c r="AD442" s="207">
        <v>77970</v>
      </c>
      <c r="AE442" s="200">
        <v>23.772817085323883</v>
      </c>
      <c r="AF442" s="200">
        <v>21.502734040865157</v>
      </c>
      <c r="AG442" s="200">
        <v>16.681605033051675</v>
      </c>
      <c r="AH442" s="200">
        <v>0</v>
      </c>
      <c r="AI442" s="200">
        <v>0</v>
      </c>
      <c r="AJ442" s="200">
        <v>0</v>
      </c>
      <c r="AL442" s="197">
        <f t="shared" si="58"/>
        <v>89382.134924267069</v>
      </c>
      <c r="AM442" s="197" t="str">
        <f t="shared" si="59"/>
        <v>Box Medium 6</v>
      </c>
      <c r="AN442" s="3">
        <f t="shared" si="60"/>
        <v>13.605442066804947</v>
      </c>
      <c r="AO442" s="3">
        <f t="shared" si="61"/>
        <v>5.2516222870899334</v>
      </c>
      <c r="AP442" s="3">
        <f t="shared" si="62"/>
        <v>0</v>
      </c>
      <c r="AQ442" s="3">
        <f t="shared" si="63"/>
        <v>0</v>
      </c>
      <c r="AR442" s="3">
        <f t="shared" si="64"/>
        <v>5.2516222870899334</v>
      </c>
      <c r="AS442" s="81">
        <f t="shared" si="65"/>
        <v>1</v>
      </c>
      <c r="AT442" s="81">
        <f t="shared" si="66"/>
        <v>0</v>
      </c>
    </row>
    <row r="443" spans="1:46" x14ac:dyDescent="0.25">
      <c r="A443" t="s">
        <v>828</v>
      </c>
      <c r="B443">
        <v>2035</v>
      </c>
      <c r="C443" t="s">
        <v>680</v>
      </c>
      <c r="D443" t="s">
        <v>810</v>
      </c>
      <c r="E443" t="s">
        <v>1028</v>
      </c>
      <c r="F443">
        <v>6</v>
      </c>
      <c r="G443" t="s">
        <v>2178</v>
      </c>
      <c r="H443" s="460">
        <v>4445.9224404622646</v>
      </c>
      <c r="I443">
        <v>2600</v>
      </c>
      <c r="J443">
        <v>150.00000001001371</v>
      </c>
      <c r="K443" s="67">
        <v>41.209499999999998</v>
      </c>
      <c r="L443" s="159">
        <v>0</v>
      </c>
      <c r="M443" s="159">
        <v>0</v>
      </c>
      <c r="N443" s="159">
        <v>0</v>
      </c>
      <c r="O443" s="159">
        <v>0</v>
      </c>
      <c r="P443" s="159">
        <v>3350</v>
      </c>
      <c r="Q443" s="159">
        <v>1500</v>
      </c>
      <c r="R443" s="159">
        <v>2000</v>
      </c>
      <c r="S443" s="159">
        <v>41373</v>
      </c>
      <c r="T443" s="159">
        <v>0</v>
      </c>
      <c r="U443" s="159">
        <v>6594</v>
      </c>
      <c r="V443" s="159">
        <v>4500</v>
      </c>
      <c r="W443" s="159">
        <v>186</v>
      </c>
      <c r="X443" s="159">
        <v>0</v>
      </c>
      <c r="Y443" s="159">
        <v>1500</v>
      </c>
      <c r="Z443" s="159">
        <v>3751</v>
      </c>
      <c r="AA443" s="159">
        <v>6809</v>
      </c>
      <c r="AB443" s="159">
        <v>4406</v>
      </c>
      <c r="AC443" s="159">
        <v>0</v>
      </c>
      <c r="AD443" s="207">
        <v>75969</v>
      </c>
      <c r="AE443" s="200">
        <v>23.64586507100881</v>
      </c>
      <c r="AF443" s="200">
        <v>20.182745845706862</v>
      </c>
      <c r="AG443" s="200">
        <v>17.079221065082393</v>
      </c>
      <c r="AH443" s="200">
        <v>0</v>
      </c>
      <c r="AI443" s="200">
        <v>0</v>
      </c>
      <c r="AJ443" s="200">
        <v>218.18533619708217</v>
      </c>
      <c r="AL443" s="197">
        <f t="shared" si="58"/>
        <v>87088.257125325705</v>
      </c>
      <c r="AM443" s="197" t="str">
        <f t="shared" si="59"/>
        <v>Box Medium 6</v>
      </c>
      <c r="AN443" s="3">
        <f t="shared" si="60"/>
        <v>13.390178953206711</v>
      </c>
      <c r="AO443" s="3">
        <f t="shared" si="61"/>
        <v>5.1685319648931216</v>
      </c>
      <c r="AP443" s="3">
        <f t="shared" si="62"/>
        <v>11.659400072668962</v>
      </c>
      <c r="AQ443" s="3">
        <f t="shared" si="63"/>
        <v>0.41973840261608264</v>
      </c>
      <c r="AR443" s="3">
        <f t="shared" si="64"/>
        <v>5.588270367509204</v>
      </c>
      <c r="AS443" s="81">
        <f t="shared" si="65"/>
        <v>0.9248893888426577</v>
      </c>
      <c r="AT443" s="81">
        <f t="shared" si="66"/>
        <v>7.5110611157342383E-2</v>
      </c>
    </row>
    <row r="444" spans="1:46" x14ac:dyDescent="0.25">
      <c r="A444" t="s">
        <v>805</v>
      </c>
      <c r="B444">
        <v>2050</v>
      </c>
      <c r="C444" t="s">
        <v>680</v>
      </c>
      <c r="D444" t="s">
        <v>810</v>
      </c>
      <c r="E444" t="s">
        <v>1028</v>
      </c>
      <c r="F444">
        <v>6</v>
      </c>
      <c r="G444" t="s">
        <v>2179</v>
      </c>
      <c r="H444" s="460">
        <v>4471.8339770858192</v>
      </c>
      <c r="I444">
        <v>2600</v>
      </c>
      <c r="J444">
        <v>0</v>
      </c>
      <c r="K444" s="67">
        <v>0</v>
      </c>
      <c r="L444" s="159">
        <v>150</v>
      </c>
      <c r="M444" s="159">
        <v>15409</v>
      </c>
      <c r="N444" s="159">
        <v>1920</v>
      </c>
      <c r="O444" s="159">
        <v>506</v>
      </c>
      <c r="P444" s="159">
        <v>4302</v>
      </c>
      <c r="Q444" s="159">
        <v>1500</v>
      </c>
      <c r="R444" s="159">
        <v>2000</v>
      </c>
      <c r="S444" s="159">
        <v>41482</v>
      </c>
      <c r="T444" s="159">
        <v>44</v>
      </c>
      <c r="U444" s="159">
        <v>120</v>
      </c>
      <c r="V444" s="159">
        <v>0</v>
      </c>
      <c r="W444" s="159">
        <v>186</v>
      </c>
      <c r="X444" s="159">
        <v>0</v>
      </c>
      <c r="Y444" s="159">
        <v>0</v>
      </c>
      <c r="Z444" s="159">
        <v>0</v>
      </c>
      <c r="AA444" s="159">
        <v>0</v>
      </c>
      <c r="AB444" s="159">
        <v>0</v>
      </c>
      <c r="AC444" s="159">
        <v>0</v>
      </c>
      <c r="AD444" s="207">
        <v>67619</v>
      </c>
      <c r="AE444" s="200">
        <v>13.47444599630168</v>
      </c>
      <c r="AF444" s="200">
        <v>19.410762648159423</v>
      </c>
      <c r="AG444" s="200">
        <v>15.392496743798542</v>
      </c>
      <c r="AH444" s="200">
        <v>0</v>
      </c>
      <c r="AI444" s="200">
        <v>0</v>
      </c>
      <c r="AJ444" s="200">
        <v>0</v>
      </c>
      <c r="AL444" s="197">
        <f t="shared" si="58"/>
        <v>77516.103391612356</v>
      </c>
      <c r="AM444" s="197" t="str">
        <f t="shared" si="59"/>
        <v>Box Medium 6</v>
      </c>
      <c r="AN444" s="3">
        <f t="shared" si="60"/>
        <v>15.105211160275783</v>
      </c>
      <c r="AO444" s="3">
        <f t="shared" si="61"/>
        <v>5.8305245203350253</v>
      </c>
      <c r="AP444" s="3">
        <f t="shared" si="62"/>
        <v>0</v>
      </c>
      <c r="AQ444" s="3">
        <f t="shared" si="63"/>
        <v>0</v>
      </c>
      <c r="AR444" s="3">
        <f t="shared" si="64"/>
        <v>5.8305245203350253</v>
      </c>
      <c r="AS444" s="81">
        <f t="shared" si="65"/>
        <v>1</v>
      </c>
      <c r="AT444" s="81">
        <f t="shared" si="66"/>
        <v>0</v>
      </c>
    </row>
    <row r="445" spans="1:46" x14ac:dyDescent="0.25">
      <c r="A445" t="s">
        <v>805</v>
      </c>
      <c r="B445">
        <v>2050</v>
      </c>
      <c r="C445" t="s">
        <v>680</v>
      </c>
      <c r="D445" t="s">
        <v>810</v>
      </c>
      <c r="E445" t="s">
        <v>1028</v>
      </c>
      <c r="F445">
        <v>6</v>
      </c>
      <c r="G445" t="s">
        <v>2180</v>
      </c>
      <c r="H445" s="460">
        <v>4286.8274156063853</v>
      </c>
      <c r="I445">
        <v>2600</v>
      </c>
      <c r="J445">
        <v>0</v>
      </c>
      <c r="K445" s="67">
        <v>0</v>
      </c>
      <c r="L445" s="159">
        <v>150</v>
      </c>
      <c r="M445" s="159">
        <v>16279</v>
      </c>
      <c r="N445" s="159">
        <v>1920</v>
      </c>
      <c r="O445" s="159">
        <v>506</v>
      </c>
      <c r="P445" s="159">
        <v>2976</v>
      </c>
      <c r="Q445" s="159">
        <v>1500</v>
      </c>
      <c r="R445" s="159">
        <v>2000</v>
      </c>
      <c r="S445" s="159">
        <v>41482</v>
      </c>
      <c r="T445" s="159">
        <v>44</v>
      </c>
      <c r="U445" s="159">
        <v>120</v>
      </c>
      <c r="V445" s="159">
        <v>0</v>
      </c>
      <c r="W445" s="159">
        <v>186</v>
      </c>
      <c r="X445" s="159">
        <v>0</v>
      </c>
      <c r="Y445" s="159">
        <v>0</v>
      </c>
      <c r="Z445" s="159">
        <v>0</v>
      </c>
      <c r="AA445" s="159">
        <v>0</v>
      </c>
      <c r="AB445" s="159">
        <v>0</v>
      </c>
      <c r="AC445" s="159">
        <v>0</v>
      </c>
      <c r="AD445" s="207">
        <v>67163</v>
      </c>
      <c r="AE445" s="200">
        <v>10.677502288912338</v>
      </c>
      <c r="AF445" s="200">
        <v>16.03312464853359</v>
      </c>
      <c r="AG445" s="200">
        <v>12.688471143081546</v>
      </c>
      <c r="AH445" s="200">
        <v>0</v>
      </c>
      <c r="AI445" s="200">
        <v>0</v>
      </c>
      <c r="AJ445" s="200">
        <v>0</v>
      </c>
      <c r="AL445" s="197">
        <f t="shared" si="58"/>
        <v>76993.360624837107</v>
      </c>
      <c r="AM445" s="197" t="str">
        <f t="shared" si="59"/>
        <v>Box Medium 6</v>
      </c>
      <c r="AN445" s="3">
        <f t="shared" si="60"/>
        <v>18.364228742583666</v>
      </c>
      <c r="AO445" s="3">
        <f t="shared" si="61"/>
        <v>7.0884865391527851</v>
      </c>
      <c r="AP445" s="3">
        <f t="shared" si="62"/>
        <v>0</v>
      </c>
      <c r="AQ445" s="3">
        <f t="shared" si="63"/>
        <v>0</v>
      </c>
      <c r="AR445" s="3">
        <f t="shared" si="64"/>
        <v>7.0884865391527851</v>
      </c>
      <c r="AS445" s="81">
        <f t="shared" si="65"/>
        <v>1</v>
      </c>
      <c r="AT445" s="81">
        <f t="shared" si="66"/>
        <v>0</v>
      </c>
    </row>
    <row r="446" spans="1:46" x14ac:dyDescent="0.25">
      <c r="A446" t="s">
        <v>807</v>
      </c>
      <c r="B446">
        <v>2050</v>
      </c>
      <c r="C446" t="s">
        <v>680</v>
      </c>
      <c r="D446" t="s">
        <v>810</v>
      </c>
      <c r="E446" t="s">
        <v>1028</v>
      </c>
      <c r="F446">
        <v>6</v>
      </c>
      <c r="G446" t="s">
        <v>2181</v>
      </c>
      <c r="H446" s="460">
        <v>4551.3512904341005</v>
      </c>
      <c r="I446">
        <v>2600</v>
      </c>
      <c r="J446">
        <v>0</v>
      </c>
      <c r="K446" s="67">
        <v>4.2134400000000003</v>
      </c>
      <c r="L446" s="159">
        <v>150</v>
      </c>
      <c r="M446" s="159">
        <v>15584</v>
      </c>
      <c r="N446" s="159">
        <v>220</v>
      </c>
      <c r="O446" s="159">
        <v>392</v>
      </c>
      <c r="P446" s="159">
        <v>4354</v>
      </c>
      <c r="Q446" s="159">
        <v>1500</v>
      </c>
      <c r="R446" s="159">
        <v>2000</v>
      </c>
      <c r="S446" s="159">
        <v>41482</v>
      </c>
      <c r="T446" s="159">
        <v>0</v>
      </c>
      <c r="U446" s="159">
        <v>1354</v>
      </c>
      <c r="V446" s="159">
        <v>4500</v>
      </c>
      <c r="W446" s="159">
        <v>186</v>
      </c>
      <c r="X446" s="159">
        <v>120</v>
      </c>
      <c r="Y446" s="159">
        <v>1500</v>
      </c>
      <c r="Z446" s="159">
        <v>1626</v>
      </c>
      <c r="AA446" s="159">
        <v>0</v>
      </c>
      <c r="AB446" s="159">
        <v>0</v>
      </c>
      <c r="AC446" s="159">
        <v>0</v>
      </c>
      <c r="AD446" s="207">
        <v>74968</v>
      </c>
      <c r="AE446" s="200">
        <v>16.952096579293588</v>
      </c>
      <c r="AF446" s="200">
        <v>17.66655280171959</v>
      </c>
      <c r="AG446" s="200">
        <v>14.34733674726222</v>
      </c>
      <c r="AH446" s="200">
        <v>0</v>
      </c>
      <c r="AI446" s="200">
        <v>0</v>
      </c>
      <c r="AJ446" s="200">
        <v>0</v>
      </c>
      <c r="AL446" s="197">
        <f t="shared" si="58"/>
        <v>85940.745042996714</v>
      </c>
      <c r="AM446" s="197" t="str">
        <f t="shared" si="59"/>
        <v>Box Medium 6</v>
      </c>
      <c r="AN446" s="3">
        <f t="shared" si="60"/>
        <v>15.991170071685103</v>
      </c>
      <c r="AO446" s="3">
        <f t="shared" si="61"/>
        <v>6.1724995580998767</v>
      </c>
      <c r="AP446" s="3">
        <f t="shared" si="62"/>
        <v>0</v>
      </c>
      <c r="AQ446" s="3">
        <f t="shared" si="63"/>
        <v>0</v>
      </c>
      <c r="AR446" s="3">
        <f t="shared" si="64"/>
        <v>6.1724995580998767</v>
      </c>
      <c r="AS446" s="81">
        <f t="shared" si="65"/>
        <v>1</v>
      </c>
      <c r="AT446" s="81">
        <f t="shared" si="66"/>
        <v>0</v>
      </c>
    </row>
    <row r="447" spans="1:46" x14ac:dyDescent="0.25">
      <c r="A447" t="s">
        <v>807</v>
      </c>
      <c r="B447">
        <v>2050</v>
      </c>
      <c r="C447" t="s">
        <v>680</v>
      </c>
      <c r="D447" t="s">
        <v>810</v>
      </c>
      <c r="E447" t="s">
        <v>1028</v>
      </c>
      <c r="F447">
        <v>6</v>
      </c>
      <c r="G447" t="s">
        <v>2182</v>
      </c>
      <c r="H447" s="460">
        <v>4373.9201682577077</v>
      </c>
      <c r="I447">
        <v>2600</v>
      </c>
      <c r="J447">
        <v>0</v>
      </c>
      <c r="K447" s="67">
        <v>3.3105600000000006</v>
      </c>
      <c r="L447" s="159">
        <v>150</v>
      </c>
      <c r="M447" s="159">
        <v>20396</v>
      </c>
      <c r="N447" s="159">
        <v>220</v>
      </c>
      <c r="O447" s="159">
        <v>392</v>
      </c>
      <c r="P447" s="159">
        <v>3219</v>
      </c>
      <c r="Q447" s="159">
        <v>1500</v>
      </c>
      <c r="R447" s="159">
        <v>2000</v>
      </c>
      <c r="S447" s="159">
        <v>41482</v>
      </c>
      <c r="T447" s="159">
        <v>0</v>
      </c>
      <c r="U447" s="159">
        <v>1064</v>
      </c>
      <c r="V447" s="159">
        <v>4500</v>
      </c>
      <c r="W447" s="159">
        <v>186</v>
      </c>
      <c r="X447" s="159">
        <v>120</v>
      </c>
      <c r="Y447" s="159">
        <v>1500</v>
      </c>
      <c r="Z447" s="159">
        <v>1623</v>
      </c>
      <c r="AA447" s="159">
        <v>0</v>
      </c>
      <c r="AB447" s="159">
        <v>0</v>
      </c>
      <c r="AC447" s="159">
        <v>0</v>
      </c>
      <c r="AD447" s="207">
        <v>78352</v>
      </c>
      <c r="AE447" s="200">
        <v>14.218972164130259</v>
      </c>
      <c r="AF447" s="200">
        <v>14.053105917905034</v>
      </c>
      <c r="AG447" s="200">
        <v>12.890567107478992</v>
      </c>
      <c r="AH447" s="200">
        <v>0</v>
      </c>
      <c r="AI447" s="200">
        <v>0</v>
      </c>
      <c r="AJ447" s="200">
        <v>0</v>
      </c>
      <c r="AL447" s="197">
        <f t="shared" si="58"/>
        <v>89820.046628013006</v>
      </c>
      <c r="AM447" s="197" t="str">
        <f t="shared" si="59"/>
        <v>Box Medium 6</v>
      </c>
      <c r="AN447" s="3">
        <f t="shared" si="60"/>
        <v>18.025983023430985</v>
      </c>
      <c r="AO447" s="3">
        <f t="shared" si="61"/>
        <v>6.9579256394412683</v>
      </c>
      <c r="AP447" s="3">
        <f t="shared" si="62"/>
        <v>0</v>
      </c>
      <c r="AQ447" s="3">
        <f t="shared" si="63"/>
        <v>0</v>
      </c>
      <c r="AR447" s="3">
        <f t="shared" si="64"/>
        <v>6.9579256394412683</v>
      </c>
      <c r="AS447" s="81">
        <f t="shared" si="65"/>
        <v>1</v>
      </c>
      <c r="AT447" s="81">
        <f t="shared" si="66"/>
        <v>0</v>
      </c>
    </row>
    <row r="448" spans="1:46" x14ac:dyDescent="0.25">
      <c r="A448" t="s">
        <v>808</v>
      </c>
      <c r="B448">
        <v>2050</v>
      </c>
      <c r="C448" t="s">
        <v>680</v>
      </c>
      <c r="D448" t="s">
        <v>810</v>
      </c>
      <c r="E448" t="s">
        <v>1028</v>
      </c>
      <c r="F448">
        <v>6</v>
      </c>
      <c r="G448" t="s">
        <v>2183</v>
      </c>
      <c r="H448" s="460">
        <v>4802.0845769714988</v>
      </c>
      <c r="I448">
        <v>2600</v>
      </c>
      <c r="J448">
        <v>119.99999997072871</v>
      </c>
      <c r="K448" s="67">
        <v>132.56550000000001</v>
      </c>
      <c r="L448" s="159">
        <v>0</v>
      </c>
      <c r="M448" s="159">
        <v>10495</v>
      </c>
      <c r="N448" s="159">
        <v>220</v>
      </c>
      <c r="O448" s="159">
        <v>0</v>
      </c>
      <c r="P448" s="159">
        <v>3147</v>
      </c>
      <c r="Q448" s="159">
        <v>1500</v>
      </c>
      <c r="R448" s="159">
        <v>2000</v>
      </c>
      <c r="S448" s="159">
        <v>41482</v>
      </c>
      <c r="T448" s="159">
        <v>1191</v>
      </c>
      <c r="U448" s="159">
        <v>11931</v>
      </c>
      <c r="V448" s="159">
        <v>4500</v>
      </c>
      <c r="W448" s="159">
        <v>186</v>
      </c>
      <c r="X448" s="159">
        <v>0</v>
      </c>
      <c r="Y448" s="159">
        <v>1500</v>
      </c>
      <c r="Z448" s="159">
        <v>2537</v>
      </c>
      <c r="AA448" s="159">
        <v>0</v>
      </c>
      <c r="AB448" s="159">
        <v>0</v>
      </c>
      <c r="AC448" s="159">
        <v>0</v>
      </c>
      <c r="AD448" s="207">
        <v>80689</v>
      </c>
      <c r="AE448" s="200">
        <v>18.254098434925289</v>
      </c>
      <c r="AF448" s="200">
        <v>15.845229517327793</v>
      </c>
      <c r="AG448" s="200">
        <v>14.263836490768293</v>
      </c>
      <c r="AH448" s="200">
        <v>840</v>
      </c>
      <c r="AI448" s="200">
        <v>957</v>
      </c>
      <c r="AJ448" s="200">
        <v>1216</v>
      </c>
      <c r="AL448" s="197">
        <f t="shared" si="58"/>
        <v>92499.103307736135</v>
      </c>
      <c r="AM448" s="197" t="str">
        <f t="shared" si="59"/>
        <v>Box Medium 6</v>
      </c>
      <c r="AN448" s="3">
        <f t="shared" si="60"/>
        <v>3.2323914785938603</v>
      </c>
      <c r="AO448" s="3">
        <f t="shared" si="61"/>
        <v>1.2476844961179212</v>
      </c>
      <c r="AP448" s="3">
        <f t="shared" si="62"/>
        <v>58.353859346067338</v>
      </c>
      <c r="AQ448" s="3">
        <f t="shared" si="63"/>
        <v>2.1007389364584244</v>
      </c>
      <c r="AR448" s="3">
        <f t="shared" si="64"/>
        <v>3.3484234325763458</v>
      </c>
      <c r="AS448" s="81">
        <f t="shared" si="65"/>
        <v>0.37261849381991902</v>
      </c>
      <c r="AT448" s="81">
        <f t="shared" si="66"/>
        <v>0.62738150618008093</v>
      </c>
    </row>
    <row r="449" spans="1:46" x14ac:dyDescent="0.25">
      <c r="A449" t="s">
        <v>808</v>
      </c>
      <c r="B449">
        <v>2050</v>
      </c>
      <c r="C449" t="s">
        <v>680</v>
      </c>
      <c r="D449" t="s">
        <v>810</v>
      </c>
      <c r="E449" t="s">
        <v>1028</v>
      </c>
      <c r="F449">
        <v>6</v>
      </c>
      <c r="G449" t="s">
        <v>2184</v>
      </c>
      <c r="H449" s="460">
        <v>4742.1893667785571</v>
      </c>
      <c r="I449">
        <v>2600</v>
      </c>
      <c r="J449">
        <v>119.99999997072871</v>
      </c>
      <c r="K449" s="67">
        <v>132.56550000000001</v>
      </c>
      <c r="L449" s="159">
        <v>0</v>
      </c>
      <c r="M449" s="159">
        <v>8407</v>
      </c>
      <c r="N449" s="159">
        <v>220</v>
      </c>
      <c r="O449" s="159">
        <v>0</v>
      </c>
      <c r="P449" s="159">
        <v>3147</v>
      </c>
      <c r="Q449" s="159">
        <v>1500</v>
      </c>
      <c r="R449" s="159">
        <v>2000</v>
      </c>
      <c r="S449" s="159">
        <v>41482</v>
      </c>
      <c r="T449" s="159">
        <v>1191</v>
      </c>
      <c r="U449" s="159">
        <v>11931</v>
      </c>
      <c r="V449" s="159">
        <v>4500</v>
      </c>
      <c r="W449" s="159">
        <v>186</v>
      </c>
      <c r="X449" s="159">
        <v>0</v>
      </c>
      <c r="Y449" s="159">
        <v>1500</v>
      </c>
      <c r="Z449" s="159">
        <v>2537</v>
      </c>
      <c r="AA449" s="159">
        <v>0</v>
      </c>
      <c r="AB449" s="159">
        <v>0</v>
      </c>
      <c r="AC449" s="159">
        <v>0</v>
      </c>
      <c r="AD449" s="207">
        <v>78601</v>
      </c>
      <c r="AE449" s="200">
        <v>14.672709732033677</v>
      </c>
      <c r="AF449" s="200">
        <v>12.779150599854683</v>
      </c>
      <c r="AG449" s="200">
        <v>11.768279666636468</v>
      </c>
      <c r="AH449" s="200">
        <v>838</v>
      </c>
      <c r="AI449" s="200">
        <v>956</v>
      </c>
      <c r="AJ449" s="200">
        <v>1215</v>
      </c>
      <c r="AL449" s="197">
        <f t="shared" si="58"/>
        <v>90105.491691449482</v>
      </c>
      <c r="AM449" s="197" t="str">
        <f t="shared" si="59"/>
        <v>Box Medium 6</v>
      </c>
      <c r="AN449" s="3">
        <f t="shared" si="60"/>
        <v>3.9294195509219412</v>
      </c>
      <c r="AO449" s="3">
        <f t="shared" si="61"/>
        <v>1.5167333180078453</v>
      </c>
      <c r="AP449" s="3">
        <f t="shared" si="62"/>
        <v>58.301664036188747</v>
      </c>
      <c r="AQ449" s="3">
        <f t="shared" si="63"/>
        <v>2.098859905302795</v>
      </c>
      <c r="AR449" s="3">
        <f t="shared" si="64"/>
        <v>3.6155932233106403</v>
      </c>
      <c r="AS449" s="81">
        <f t="shared" si="65"/>
        <v>0.41949777652781389</v>
      </c>
      <c r="AT449" s="81">
        <f t="shared" si="66"/>
        <v>0.58050222347218616</v>
      </c>
    </row>
    <row r="450" spans="1:46" x14ac:dyDescent="0.25">
      <c r="A450" t="s">
        <v>230</v>
      </c>
      <c r="B450">
        <v>2050</v>
      </c>
      <c r="C450" t="s">
        <v>680</v>
      </c>
      <c r="D450" t="s">
        <v>810</v>
      </c>
      <c r="E450" t="s">
        <v>1028</v>
      </c>
      <c r="F450">
        <v>6</v>
      </c>
      <c r="G450" t="s">
        <v>2185</v>
      </c>
      <c r="H450" s="460">
        <v>4500.4411436648988</v>
      </c>
      <c r="I450">
        <v>2600</v>
      </c>
      <c r="J450">
        <v>150.00000001001371</v>
      </c>
      <c r="K450" s="67">
        <v>169.43062499999999</v>
      </c>
      <c r="L450" s="159">
        <v>0</v>
      </c>
      <c r="M450" s="159">
        <v>0</v>
      </c>
      <c r="N450" s="159">
        <v>0</v>
      </c>
      <c r="O450" s="159">
        <v>0</v>
      </c>
      <c r="P450" s="159">
        <v>2727</v>
      </c>
      <c r="Q450" s="159">
        <v>1500</v>
      </c>
      <c r="R450" s="159">
        <v>2000</v>
      </c>
      <c r="S450" s="159">
        <v>41482</v>
      </c>
      <c r="T450" s="159">
        <v>0</v>
      </c>
      <c r="U450" s="159">
        <v>15249</v>
      </c>
      <c r="V450" s="159">
        <v>4500</v>
      </c>
      <c r="W450" s="159">
        <v>186</v>
      </c>
      <c r="X450" s="159">
        <v>0</v>
      </c>
      <c r="Y450" s="159">
        <v>1500</v>
      </c>
      <c r="Z450" s="159">
        <v>2122</v>
      </c>
      <c r="AA450" s="159">
        <v>0</v>
      </c>
      <c r="AB450" s="159">
        <v>0</v>
      </c>
      <c r="AC450" s="159">
        <v>0</v>
      </c>
      <c r="AD450" s="207">
        <v>71266</v>
      </c>
      <c r="AE450" s="200">
        <v>0</v>
      </c>
      <c r="AF450" s="200">
        <v>0</v>
      </c>
      <c r="AG450" s="200">
        <v>0</v>
      </c>
      <c r="AH450" s="200">
        <v>801</v>
      </c>
      <c r="AI450" s="200">
        <v>908</v>
      </c>
      <c r="AJ450" s="200">
        <v>1135</v>
      </c>
      <c r="AL450" s="197">
        <f t="shared" si="58"/>
        <v>81696.899160097702</v>
      </c>
      <c r="AM450" s="197" t="str">
        <f t="shared" si="59"/>
        <v>Box Medium 6</v>
      </c>
      <c r="AN450" s="3">
        <f t="shared" si="60"/>
        <v>0</v>
      </c>
      <c r="AO450" s="3">
        <f t="shared" si="61"/>
        <v>0</v>
      </c>
      <c r="AP450" s="3">
        <f t="shared" si="62"/>
        <v>68.218648638572333</v>
      </c>
      <c r="AQ450" s="3">
        <f t="shared" si="63"/>
        <v>2.4558713509886041</v>
      </c>
      <c r="AR450" s="3">
        <f t="shared" si="64"/>
        <v>2.4558713509886041</v>
      </c>
      <c r="AS450" s="81">
        <f t="shared" si="65"/>
        <v>0</v>
      </c>
      <c r="AT450" s="81">
        <f t="shared" si="66"/>
        <v>1</v>
      </c>
    </row>
    <row r="451" spans="1:46" x14ac:dyDescent="0.25">
      <c r="A451" t="s">
        <v>496</v>
      </c>
      <c r="B451">
        <v>2050</v>
      </c>
      <c r="C451" t="s">
        <v>680</v>
      </c>
      <c r="D451" t="s">
        <v>810</v>
      </c>
      <c r="E451" t="s">
        <v>1028</v>
      </c>
      <c r="F451">
        <v>6</v>
      </c>
      <c r="G451" t="s">
        <v>2186</v>
      </c>
      <c r="H451" s="460">
        <v>4256.0723246499956</v>
      </c>
      <c r="I451">
        <v>2600</v>
      </c>
      <c r="J451">
        <v>150.00000001001371</v>
      </c>
      <c r="K451" s="67">
        <v>4.5144000000000011</v>
      </c>
      <c r="L451" s="159">
        <v>0</v>
      </c>
      <c r="M451" s="159">
        <v>0</v>
      </c>
      <c r="N451" s="159">
        <v>0</v>
      </c>
      <c r="O451" s="159">
        <v>0</v>
      </c>
      <c r="P451" s="159">
        <v>2863</v>
      </c>
      <c r="Q451" s="159">
        <v>1500</v>
      </c>
      <c r="R451" s="159">
        <v>2000</v>
      </c>
      <c r="S451" s="159">
        <v>41482</v>
      </c>
      <c r="T451" s="159">
        <v>0</v>
      </c>
      <c r="U451" s="159">
        <v>1450</v>
      </c>
      <c r="V451" s="159">
        <v>4500</v>
      </c>
      <c r="W451" s="159">
        <v>186</v>
      </c>
      <c r="X451" s="159">
        <v>0</v>
      </c>
      <c r="Y451" s="159">
        <v>1500</v>
      </c>
      <c r="Z451" s="159">
        <v>2257</v>
      </c>
      <c r="AA451" s="159">
        <v>10993</v>
      </c>
      <c r="AB451" s="159">
        <v>3650</v>
      </c>
      <c r="AC451" s="159">
        <v>0</v>
      </c>
      <c r="AD451" s="207">
        <v>72381</v>
      </c>
      <c r="AE451" s="200">
        <v>26.782477286903795</v>
      </c>
      <c r="AF451" s="200">
        <v>24.350061577350377</v>
      </c>
      <c r="AG451" s="200">
        <v>18.919122222303915</v>
      </c>
      <c r="AH451" s="200">
        <v>0</v>
      </c>
      <c r="AI451" s="200">
        <v>0</v>
      </c>
      <c r="AJ451" s="200">
        <v>0</v>
      </c>
      <c r="AL451" s="197">
        <f t="shared" ref="AL451:AL514" si="67">AD451*USD2023_to_CAD2020</f>
        <v>82975.096934120491</v>
      </c>
      <c r="AM451" s="197" t="str">
        <f t="shared" ref="AM451:AM514" si="68">IF(AND(F451&lt;5, D451="School"), $BF$2, IF(F451&lt;5, $BA$2,
IF(AND(F451&lt;=7, D451="School"), $BE$2, IF(F451&lt;7, $AZ$2,
IF(AND(F451&lt;8, E451="DayCab"), $BC$2, IF(F451&lt;8, $AZ$2,
IF(VLOOKUP(D451, $BH$3:$BI$10, 2, FALSE)="Longhaul", $AY$2,
IF(VLOOKUP(D451, $BH$3:$BI$10, 2, FALSE)="Drayage", $BB$2,
IF(VLOOKUP(D451, $BH$3:$BI$10, 2, FALSE)="Regional", $BC$2,
IF(VLOOKUP(D451, $BH$3:$BI$10, 2, FALSE)="Transit", $BE$2,
IF(VLOOKUP(D451, $BH$3:$BI$10, 2, FALSE)="Vocational", $BD$2, NA())))))))))))</f>
        <v>Box Medium 6</v>
      </c>
      <c r="AN451" s="3">
        <f t="shared" ref="AN451:AN514" si="69">(IFERROR(L_100km_to_mpg/AE451 * HLOOKUP($AM451, $AY$2:$BF$6, 2, FALSE) +
L_100km_to_mpg/AF451 * HLOOKUP($AM451, $AY$2:$BF$6, 3, FALSE) +
L_100km_to_mpg/AG451 * HLOOKUP($AM451, $AY$2:$BF$6, 4, FALSE), 0)) *
IF(ISERROR(SEARCH("PHEV",$A451)), 1, 1-HLOOKUP($AM451, $AY$2:$BF$6, 5, FALSE))</f>
        <v>12.000589735021551</v>
      </c>
      <c r="AO451" s="3">
        <f t="shared" ref="AO451:AO514" si="70">AN451*DSL_PJ_ML*10</f>
        <v>4.6321585290070511</v>
      </c>
      <c r="AP451" s="3">
        <f t="shared" ref="AP451:AP514" si="71">(AH451/km_mile/10 * HLOOKUP($AM451, $AY$2:$BF$6, 2, FALSE) +
AI451/km_mile/10 * HLOOKUP($AM451, $AY$2:$BF$6, 3, FALSE) +
AJ451/km_mile/10 * HLOOKUP($AM451, $AY$2:$BF$6, 4, FALSE)) *
IF(ISERROR(SEARCH("PHEV",$A451)), 1, HLOOKUP($AM451, $AY$2:$BF$6, 5, FALSE))</f>
        <v>0</v>
      </c>
      <c r="AQ451" s="3">
        <f t="shared" si="63"/>
        <v>0</v>
      </c>
      <c r="AR451" s="3">
        <f t="shared" si="64"/>
        <v>4.6321585290070511</v>
      </c>
      <c r="AS451" s="81">
        <f t="shared" si="65"/>
        <v>1</v>
      </c>
      <c r="AT451" s="81">
        <f t="shared" si="66"/>
        <v>0</v>
      </c>
    </row>
    <row r="452" spans="1:46" x14ac:dyDescent="0.25">
      <c r="A452" t="s">
        <v>828</v>
      </c>
      <c r="B452">
        <v>2050</v>
      </c>
      <c r="C452" t="s">
        <v>680</v>
      </c>
      <c r="D452" t="s">
        <v>810</v>
      </c>
      <c r="E452" t="s">
        <v>1028</v>
      </c>
      <c r="F452">
        <v>6</v>
      </c>
      <c r="G452" t="s">
        <v>2187</v>
      </c>
      <c r="H452" s="460">
        <v>4268.4151880137861</v>
      </c>
      <c r="I452">
        <v>2600</v>
      </c>
      <c r="J452">
        <v>150.00000001001371</v>
      </c>
      <c r="K452" s="67">
        <v>40.96125</v>
      </c>
      <c r="L452" s="159">
        <v>0</v>
      </c>
      <c r="M452" s="159">
        <v>0</v>
      </c>
      <c r="N452" s="159">
        <v>0</v>
      </c>
      <c r="O452" s="159">
        <v>0</v>
      </c>
      <c r="P452" s="159">
        <v>3312</v>
      </c>
      <c r="Q452" s="159">
        <v>1500</v>
      </c>
      <c r="R452" s="159">
        <v>2000</v>
      </c>
      <c r="S452" s="159">
        <v>41482</v>
      </c>
      <c r="T452" s="159">
        <v>0</v>
      </c>
      <c r="U452" s="159">
        <v>3687</v>
      </c>
      <c r="V452" s="159">
        <v>4500</v>
      </c>
      <c r="W452" s="159">
        <v>186</v>
      </c>
      <c r="X452" s="159">
        <v>0</v>
      </c>
      <c r="Y452" s="159">
        <v>1500</v>
      </c>
      <c r="Z452" s="159">
        <v>2700</v>
      </c>
      <c r="AA452" s="159">
        <v>5195</v>
      </c>
      <c r="AB452" s="159">
        <v>2483</v>
      </c>
      <c r="AC452" s="159">
        <v>0</v>
      </c>
      <c r="AD452" s="207">
        <v>68545</v>
      </c>
      <c r="AE452" s="200">
        <v>26.814621044176256</v>
      </c>
      <c r="AF452" s="200">
        <v>22.74555004843678</v>
      </c>
      <c r="AG452" s="200">
        <v>19.164123371756862</v>
      </c>
      <c r="AH452" s="200">
        <v>0</v>
      </c>
      <c r="AI452" s="200">
        <v>0</v>
      </c>
      <c r="AJ452" s="200">
        <v>192.30015021356763</v>
      </c>
      <c r="AL452" s="197">
        <f t="shared" si="67"/>
        <v>78577.638045195417</v>
      </c>
      <c r="AM452" s="197" t="str">
        <f t="shared" si="68"/>
        <v>Box Medium 6</v>
      </c>
      <c r="AN452" s="3">
        <f t="shared" si="69"/>
        <v>11.92469906335252</v>
      </c>
      <c r="AO452" s="3">
        <f t="shared" si="70"/>
        <v>4.6028651667802034</v>
      </c>
      <c r="AP452" s="3">
        <f t="shared" si="71"/>
        <v>10.276146071288116</v>
      </c>
      <c r="AQ452" s="3">
        <f t="shared" si="63"/>
        <v>0.36994125856637217</v>
      </c>
      <c r="AR452" s="3">
        <f t="shared" si="64"/>
        <v>4.972806425346576</v>
      </c>
      <c r="AS452" s="81">
        <f t="shared" si="65"/>
        <v>0.92560714676510059</v>
      </c>
      <c r="AT452" s="81">
        <f t="shared" si="66"/>
        <v>7.4392853234899317E-2</v>
      </c>
    </row>
    <row r="453" spans="1:46" x14ac:dyDescent="0.25">
      <c r="A453" t="s">
        <v>805</v>
      </c>
      <c r="B453">
        <v>2023</v>
      </c>
      <c r="C453" t="s">
        <v>680</v>
      </c>
      <c r="D453" t="s">
        <v>806</v>
      </c>
      <c r="E453" t="s">
        <v>1028</v>
      </c>
      <c r="F453">
        <v>6</v>
      </c>
      <c r="G453" t="s">
        <v>2188</v>
      </c>
      <c r="H453" s="460">
        <v>4633.5222767693404</v>
      </c>
      <c r="I453">
        <v>2600</v>
      </c>
      <c r="J453">
        <v>0</v>
      </c>
      <c r="K453" s="67">
        <v>0</v>
      </c>
      <c r="L453" s="159">
        <v>150</v>
      </c>
      <c r="M453" s="159">
        <v>16740</v>
      </c>
      <c r="N453" s="159">
        <v>1920</v>
      </c>
      <c r="O453" s="159">
        <v>506</v>
      </c>
      <c r="P453" s="159">
        <v>4906</v>
      </c>
      <c r="Q453" s="159">
        <v>1500</v>
      </c>
      <c r="R453" s="159">
        <v>2000</v>
      </c>
      <c r="S453" s="159">
        <v>41000</v>
      </c>
      <c r="T453" s="159">
        <v>98</v>
      </c>
      <c r="U453" s="159">
        <v>120</v>
      </c>
      <c r="V453" s="159">
        <v>0</v>
      </c>
      <c r="W453" s="159">
        <v>186</v>
      </c>
      <c r="X453" s="159">
        <v>0</v>
      </c>
      <c r="Y453" s="159">
        <v>0</v>
      </c>
      <c r="Z453" s="159">
        <v>0</v>
      </c>
      <c r="AA453" s="159">
        <v>0</v>
      </c>
      <c r="AB453" s="159">
        <v>0</v>
      </c>
      <c r="AC453" s="159">
        <v>0</v>
      </c>
      <c r="AD453" s="207">
        <v>69126</v>
      </c>
      <c r="AE453" s="200">
        <v>10.884121111505179</v>
      </c>
      <c r="AF453" s="200">
        <v>12.743302570024126</v>
      </c>
      <c r="AG453" s="200">
        <v>10.730802669722653</v>
      </c>
      <c r="AH453" s="200">
        <v>0</v>
      </c>
      <c r="AI453" s="200">
        <v>0</v>
      </c>
      <c r="AJ453" s="200">
        <v>0</v>
      </c>
      <c r="AL453" s="197">
        <f t="shared" si="67"/>
        <v>79243.676526547206</v>
      </c>
      <c r="AM453" s="197" t="str">
        <f t="shared" si="68"/>
        <v>Box Medium 6</v>
      </c>
      <c r="AN453" s="3">
        <f t="shared" si="69"/>
        <v>21.592630578086357</v>
      </c>
      <c r="AO453" s="3">
        <f t="shared" si="70"/>
        <v>8.3346310560129773</v>
      </c>
      <c r="AP453" s="3">
        <f t="shared" si="71"/>
        <v>0</v>
      </c>
      <c r="AQ453" s="3">
        <f t="shared" si="63"/>
        <v>0</v>
      </c>
      <c r="AR453" s="3">
        <f t="shared" si="64"/>
        <v>8.3346310560129773</v>
      </c>
      <c r="AS453" s="81">
        <f t="shared" si="65"/>
        <v>1</v>
      </c>
      <c r="AT453" s="81">
        <f t="shared" si="66"/>
        <v>0</v>
      </c>
    </row>
    <row r="454" spans="1:46" x14ac:dyDescent="0.25">
      <c r="A454" t="s">
        <v>805</v>
      </c>
      <c r="B454">
        <v>2023</v>
      </c>
      <c r="C454" t="s">
        <v>680</v>
      </c>
      <c r="D454" t="s">
        <v>806</v>
      </c>
      <c r="E454" t="s">
        <v>1028</v>
      </c>
      <c r="F454">
        <v>6</v>
      </c>
      <c r="G454" t="s">
        <v>2189</v>
      </c>
      <c r="H454" s="460">
        <v>4418.7311435607917</v>
      </c>
      <c r="I454">
        <v>2600</v>
      </c>
      <c r="J454">
        <v>0</v>
      </c>
      <c r="K454" s="67">
        <v>0</v>
      </c>
      <c r="L454" s="159">
        <v>150</v>
      </c>
      <c r="M454" s="159">
        <v>23473</v>
      </c>
      <c r="N454" s="159">
        <v>1920</v>
      </c>
      <c r="O454" s="159">
        <v>506</v>
      </c>
      <c r="P454" s="159">
        <v>3494</v>
      </c>
      <c r="Q454" s="159">
        <v>1500</v>
      </c>
      <c r="R454" s="159">
        <v>2000</v>
      </c>
      <c r="S454" s="159">
        <v>41000</v>
      </c>
      <c r="T454" s="159">
        <v>98</v>
      </c>
      <c r="U454" s="159">
        <v>120</v>
      </c>
      <c r="V454" s="159">
        <v>0</v>
      </c>
      <c r="W454" s="159">
        <v>186</v>
      </c>
      <c r="X454" s="159">
        <v>0</v>
      </c>
      <c r="Y454" s="159">
        <v>0</v>
      </c>
      <c r="Z454" s="159">
        <v>0</v>
      </c>
      <c r="AA454" s="159">
        <v>0</v>
      </c>
      <c r="AB454" s="159">
        <v>0</v>
      </c>
      <c r="AC454" s="159">
        <v>0</v>
      </c>
      <c r="AD454" s="207">
        <v>74447</v>
      </c>
      <c r="AE454" s="200">
        <v>7.9673956416180998</v>
      </c>
      <c r="AF454" s="200">
        <v>9.1724682538116333</v>
      </c>
      <c r="AG454" s="200">
        <v>8.8623533265158887</v>
      </c>
      <c r="AH454" s="200">
        <v>0</v>
      </c>
      <c r="AI454" s="200">
        <v>0</v>
      </c>
      <c r="AJ454" s="200">
        <v>0</v>
      </c>
      <c r="AL454" s="197">
        <f t="shared" si="67"/>
        <v>85343.488504641675</v>
      </c>
      <c r="AM454" s="197" t="str">
        <f t="shared" si="68"/>
        <v>Box Medium 6</v>
      </c>
      <c r="AN454" s="3">
        <f t="shared" si="69"/>
        <v>26.609236308085617</v>
      </c>
      <c r="AO454" s="3">
        <f t="shared" si="70"/>
        <v>10.27101197828271</v>
      </c>
      <c r="AP454" s="3">
        <f t="shared" si="71"/>
        <v>0</v>
      </c>
      <c r="AQ454" s="3">
        <f t="shared" si="63"/>
        <v>0</v>
      </c>
      <c r="AR454" s="3">
        <f t="shared" si="64"/>
        <v>10.27101197828271</v>
      </c>
      <c r="AS454" s="81">
        <f t="shared" si="65"/>
        <v>1</v>
      </c>
      <c r="AT454" s="81">
        <f t="shared" si="66"/>
        <v>0</v>
      </c>
    </row>
    <row r="455" spans="1:46" x14ac:dyDescent="0.25">
      <c r="A455" t="s">
        <v>807</v>
      </c>
      <c r="B455">
        <v>2023</v>
      </c>
      <c r="C455" t="s">
        <v>680</v>
      </c>
      <c r="D455" t="s">
        <v>806</v>
      </c>
      <c r="E455" t="s">
        <v>1028</v>
      </c>
      <c r="F455">
        <v>6</v>
      </c>
      <c r="G455" t="s">
        <v>2190</v>
      </c>
      <c r="H455" s="460">
        <v>4730.1347550806386</v>
      </c>
      <c r="I455">
        <v>2600</v>
      </c>
      <c r="J455">
        <v>0</v>
      </c>
      <c r="K455" s="67">
        <v>4.2768000000000006</v>
      </c>
      <c r="L455" s="159">
        <v>150</v>
      </c>
      <c r="M455" s="159">
        <v>16972</v>
      </c>
      <c r="N455" s="159">
        <v>220</v>
      </c>
      <c r="O455" s="159">
        <v>392</v>
      </c>
      <c r="P455" s="159">
        <v>4974</v>
      </c>
      <c r="Q455" s="159">
        <v>1500</v>
      </c>
      <c r="R455" s="159">
        <v>2000</v>
      </c>
      <c r="S455" s="159">
        <v>41000</v>
      </c>
      <c r="T455" s="159">
        <v>0</v>
      </c>
      <c r="U455" s="159">
        <v>2994</v>
      </c>
      <c r="V455" s="159">
        <v>4500</v>
      </c>
      <c r="W455" s="159">
        <v>186</v>
      </c>
      <c r="X455" s="159">
        <v>120</v>
      </c>
      <c r="Y455" s="159">
        <v>1500</v>
      </c>
      <c r="Z455" s="159">
        <v>4236</v>
      </c>
      <c r="AA455" s="159">
        <v>0</v>
      </c>
      <c r="AB455" s="159">
        <v>0</v>
      </c>
      <c r="AC455" s="159">
        <v>0</v>
      </c>
      <c r="AD455" s="207">
        <v>80744</v>
      </c>
      <c r="AE455" s="200">
        <v>11.699102272569711</v>
      </c>
      <c r="AF455" s="200">
        <v>11.9171057648883</v>
      </c>
      <c r="AG455" s="200">
        <v>10.105383702409785</v>
      </c>
      <c r="AH455" s="200">
        <v>0</v>
      </c>
      <c r="AI455" s="200">
        <v>0</v>
      </c>
      <c r="AJ455" s="200">
        <v>0</v>
      </c>
      <c r="AL455" s="197">
        <f t="shared" si="67"/>
        <v>92562.153422149815</v>
      </c>
      <c r="AM455" s="197" t="str">
        <f t="shared" si="68"/>
        <v>Box Medium 6</v>
      </c>
      <c r="AN455" s="3">
        <f t="shared" si="69"/>
        <v>22.7992022703591</v>
      </c>
      <c r="AO455" s="3">
        <f t="shared" si="70"/>
        <v>8.800360780853838</v>
      </c>
      <c r="AP455" s="3">
        <f t="shared" si="71"/>
        <v>0</v>
      </c>
      <c r="AQ455" s="3">
        <f t="shared" si="63"/>
        <v>0</v>
      </c>
      <c r="AR455" s="3">
        <f t="shared" si="64"/>
        <v>8.800360780853838</v>
      </c>
      <c r="AS455" s="81">
        <f t="shared" si="65"/>
        <v>1</v>
      </c>
      <c r="AT455" s="81">
        <f t="shared" si="66"/>
        <v>0</v>
      </c>
    </row>
    <row r="456" spans="1:46" x14ac:dyDescent="0.25">
      <c r="A456" t="s">
        <v>807</v>
      </c>
      <c r="B456">
        <v>2023</v>
      </c>
      <c r="C456" t="s">
        <v>680</v>
      </c>
      <c r="D456" t="s">
        <v>806</v>
      </c>
      <c r="E456" t="s">
        <v>1028</v>
      </c>
      <c r="F456">
        <v>6</v>
      </c>
      <c r="G456" t="s">
        <v>2191</v>
      </c>
      <c r="H456" s="460">
        <v>4503.6760126683184</v>
      </c>
      <c r="I456">
        <v>2600</v>
      </c>
      <c r="J456">
        <v>0</v>
      </c>
      <c r="K456" s="67">
        <v>3.8808000000000002</v>
      </c>
      <c r="L456" s="159">
        <v>150</v>
      </c>
      <c r="M456" s="159">
        <v>23071</v>
      </c>
      <c r="N456" s="159">
        <v>220</v>
      </c>
      <c r="O456" s="159">
        <v>392</v>
      </c>
      <c r="P456" s="159">
        <v>3471</v>
      </c>
      <c r="Q456" s="159">
        <v>1500</v>
      </c>
      <c r="R456" s="159">
        <v>2000</v>
      </c>
      <c r="S456" s="159">
        <v>41000</v>
      </c>
      <c r="T456" s="159">
        <v>0</v>
      </c>
      <c r="U456" s="159">
        <v>2717</v>
      </c>
      <c r="V456" s="159">
        <v>4500</v>
      </c>
      <c r="W456" s="159">
        <v>186</v>
      </c>
      <c r="X456" s="159">
        <v>120</v>
      </c>
      <c r="Y456" s="159">
        <v>1500</v>
      </c>
      <c r="Z456" s="159">
        <v>4217</v>
      </c>
      <c r="AA456" s="159">
        <v>0</v>
      </c>
      <c r="AB456" s="159">
        <v>0</v>
      </c>
      <c r="AC456" s="159">
        <v>0</v>
      </c>
      <c r="AD456" s="207">
        <v>85044</v>
      </c>
      <c r="AE456" s="200">
        <v>9.1952244717610636</v>
      </c>
      <c r="AF456" s="200">
        <v>9.3418712984333006</v>
      </c>
      <c r="AG456" s="200">
        <v>8.4378689060268481</v>
      </c>
      <c r="AH456" s="200">
        <v>0</v>
      </c>
      <c r="AI456" s="200">
        <v>0</v>
      </c>
      <c r="AJ456" s="200">
        <v>0</v>
      </c>
      <c r="AL456" s="197">
        <f t="shared" si="67"/>
        <v>97491.526003583029</v>
      </c>
      <c r="AM456" s="197" t="str">
        <f t="shared" si="68"/>
        <v>Box Medium 6</v>
      </c>
      <c r="AN456" s="3">
        <f t="shared" si="69"/>
        <v>27.518550422990515</v>
      </c>
      <c r="AO456" s="3">
        <f t="shared" si="70"/>
        <v>10.622001990099463</v>
      </c>
      <c r="AP456" s="3">
        <f t="shared" si="71"/>
        <v>0</v>
      </c>
      <c r="AQ456" s="3">
        <f t="shared" si="63"/>
        <v>0</v>
      </c>
      <c r="AR456" s="3">
        <f t="shared" si="64"/>
        <v>10.622001990099463</v>
      </c>
      <c r="AS456" s="81">
        <f t="shared" si="65"/>
        <v>1</v>
      </c>
      <c r="AT456" s="81">
        <f t="shared" si="66"/>
        <v>0</v>
      </c>
    </row>
    <row r="457" spans="1:46" x14ac:dyDescent="0.25">
      <c r="A457" t="s">
        <v>808</v>
      </c>
      <c r="B457">
        <v>2023</v>
      </c>
      <c r="C457" t="s">
        <v>680</v>
      </c>
      <c r="D457" t="s">
        <v>806</v>
      </c>
      <c r="E457" t="s">
        <v>1028</v>
      </c>
      <c r="F457">
        <v>6</v>
      </c>
      <c r="G457" t="s">
        <v>2192</v>
      </c>
      <c r="H457" s="460">
        <v>5972.6320910469531</v>
      </c>
      <c r="I457">
        <v>2600</v>
      </c>
      <c r="J457">
        <v>119.99999997072871</v>
      </c>
      <c r="K457" s="67">
        <v>172.03725</v>
      </c>
      <c r="L457" s="159">
        <v>0</v>
      </c>
      <c r="M457" s="159">
        <v>10884</v>
      </c>
      <c r="N457" s="159">
        <v>220</v>
      </c>
      <c r="O457" s="159">
        <v>0</v>
      </c>
      <c r="P457" s="159">
        <v>3510</v>
      </c>
      <c r="Q457" s="159">
        <v>1500</v>
      </c>
      <c r="R457" s="159">
        <v>2000</v>
      </c>
      <c r="S457" s="159">
        <v>41000</v>
      </c>
      <c r="T457" s="159">
        <v>3584</v>
      </c>
      <c r="U457" s="159">
        <v>60213</v>
      </c>
      <c r="V457" s="159">
        <v>4500</v>
      </c>
      <c r="W457" s="159">
        <v>186</v>
      </c>
      <c r="X457" s="159">
        <v>0</v>
      </c>
      <c r="Y457" s="159">
        <v>1500</v>
      </c>
      <c r="Z457" s="159">
        <v>7246</v>
      </c>
      <c r="AA457" s="159">
        <v>0</v>
      </c>
      <c r="AB457" s="159">
        <v>0</v>
      </c>
      <c r="AC457" s="159">
        <v>0</v>
      </c>
      <c r="AD457" s="207">
        <v>136343</v>
      </c>
      <c r="AE457" s="200">
        <v>11.678440658650729</v>
      </c>
      <c r="AF457" s="200">
        <v>10.517893850792433</v>
      </c>
      <c r="AG457" s="200">
        <v>9.3638766246725442</v>
      </c>
      <c r="AH457" s="200">
        <v>1116</v>
      </c>
      <c r="AI457" s="200">
        <v>1226</v>
      </c>
      <c r="AJ457" s="200">
        <v>1553</v>
      </c>
      <c r="AL457" s="197">
        <f t="shared" si="67"/>
        <v>156298.94090008139</v>
      </c>
      <c r="AM457" s="197" t="str">
        <f t="shared" si="68"/>
        <v>Box Medium 6</v>
      </c>
      <c r="AN457" s="3">
        <f t="shared" si="69"/>
        <v>4.924489295904058</v>
      </c>
      <c r="AO457" s="3">
        <f t="shared" si="70"/>
        <v>1.9008245091869183</v>
      </c>
      <c r="AP457" s="3">
        <f t="shared" si="71"/>
        <v>74.650229286539826</v>
      </c>
      <c r="AQ457" s="3">
        <f t="shared" si="63"/>
        <v>2.6874082543154341</v>
      </c>
      <c r="AR457" s="3">
        <f t="shared" si="64"/>
        <v>4.5882327635023525</v>
      </c>
      <c r="AS457" s="81">
        <f t="shared" si="65"/>
        <v>0.41428249331796213</v>
      </c>
      <c r="AT457" s="81">
        <f t="shared" si="66"/>
        <v>0.58571750668203781</v>
      </c>
    </row>
    <row r="458" spans="1:46" x14ac:dyDescent="0.25">
      <c r="A458" t="s">
        <v>808</v>
      </c>
      <c r="B458">
        <v>2023</v>
      </c>
      <c r="C458" t="s">
        <v>680</v>
      </c>
      <c r="D458" t="s">
        <v>806</v>
      </c>
      <c r="E458" t="s">
        <v>1028</v>
      </c>
      <c r="F458">
        <v>6</v>
      </c>
      <c r="G458" t="s">
        <v>2193</v>
      </c>
      <c r="H458" s="460">
        <v>5889.7297761884456</v>
      </c>
      <c r="I458">
        <v>2600</v>
      </c>
      <c r="J458">
        <v>119.99999997072871</v>
      </c>
      <c r="K458" s="67">
        <v>172.03725</v>
      </c>
      <c r="L458" s="159">
        <v>0</v>
      </c>
      <c r="M458" s="159">
        <v>7809</v>
      </c>
      <c r="N458" s="159">
        <v>220</v>
      </c>
      <c r="O458" s="159">
        <v>0</v>
      </c>
      <c r="P458" s="159">
        <v>3510</v>
      </c>
      <c r="Q458" s="159">
        <v>1500</v>
      </c>
      <c r="R458" s="159">
        <v>2000</v>
      </c>
      <c r="S458" s="159">
        <v>41000</v>
      </c>
      <c r="T458" s="159">
        <v>3584</v>
      </c>
      <c r="U458" s="159">
        <v>60213</v>
      </c>
      <c r="V458" s="159">
        <v>4500</v>
      </c>
      <c r="W458" s="159">
        <v>186</v>
      </c>
      <c r="X458" s="159">
        <v>0</v>
      </c>
      <c r="Y458" s="159">
        <v>1500</v>
      </c>
      <c r="Z458" s="159">
        <v>7246</v>
      </c>
      <c r="AA458" s="159">
        <v>0</v>
      </c>
      <c r="AB458" s="159">
        <v>0</v>
      </c>
      <c r="AC458" s="159">
        <v>0</v>
      </c>
      <c r="AD458" s="207">
        <v>133268</v>
      </c>
      <c r="AE458" s="200">
        <v>8.9038008064404259</v>
      </c>
      <c r="AF458" s="200">
        <v>8.0475135006053815</v>
      </c>
      <c r="AG458" s="200">
        <v>7.2963906053539658</v>
      </c>
      <c r="AH458" s="200">
        <v>1112</v>
      </c>
      <c r="AI458" s="200">
        <v>1223</v>
      </c>
      <c r="AJ458" s="200">
        <v>1550</v>
      </c>
      <c r="AL458" s="197">
        <f t="shared" si="67"/>
        <v>152773.86632149832</v>
      </c>
      <c r="AM458" s="197" t="str">
        <f t="shared" si="68"/>
        <v>Box Medium 6</v>
      </c>
      <c r="AN458" s="3">
        <f t="shared" si="69"/>
        <v>6.3350796099947297</v>
      </c>
      <c r="AO458" s="3">
        <f t="shared" si="70"/>
        <v>2.4453042471519044</v>
      </c>
      <c r="AP458" s="3">
        <f t="shared" si="71"/>
        <v>74.498614338797253</v>
      </c>
      <c r="AQ458" s="3">
        <f t="shared" si="63"/>
        <v>2.6819501161967012</v>
      </c>
      <c r="AR458" s="3">
        <f t="shared" si="64"/>
        <v>5.1272543633486052</v>
      </c>
      <c r="AS458" s="81">
        <f t="shared" si="65"/>
        <v>0.47692274926553058</v>
      </c>
      <c r="AT458" s="81">
        <f t="shared" si="66"/>
        <v>0.52307725073446953</v>
      </c>
    </row>
    <row r="459" spans="1:46" x14ac:dyDescent="0.25">
      <c r="A459" t="s">
        <v>230</v>
      </c>
      <c r="B459">
        <v>2023</v>
      </c>
      <c r="C459" t="s">
        <v>680</v>
      </c>
      <c r="D459" t="s">
        <v>806</v>
      </c>
      <c r="E459" t="s">
        <v>1028</v>
      </c>
      <c r="F459">
        <v>6</v>
      </c>
      <c r="G459" t="s">
        <v>2194</v>
      </c>
      <c r="H459" s="460">
        <v>5700.4908051771672</v>
      </c>
      <c r="I459">
        <v>2600</v>
      </c>
      <c r="J459">
        <v>150.00000001001371</v>
      </c>
      <c r="K459" s="67">
        <v>212.25375</v>
      </c>
      <c r="L459" s="159">
        <v>0</v>
      </c>
      <c r="M459" s="159">
        <v>0</v>
      </c>
      <c r="N459" s="159">
        <v>0</v>
      </c>
      <c r="O459" s="159">
        <v>0</v>
      </c>
      <c r="P459" s="159">
        <v>2949</v>
      </c>
      <c r="Q459" s="159">
        <v>1500</v>
      </c>
      <c r="R459" s="159">
        <v>2000</v>
      </c>
      <c r="S459" s="159">
        <v>41000</v>
      </c>
      <c r="T459" s="159">
        <v>0</v>
      </c>
      <c r="U459" s="159">
        <v>74289</v>
      </c>
      <c r="V459" s="159">
        <v>4500</v>
      </c>
      <c r="W459" s="159">
        <v>186</v>
      </c>
      <c r="X459" s="159">
        <v>0</v>
      </c>
      <c r="Y459" s="159">
        <v>1500</v>
      </c>
      <c r="Z459" s="159">
        <v>5887</v>
      </c>
      <c r="AA459" s="159">
        <v>0</v>
      </c>
      <c r="AB459" s="159">
        <v>0</v>
      </c>
      <c r="AC459" s="159">
        <v>0</v>
      </c>
      <c r="AD459" s="207">
        <v>133811</v>
      </c>
      <c r="AE459" s="200">
        <v>0</v>
      </c>
      <c r="AF459" s="200">
        <v>0</v>
      </c>
      <c r="AG459" s="200">
        <v>0</v>
      </c>
      <c r="AH459" s="200">
        <v>1077</v>
      </c>
      <c r="AI459" s="200">
        <v>1190</v>
      </c>
      <c r="AJ459" s="200">
        <v>1492</v>
      </c>
      <c r="AL459" s="197">
        <f t="shared" si="67"/>
        <v>153396.34290561886</v>
      </c>
      <c r="AM459" s="197" t="str">
        <f t="shared" si="68"/>
        <v>Box Medium 6</v>
      </c>
      <c r="AN459" s="3">
        <f t="shared" si="69"/>
        <v>0</v>
      </c>
      <c r="AO459" s="3">
        <f t="shared" si="70"/>
        <v>0</v>
      </c>
      <c r="AP459" s="3">
        <f t="shared" si="71"/>
        <v>89.730572781388645</v>
      </c>
      <c r="AQ459" s="3">
        <f t="shared" si="63"/>
        <v>3.2303006201299911</v>
      </c>
      <c r="AR459" s="3">
        <f t="shared" si="64"/>
        <v>3.2303006201299911</v>
      </c>
      <c r="AS459" s="81">
        <f t="shared" si="65"/>
        <v>0</v>
      </c>
      <c r="AT459" s="81">
        <f t="shared" si="66"/>
        <v>1</v>
      </c>
    </row>
    <row r="460" spans="1:46" x14ac:dyDescent="0.25">
      <c r="A460" t="s">
        <v>496</v>
      </c>
      <c r="B460">
        <v>2023</v>
      </c>
      <c r="C460" t="s">
        <v>680</v>
      </c>
      <c r="D460" t="s">
        <v>806</v>
      </c>
      <c r="E460" t="s">
        <v>1028</v>
      </c>
      <c r="F460">
        <v>6</v>
      </c>
      <c r="G460" t="s">
        <v>2195</v>
      </c>
      <c r="H460" s="460">
        <v>4783.0256490362635</v>
      </c>
      <c r="I460">
        <v>2600</v>
      </c>
      <c r="J460">
        <v>150.00000001001371</v>
      </c>
      <c r="K460" s="67">
        <v>4.4668800000000006</v>
      </c>
      <c r="L460" s="159">
        <v>0</v>
      </c>
      <c r="M460" s="159">
        <v>0</v>
      </c>
      <c r="N460" s="159">
        <v>0</v>
      </c>
      <c r="O460" s="159">
        <v>0</v>
      </c>
      <c r="P460" s="159">
        <v>3108</v>
      </c>
      <c r="Q460" s="159">
        <v>1500</v>
      </c>
      <c r="R460" s="159">
        <v>2000</v>
      </c>
      <c r="S460" s="159">
        <v>41000</v>
      </c>
      <c r="T460" s="159">
        <v>0</v>
      </c>
      <c r="U460" s="159">
        <v>3127</v>
      </c>
      <c r="V460" s="159">
        <v>4500</v>
      </c>
      <c r="W460" s="159">
        <v>186</v>
      </c>
      <c r="X460" s="159">
        <v>0</v>
      </c>
      <c r="Y460" s="159">
        <v>1500</v>
      </c>
      <c r="Z460" s="159">
        <v>6273</v>
      </c>
      <c r="AA460" s="159">
        <v>26354</v>
      </c>
      <c r="AB460" s="159">
        <v>11651</v>
      </c>
      <c r="AC460" s="159">
        <v>0</v>
      </c>
      <c r="AD460" s="207">
        <v>101199</v>
      </c>
      <c r="AE460" s="200">
        <v>20.321106512971479</v>
      </c>
      <c r="AF460" s="200">
        <v>18.187907154122158</v>
      </c>
      <c r="AG460" s="200">
        <v>13.987508840316821</v>
      </c>
      <c r="AH460" s="200">
        <v>0</v>
      </c>
      <c r="AI460" s="200">
        <v>0</v>
      </c>
      <c r="AJ460" s="200">
        <v>0</v>
      </c>
      <c r="AL460" s="197">
        <f t="shared" si="67"/>
        <v>116011.064155456</v>
      </c>
      <c r="AM460" s="197" t="str">
        <f t="shared" si="68"/>
        <v>Box Medium 6</v>
      </c>
      <c r="AN460" s="3">
        <f t="shared" si="69"/>
        <v>16.204502865866839</v>
      </c>
      <c r="AO460" s="3">
        <f t="shared" si="70"/>
        <v>6.2548447881181968</v>
      </c>
      <c r="AP460" s="3">
        <f t="shared" si="71"/>
        <v>0</v>
      </c>
      <c r="AQ460" s="3">
        <f t="shared" si="63"/>
        <v>0</v>
      </c>
      <c r="AR460" s="3">
        <f t="shared" si="64"/>
        <v>6.2548447881181968</v>
      </c>
      <c r="AS460" s="81">
        <f t="shared" si="65"/>
        <v>1</v>
      </c>
      <c r="AT460" s="81">
        <f t="shared" si="66"/>
        <v>0</v>
      </c>
    </row>
    <row r="461" spans="1:46" x14ac:dyDescent="0.25">
      <c r="A461" t="s">
        <v>828</v>
      </c>
      <c r="B461">
        <v>2023</v>
      </c>
      <c r="C461" t="s">
        <v>680</v>
      </c>
      <c r="D461" t="s">
        <v>806</v>
      </c>
      <c r="E461" t="s">
        <v>1028</v>
      </c>
      <c r="F461">
        <v>6</v>
      </c>
      <c r="G461" t="s">
        <v>2196</v>
      </c>
      <c r="H461" s="460">
        <v>4955.9135921982979</v>
      </c>
      <c r="I461">
        <v>2600</v>
      </c>
      <c r="J461">
        <v>150.00000001001371</v>
      </c>
      <c r="K461" s="67">
        <v>38.727000000000004</v>
      </c>
      <c r="L461" s="159">
        <v>0</v>
      </c>
      <c r="M461" s="159">
        <v>0</v>
      </c>
      <c r="N461" s="159">
        <v>0</v>
      </c>
      <c r="O461" s="159">
        <v>0</v>
      </c>
      <c r="P461" s="159">
        <v>3678</v>
      </c>
      <c r="Q461" s="159">
        <v>1500</v>
      </c>
      <c r="R461" s="159">
        <v>2000</v>
      </c>
      <c r="S461" s="159">
        <v>41000</v>
      </c>
      <c r="T461" s="159">
        <v>0</v>
      </c>
      <c r="U461" s="159">
        <v>13554</v>
      </c>
      <c r="V461" s="159">
        <v>4500</v>
      </c>
      <c r="W461" s="159">
        <v>186</v>
      </c>
      <c r="X461" s="159">
        <v>0</v>
      </c>
      <c r="Y461" s="159">
        <v>1500</v>
      </c>
      <c r="Z461" s="159">
        <v>7654</v>
      </c>
      <c r="AA461" s="159">
        <v>16654</v>
      </c>
      <c r="AB461" s="159">
        <v>8947</v>
      </c>
      <c r="AC461" s="159">
        <v>0</v>
      </c>
      <c r="AD461" s="207">
        <v>101173</v>
      </c>
      <c r="AE461" s="200">
        <v>20.110143866736301</v>
      </c>
      <c r="AF461" s="200">
        <v>17.289471842933164</v>
      </c>
      <c r="AG461" s="200">
        <v>13.734220700020076</v>
      </c>
      <c r="AH461" s="200">
        <v>0</v>
      </c>
      <c r="AI461" s="200">
        <v>0</v>
      </c>
      <c r="AJ461" s="200">
        <v>0</v>
      </c>
      <c r="AL461" s="197">
        <f t="shared" si="67"/>
        <v>115981.25864682408</v>
      </c>
      <c r="AM461" s="197" t="str">
        <f t="shared" si="68"/>
        <v>Box Medium 6</v>
      </c>
      <c r="AN461" s="3">
        <f t="shared" si="69"/>
        <v>16.537763503498944</v>
      </c>
      <c r="AO461" s="3">
        <f t="shared" si="70"/>
        <v>6.3834814750707398</v>
      </c>
      <c r="AP461" s="3">
        <f t="shared" si="71"/>
        <v>0</v>
      </c>
      <c r="AQ461" s="3">
        <f t="shared" si="63"/>
        <v>0</v>
      </c>
      <c r="AR461" s="3">
        <f t="shared" si="64"/>
        <v>6.3834814750707398</v>
      </c>
      <c r="AS461" s="81">
        <f t="shared" si="65"/>
        <v>1</v>
      </c>
      <c r="AT461" s="81">
        <f t="shared" si="66"/>
        <v>0</v>
      </c>
    </row>
    <row r="462" spans="1:46" x14ac:dyDescent="0.25">
      <c r="A462" t="s">
        <v>805</v>
      </c>
      <c r="B462">
        <v>2025</v>
      </c>
      <c r="C462" t="s">
        <v>680</v>
      </c>
      <c r="D462" t="s">
        <v>806</v>
      </c>
      <c r="E462" t="s">
        <v>1028</v>
      </c>
      <c r="F462">
        <v>6</v>
      </c>
      <c r="G462" t="s">
        <v>2197</v>
      </c>
      <c r="H462" s="460">
        <v>4593.1336671861118</v>
      </c>
      <c r="I462">
        <v>2600</v>
      </c>
      <c r="J462">
        <v>0</v>
      </c>
      <c r="K462" s="67">
        <v>0</v>
      </c>
      <c r="L462" s="159">
        <v>150</v>
      </c>
      <c r="M462" s="159">
        <v>16977</v>
      </c>
      <c r="N462" s="159">
        <v>1920</v>
      </c>
      <c r="O462" s="159">
        <v>506</v>
      </c>
      <c r="P462" s="159">
        <v>4864</v>
      </c>
      <c r="Q462" s="159">
        <v>1500</v>
      </c>
      <c r="R462" s="159">
        <v>2000</v>
      </c>
      <c r="S462" s="159">
        <v>41176</v>
      </c>
      <c r="T462" s="159">
        <v>92</v>
      </c>
      <c r="U462" s="159">
        <v>120</v>
      </c>
      <c r="V462" s="159">
        <v>0</v>
      </c>
      <c r="W462" s="159">
        <v>186</v>
      </c>
      <c r="X462" s="159">
        <v>0</v>
      </c>
      <c r="Y462" s="159">
        <v>0</v>
      </c>
      <c r="Z462" s="159">
        <v>0</v>
      </c>
      <c r="AA462" s="159">
        <v>0</v>
      </c>
      <c r="AB462" s="159">
        <v>0</v>
      </c>
      <c r="AC462" s="159">
        <v>0</v>
      </c>
      <c r="AD462" s="207">
        <v>69491</v>
      </c>
      <c r="AE462" s="200">
        <v>11.614736995469153</v>
      </c>
      <c r="AF462" s="200">
        <v>14.086355473816033</v>
      </c>
      <c r="AG462" s="200">
        <v>12.010597555727939</v>
      </c>
      <c r="AH462" s="200">
        <v>0</v>
      </c>
      <c r="AI462" s="200">
        <v>0</v>
      </c>
      <c r="AJ462" s="200">
        <v>0</v>
      </c>
      <c r="AL462" s="197">
        <f t="shared" si="67"/>
        <v>79662.100013110728</v>
      </c>
      <c r="AM462" s="197" t="str">
        <f t="shared" si="68"/>
        <v>Box Medium 6</v>
      </c>
      <c r="AN462" s="3">
        <f t="shared" si="69"/>
        <v>19.357608944175858</v>
      </c>
      <c r="AO462" s="3">
        <f t="shared" si="70"/>
        <v>7.4719255763130494</v>
      </c>
      <c r="AP462" s="3">
        <f t="shared" si="71"/>
        <v>0</v>
      </c>
      <c r="AQ462" s="3">
        <f t="shared" si="63"/>
        <v>0</v>
      </c>
      <c r="AR462" s="3">
        <f t="shared" si="64"/>
        <v>7.4719255763130494</v>
      </c>
      <c r="AS462" s="81">
        <f t="shared" si="65"/>
        <v>1</v>
      </c>
      <c r="AT462" s="81">
        <f t="shared" si="66"/>
        <v>0</v>
      </c>
    </row>
    <row r="463" spans="1:46" x14ac:dyDescent="0.25">
      <c r="A463" t="s">
        <v>805</v>
      </c>
      <c r="B463">
        <v>2025</v>
      </c>
      <c r="C463" t="s">
        <v>680</v>
      </c>
      <c r="D463" t="s">
        <v>806</v>
      </c>
      <c r="E463" t="s">
        <v>1028</v>
      </c>
      <c r="F463">
        <v>6</v>
      </c>
      <c r="G463" t="s">
        <v>2198</v>
      </c>
      <c r="H463" s="460">
        <v>4381.8362605703942</v>
      </c>
      <c r="I463">
        <v>2600</v>
      </c>
      <c r="J463">
        <v>0</v>
      </c>
      <c r="K463" s="67">
        <v>0</v>
      </c>
      <c r="L463" s="159">
        <v>150</v>
      </c>
      <c r="M463" s="159">
        <v>23490</v>
      </c>
      <c r="N463" s="159">
        <v>1920</v>
      </c>
      <c r="O463" s="159">
        <v>506</v>
      </c>
      <c r="P463" s="159">
        <v>3469</v>
      </c>
      <c r="Q463" s="159">
        <v>1500</v>
      </c>
      <c r="R463" s="159">
        <v>2000</v>
      </c>
      <c r="S463" s="159">
        <v>41176</v>
      </c>
      <c r="T463" s="159">
        <v>92</v>
      </c>
      <c r="U463" s="159">
        <v>120</v>
      </c>
      <c r="V463" s="159">
        <v>0</v>
      </c>
      <c r="W463" s="159">
        <v>186</v>
      </c>
      <c r="X463" s="159">
        <v>0</v>
      </c>
      <c r="Y463" s="159">
        <v>0</v>
      </c>
      <c r="Z463" s="159">
        <v>0</v>
      </c>
      <c r="AA463" s="159">
        <v>0</v>
      </c>
      <c r="AB463" s="159">
        <v>0</v>
      </c>
      <c r="AC463" s="159">
        <v>0</v>
      </c>
      <c r="AD463" s="207">
        <v>74609</v>
      </c>
      <c r="AE463" s="200">
        <v>8.6216912225260689</v>
      </c>
      <c r="AF463" s="200">
        <v>10.224909276029461</v>
      </c>
      <c r="AG463" s="200">
        <v>10.043021095561544</v>
      </c>
      <c r="AH463" s="200">
        <v>0</v>
      </c>
      <c r="AI463" s="200">
        <v>0</v>
      </c>
      <c r="AJ463" s="200">
        <v>0</v>
      </c>
      <c r="AL463" s="197">
        <f t="shared" si="67"/>
        <v>85529.199750732878</v>
      </c>
      <c r="AM463" s="197" t="str">
        <f t="shared" si="68"/>
        <v>Box Medium 6</v>
      </c>
      <c r="AN463" s="3">
        <f t="shared" si="69"/>
        <v>23.576308525732582</v>
      </c>
      <c r="AO463" s="3">
        <f t="shared" si="70"/>
        <v>9.1003193202469479</v>
      </c>
      <c r="AP463" s="3">
        <f t="shared" si="71"/>
        <v>0</v>
      </c>
      <c r="AQ463" s="3">
        <f t="shared" si="63"/>
        <v>0</v>
      </c>
      <c r="AR463" s="3">
        <f t="shared" si="64"/>
        <v>9.1003193202469479</v>
      </c>
      <c r="AS463" s="81">
        <f t="shared" si="65"/>
        <v>1</v>
      </c>
      <c r="AT463" s="81">
        <f t="shared" si="66"/>
        <v>0</v>
      </c>
    </row>
    <row r="464" spans="1:46" x14ac:dyDescent="0.25">
      <c r="A464" t="s">
        <v>807</v>
      </c>
      <c r="B464">
        <v>2025</v>
      </c>
      <c r="C464" t="s">
        <v>680</v>
      </c>
      <c r="D464" t="s">
        <v>806</v>
      </c>
      <c r="E464" t="s">
        <v>1028</v>
      </c>
      <c r="F464">
        <v>6</v>
      </c>
      <c r="G464" t="s">
        <v>2199</v>
      </c>
      <c r="H464" s="460">
        <v>4685.1782023560245</v>
      </c>
      <c r="I464">
        <v>2600</v>
      </c>
      <c r="J464">
        <v>0</v>
      </c>
      <c r="K464" s="67">
        <v>3.1680000000000006</v>
      </c>
      <c r="L464" s="159">
        <v>150</v>
      </c>
      <c r="M464" s="159">
        <v>17354</v>
      </c>
      <c r="N464" s="159">
        <v>220</v>
      </c>
      <c r="O464" s="159">
        <v>392</v>
      </c>
      <c r="P464" s="159">
        <v>4974</v>
      </c>
      <c r="Q464" s="159">
        <v>1500</v>
      </c>
      <c r="R464" s="159">
        <v>2000</v>
      </c>
      <c r="S464" s="159">
        <v>41176</v>
      </c>
      <c r="T464" s="159">
        <v>0</v>
      </c>
      <c r="U464" s="159">
        <v>1497</v>
      </c>
      <c r="V464" s="159">
        <v>4500</v>
      </c>
      <c r="W464" s="159">
        <v>186</v>
      </c>
      <c r="X464" s="159">
        <v>120</v>
      </c>
      <c r="Y464" s="159">
        <v>1500</v>
      </c>
      <c r="Z464" s="159">
        <v>3522</v>
      </c>
      <c r="AA464" s="159">
        <v>0</v>
      </c>
      <c r="AB464" s="159">
        <v>0</v>
      </c>
      <c r="AC464" s="159">
        <v>0</v>
      </c>
      <c r="AD464" s="207">
        <v>79091</v>
      </c>
      <c r="AE464" s="200">
        <v>12.903046132556481</v>
      </c>
      <c r="AF464" s="200">
        <v>13.275221594408864</v>
      </c>
      <c r="AG464" s="200">
        <v>11.350597016061407</v>
      </c>
      <c r="AH464" s="200">
        <v>0</v>
      </c>
      <c r="AI464" s="200">
        <v>0</v>
      </c>
      <c r="AJ464" s="200">
        <v>0</v>
      </c>
      <c r="AL464" s="197">
        <f t="shared" si="67"/>
        <v>90667.210892589545</v>
      </c>
      <c r="AM464" s="197" t="str">
        <f t="shared" si="68"/>
        <v>Box Medium 6</v>
      </c>
      <c r="AN464" s="3">
        <f t="shared" si="69"/>
        <v>20.327653197489489</v>
      </c>
      <c r="AO464" s="3">
        <f t="shared" si="70"/>
        <v>7.8463570718242952</v>
      </c>
      <c r="AP464" s="3">
        <f t="shared" si="71"/>
        <v>0</v>
      </c>
      <c r="AQ464" s="3">
        <f t="shared" si="63"/>
        <v>0</v>
      </c>
      <c r="AR464" s="3">
        <f t="shared" si="64"/>
        <v>7.8463570718242952</v>
      </c>
      <c r="AS464" s="81">
        <f t="shared" si="65"/>
        <v>1</v>
      </c>
      <c r="AT464" s="81">
        <f t="shared" si="66"/>
        <v>0</v>
      </c>
    </row>
    <row r="465" spans="1:46" x14ac:dyDescent="0.25">
      <c r="A465" t="s">
        <v>807</v>
      </c>
      <c r="B465">
        <v>2025</v>
      </c>
      <c r="C465" t="s">
        <v>680</v>
      </c>
      <c r="D465" t="s">
        <v>806</v>
      </c>
      <c r="E465" t="s">
        <v>1028</v>
      </c>
      <c r="F465">
        <v>6</v>
      </c>
      <c r="G465" t="s">
        <v>2200</v>
      </c>
      <c r="H465" s="460">
        <v>4450.5714424074094</v>
      </c>
      <c r="I465">
        <v>2600</v>
      </c>
      <c r="J465">
        <v>0</v>
      </c>
      <c r="K465" s="67">
        <v>4.1025600000000004</v>
      </c>
      <c r="L465" s="159">
        <v>150</v>
      </c>
      <c r="M465" s="159">
        <v>19328</v>
      </c>
      <c r="N465" s="159">
        <v>220</v>
      </c>
      <c r="O465" s="159">
        <v>392</v>
      </c>
      <c r="P465" s="159">
        <v>3224</v>
      </c>
      <c r="Q465" s="159">
        <v>1500</v>
      </c>
      <c r="R465" s="159">
        <v>2000</v>
      </c>
      <c r="S465" s="159">
        <v>41176</v>
      </c>
      <c r="T465" s="159">
        <v>0</v>
      </c>
      <c r="U465" s="159">
        <v>1938</v>
      </c>
      <c r="V465" s="159">
        <v>4500</v>
      </c>
      <c r="W465" s="159">
        <v>186</v>
      </c>
      <c r="X465" s="159">
        <v>120</v>
      </c>
      <c r="Y465" s="159">
        <v>1500</v>
      </c>
      <c r="Z465" s="159">
        <v>3512</v>
      </c>
      <c r="AA465" s="159">
        <v>0</v>
      </c>
      <c r="AB465" s="159">
        <v>0</v>
      </c>
      <c r="AC465" s="159">
        <v>0</v>
      </c>
      <c r="AD465" s="207">
        <v>79746</v>
      </c>
      <c r="AE465" s="200">
        <v>10.546643086642396</v>
      </c>
      <c r="AF465" s="200">
        <v>10.779033145769874</v>
      </c>
      <c r="AG465" s="200">
        <v>9.604732081545297</v>
      </c>
      <c r="AH465" s="200">
        <v>0</v>
      </c>
      <c r="AI465" s="200">
        <v>0</v>
      </c>
      <c r="AJ465" s="200">
        <v>0</v>
      </c>
      <c r="AL465" s="197">
        <f t="shared" si="67"/>
        <v>91418.08043697066</v>
      </c>
      <c r="AM465" s="197" t="str">
        <f t="shared" si="68"/>
        <v>Box Medium 6</v>
      </c>
      <c r="AN465" s="3">
        <f t="shared" si="69"/>
        <v>24.140030103341715</v>
      </c>
      <c r="AO465" s="3">
        <f t="shared" si="70"/>
        <v>9.3179126028576356</v>
      </c>
      <c r="AP465" s="3">
        <f t="shared" si="71"/>
        <v>0</v>
      </c>
      <c r="AQ465" s="3">
        <f t="shared" si="63"/>
        <v>0</v>
      </c>
      <c r="AR465" s="3">
        <f t="shared" si="64"/>
        <v>9.3179126028576356</v>
      </c>
      <c r="AS465" s="81">
        <f t="shared" si="65"/>
        <v>1</v>
      </c>
      <c r="AT465" s="81">
        <f t="shared" si="66"/>
        <v>0</v>
      </c>
    </row>
    <row r="466" spans="1:46" x14ac:dyDescent="0.25">
      <c r="A466" t="s">
        <v>808</v>
      </c>
      <c r="B466">
        <v>2025</v>
      </c>
      <c r="C466" t="s">
        <v>680</v>
      </c>
      <c r="D466" t="s">
        <v>806</v>
      </c>
      <c r="E466" t="s">
        <v>1028</v>
      </c>
      <c r="F466">
        <v>6</v>
      </c>
      <c r="G466" t="s">
        <v>2201</v>
      </c>
      <c r="H466" s="460">
        <v>5640.2202841971066</v>
      </c>
      <c r="I466">
        <v>2600</v>
      </c>
      <c r="J466">
        <v>119.99999997072871</v>
      </c>
      <c r="K466" s="67">
        <v>158.13525000000001</v>
      </c>
      <c r="L466" s="159">
        <v>0</v>
      </c>
      <c r="M466" s="159">
        <v>11267</v>
      </c>
      <c r="N466" s="159">
        <v>220</v>
      </c>
      <c r="O466" s="159">
        <v>0</v>
      </c>
      <c r="P466" s="159">
        <v>3483</v>
      </c>
      <c r="Q466" s="159">
        <v>1500</v>
      </c>
      <c r="R466" s="159">
        <v>2000</v>
      </c>
      <c r="S466" s="159">
        <v>41176</v>
      </c>
      <c r="T466" s="159">
        <v>3351</v>
      </c>
      <c r="U466" s="159">
        <v>44278</v>
      </c>
      <c r="V466" s="159">
        <v>4500</v>
      </c>
      <c r="W466" s="159">
        <v>186</v>
      </c>
      <c r="X466" s="159">
        <v>0</v>
      </c>
      <c r="Y466" s="159">
        <v>1500</v>
      </c>
      <c r="Z466" s="159">
        <v>6044</v>
      </c>
      <c r="AA466" s="159">
        <v>0</v>
      </c>
      <c r="AB466" s="159">
        <v>0</v>
      </c>
      <c r="AC466" s="159">
        <v>0</v>
      </c>
      <c r="AD466" s="207">
        <v>119505</v>
      </c>
      <c r="AE466" s="200">
        <v>13.233074913403785</v>
      </c>
      <c r="AF466" s="200">
        <v>12.037213021862891</v>
      </c>
      <c r="AG466" s="200">
        <v>10.233467840957605</v>
      </c>
      <c r="AH466" s="200">
        <v>1033</v>
      </c>
      <c r="AI466" s="200">
        <v>1126</v>
      </c>
      <c r="AJ466" s="200">
        <v>1425</v>
      </c>
      <c r="AL466" s="197">
        <f t="shared" si="67"/>
        <v>136996.43496376218</v>
      </c>
      <c r="AM466" s="197" t="str">
        <f t="shared" si="68"/>
        <v>Box Medium 6</v>
      </c>
      <c r="AN466" s="3">
        <f t="shared" si="69"/>
        <v>4.482880676606964</v>
      </c>
      <c r="AO466" s="3">
        <f t="shared" si="70"/>
        <v>1.7303661252634728</v>
      </c>
      <c r="AP466" s="3">
        <f t="shared" si="71"/>
        <v>68.524488299551365</v>
      </c>
      <c r="AQ466" s="3">
        <f t="shared" si="63"/>
        <v>2.4668815787838492</v>
      </c>
      <c r="AR466" s="3">
        <f t="shared" si="64"/>
        <v>4.1972477040473217</v>
      </c>
      <c r="AS466" s="81">
        <f t="shared" si="65"/>
        <v>0.41226209346541914</v>
      </c>
      <c r="AT466" s="81">
        <f t="shared" si="66"/>
        <v>0.58773790653458091</v>
      </c>
    </row>
    <row r="467" spans="1:46" x14ac:dyDescent="0.25">
      <c r="A467" t="s">
        <v>808</v>
      </c>
      <c r="B467">
        <v>2025</v>
      </c>
      <c r="C467" t="s">
        <v>680</v>
      </c>
      <c r="D467" t="s">
        <v>806</v>
      </c>
      <c r="E467" t="s">
        <v>1028</v>
      </c>
      <c r="F467">
        <v>6</v>
      </c>
      <c r="G467" t="s">
        <v>2202</v>
      </c>
      <c r="H467" s="460">
        <v>5557.3179693385991</v>
      </c>
      <c r="I467">
        <v>2600</v>
      </c>
      <c r="J467">
        <v>119.99999997072871</v>
      </c>
      <c r="K467" s="67">
        <v>158.13525000000001</v>
      </c>
      <c r="L467" s="159">
        <v>0</v>
      </c>
      <c r="M467" s="159">
        <v>8253</v>
      </c>
      <c r="N467" s="159">
        <v>220</v>
      </c>
      <c r="O467" s="159">
        <v>0</v>
      </c>
      <c r="P467" s="159">
        <v>3483</v>
      </c>
      <c r="Q467" s="159">
        <v>1500</v>
      </c>
      <c r="R467" s="159">
        <v>2000</v>
      </c>
      <c r="S467" s="159">
        <v>41176</v>
      </c>
      <c r="T467" s="159">
        <v>3351</v>
      </c>
      <c r="U467" s="159">
        <v>44278</v>
      </c>
      <c r="V467" s="159">
        <v>4500</v>
      </c>
      <c r="W467" s="159">
        <v>186</v>
      </c>
      <c r="X467" s="159">
        <v>0</v>
      </c>
      <c r="Y467" s="159">
        <v>1500</v>
      </c>
      <c r="Z467" s="159">
        <v>6044</v>
      </c>
      <c r="AA467" s="159">
        <v>0</v>
      </c>
      <c r="AB467" s="159">
        <v>0</v>
      </c>
      <c r="AC467" s="159">
        <v>0</v>
      </c>
      <c r="AD467" s="207">
        <v>116491</v>
      </c>
      <c r="AE467" s="200">
        <v>10.24906805405484</v>
      </c>
      <c r="AF467" s="200">
        <v>9.3654357291562391</v>
      </c>
      <c r="AG467" s="200">
        <v>8.0384670116174615</v>
      </c>
      <c r="AH467" s="200">
        <v>1029</v>
      </c>
      <c r="AI467" s="200">
        <v>1123</v>
      </c>
      <c r="AJ467" s="200">
        <v>1422</v>
      </c>
      <c r="AL467" s="197">
        <f t="shared" si="67"/>
        <v>133541.28869389248</v>
      </c>
      <c r="AM467" s="197" t="str">
        <f t="shared" si="68"/>
        <v>Box Medium 6</v>
      </c>
      <c r="AN467" s="3">
        <f t="shared" si="69"/>
        <v>5.7144981278511313</v>
      </c>
      <c r="AO467" s="3">
        <f t="shared" si="70"/>
        <v>2.2057633688343823</v>
      </c>
      <c r="AP467" s="3">
        <f t="shared" si="71"/>
        <v>68.372873351808821</v>
      </c>
      <c r="AQ467" s="3">
        <f t="shared" si="63"/>
        <v>2.4614234406651176</v>
      </c>
      <c r="AR467" s="3">
        <f t="shared" si="64"/>
        <v>4.6671868094994995</v>
      </c>
      <c r="AS467" s="81">
        <f t="shared" si="65"/>
        <v>0.47261090221304519</v>
      </c>
      <c r="AT467" s="81">
        <f t="shared" si="66"/>
        <v>0.52738909778695486</v>
      </c>
    </row>
    <row r="468" spans="1:46" x14ac:dyDescent="0.25">
      <c r="A468" t="s">
        <v>230</v>
      </c>
      <c r="B468">
        <v>2025</v>
      </c>
      <c r="C468" t="s">
        <v>680</v>
      </c>
      <c r="D468" t="s">
        <v>806</v>
      </c>
      <c r="E468" t="s">
        <v>1028</v>
      </c>
      <c r="F468">
        <v>6</v>
      </c>
      <c r="G468" t="s">
        <v>2203</v>
      </c>
      <c r="H468" s="460">
        <v>5376.9888074771734</v>
      </c>
      <c r="I468">
        <v>2600</v>
      </c>
      <c r="J468">
        <v>150.00000001001371</v>
      </c>
      <c r="K468" s="67">
        <v>198.84825000000001</v>
      </c>
      <c r="L468" s="159">
        <v>0</v>
      </c>
      <c r="M468" s="159">
        <v>0</v>
      </c>
      <c r="N468" s="159">
        <v>0</v>
      </c>
      <c r="O468" s="159">
        <v>0</v>
      </c>
      <c r="P468" s="159">
        <v>2922</v>
      </c>
      <c r="Q468" s="159">
        <v>1500</v>
      </c>
      <c r="R468" s="159">
        <v>2000</v>
      </c>
      <c r="S468" s="159">
        <v>41176</v>
      </c>
      <c r="T468" s="159">
        <v>0</v>
      </c>
      <c r="U468" s="159">
        <v>55678</v>
      </c>
      <c r="V468" s="159">
        <v>4500</v>
      </c>
      <c r="W468" s="159">
        <v>186</v>
      </c>
      <c r="X468" s="159">
        <v>0</v>
      </c>
      <c r="Y468" s="159">
        <v>1500</v>
      </c>
      <c r="Z468" s="159">
        <v>4888</v>
      </c>
      <c r="AA468" s="159">
        <v>0</v>
      </c>
      <c r="AB468" s="159">
        <v>0</v>
      </c>
      <c r="AC468" s="159">
        <v>0</v>
      </c>
      <c r="AD468" s="207">
        <v>114350</v>
      </c>
      <c r="AE468" s="200">
        <v>0</v>
      </c>
      <c r="AF468" s="200">
        <v>0</v>
      </c>
      <c r="AG468" s="200">
        <v>0</v>
      </c>
      <c r="AH468" s="200">
        <v>995</v>
      </c>
      <c r="AI468" s="200">
        <v>1091</v>
      </c>
      <c r="AJ468" s="200">
        <v>1363</v>
      </c>
      <c r="AL468" s="197">
        <f t="shared" si="67"/>
        <v>131086.91969462537</v>
      </c>
      <c r="AM468" s="197" t="str">
        <f t="shared" si="68"/>
        <v>Box Medium 6</v>
      </c>
      <c r="AN468" s="3">
        <f t="shared" si="69"/>
        <v>0</v>
      </c>
      <c r="AO468" s="3">
        <f t="shared" si="70"/>
        <v>0</v>
      </c>
      <c r="AP468" s="3">
        <f t="shared" si="71"/>
        <v>82.028657710614297</v>
      </c>
      <c r="AQ468" s="3">
        <f t="shared" si="63"/>
        <v>2.953031677582115</v>
      </c>
      <c r="AR468" s="3">
        <f t="shared" si="64"/>
        <v>2.953031677582115</v>
      </c>
      <c r="AS468" s="81">
        <f t="shared" si="65"/>
        <v>0</v>
      </c>
      <c r="AT468" s="81">
        <f t="shared" si="66"/>
        <v>1</v>
      </c>
    </row>
    <row r="469" spans="1:46" x14ac:dyDescent="0.25">
      <c r="A469" t="s">
        <v>496</v>
      </c>
      <c r="B469">
        <v>2025</v>
      </c>
      <c r="C469" t="s">
        <v>680</v>
      </c>
      <c r="D469" t="s">
        <v>806</v>
      </c>
      <c r="E469" t="s">
        <v>1028</v>
      </c>
      <c r="F469">
        <v>6</v>
      </c>
      <c r="G469" t="s">
        <v>2204</v>
      </c>
      <c r="H469" s="460">
        <v>4588.4401645990565</v>
      </c>
      <c r="I469">
        <v>2600</v>
      </c>
      <c r="J469">
        <v>150.00000001001371</v>
      </c>
      <c r="K469" s="67">
        <v>4.4352000000000009</v>
      </c>
      <c r="L469" s="159">
        <v>0</v>
      </c>
      <c r="M469" s="159">
        <v>0</v>
      </c>
      <c r="N469" s="159">
        <v>0</v>
      </c>
      <c r="O469" s="159">
        <v>0</v>
      </c>
      <c r="P469" s="159">
        <v>3082</v>
      </c>
      <c r="Q469" s="159">
        <v>1500</v>
      </c>
      <c r="R469" s="159">
        <v>2000</v>
      </c>
      <c r="S469" s="159">
        <v>41176</v>
      </c>
      <c r="T469" s="159">
        <v>0</v>
      </c>
      <c r="U469" s="159">
        <v>2095</v>
      </c>
      <c r="V469" s="159">
        <v>4500</v>
      </c>
      <c r="W469" s="159">
        <v>186</v>
      </c>
      <c r="X469" s="159">
        <v>0</v>
      </c>
      <c r="Y469" s="159">
        <v>1500</v>
      </c>
      <c r="Z469" s="159">
        <v>5218</v>
      </c>
      <c r="AA469" s="159">
        <v>19284</v>
      </c>
      <c r="AB469" s="159">
        <v>8621</v>
      </c>
      <c r="AC469" s="159">
        <v>0</v>
      </c>
      <c r="AD469" s="207">
        <v>89162</v>
      </c>
      <c r="AE469" s="200">
        <v>21.804698408907004</v>
      </c>
      <c r="AF469" s="200">
        <v>19.895883118454467</v>
      </c>
      <c r="AG469" s="200">
        <v>15.379815824667906</v>
      </c>
      <c r="AH469" s="200">
        <v>0</v>
      </c>
      <c r="AI469" s="200">
        <v>0</v>
      </c>
      <c r="AJ469" s="200">
        <v>0</v>
      </c>
      <c r="AL469" s="197">
        <f t="shared" si="67"/>
        <v>102212.2600245928</v>
      </c>
      <c r="AM469" s="197" t="str">
        <f t="shared" si="68"/>
        <v>Box Medium 6</v>
      </c>
      <c r="AN469" s="3">
        <f t="shared" si="69"/>
        <v>14.756003473106398</v>
      </c>
      <c r="AO469" s="3">
        <f t="shared" si="70"/>
        <v>5.6957323640965818</v>
      </c>
      <c r="AP469" s="3">
        <f t="shared" si="71"/>
        <v>0</v>
      </c>
      <c r="AQ469" s="3">
        <f t="shared" si="63"/>
        <v>0</v>
      </c>
      <c r="AR469" s="3">
        <f t="shared" si="64"/>
        <v>5.6957323640965818</v>
      </c>
      <c r="AS469" s="81">
        <f t="shared" si="65"/>
        <v>1</v>
      </c>
      <c r="AT469" s="81">
        <f t="shared" si="66"/>
        <v>0</v>
      </c>
    </row>
    <row r="470" spans="1:46" x14ac:dyDescent="0.25">
      <c r="A470" t="s">
        <v>828</v>
      </c>
      <c r="B470">
        <v>2025</v>
      </c>
      <c r="C470" t="s">
        <v>680</v>
      </c>
      <c r="D470" t="s">
        <v>806</v>
      </c>
      <c r="E470" t="s">
        <v>1028</v>
      </c>
      <c r="F470">
        <v>6</v>
      </c>
      <c r="G470" t="s">
        <v>2205</v>
      </c>
      <c r="H470" s="460">
        <v>4726.2302435556248</v>
      </c>
      <c r="I470">
        <v>2600</v>
      </c>
      <c r="J470">
        <v>150.00000001001371</v>
      </c>
      <c r="K470" s="67">
        <v>39.72</v>
      </c>
      <c r="L470" s="159">
        <v>0</v>
      </c>
      <c r="M470" s="159">
        <v>0</v>
      </c>
      <c r="N470" s="159">
        <v>0</v>
      </c>
      <c r="O470" s="159">
        <v>0</v>
      </c>
      <c r="P470" s="159">
        <v>3647</v>
      </c>
      <c r="Q470" s="159">
        <v>1500</v>
      </c>
      <c r="R470" s="159">
        <v>2000</v>
      </c>
      <c r="S470" s="159">
        <v>41176</v>
      </c>
      <c r="T470" s="159">
        <v>0</v>
      </c>
      <c r="U470" s="159">
        <v>11122</v>
      </c>
      <c r="V470" s="159">
        <v>4500</v>
      </c>
      <c r="W470" s="159">
        <v>186</v>
      </c>
      <c r="X470" s="159">
        <v>0</v>
      </c>
      <c r="Y470" s="159">
        <v>1500</v>
      </c>
      <c r="Z470" s="159">
        <v>6384</v>
      </c>
      <c r="AA470" s="159">
        <v>11416</v>
      </c>
      <c r="AB470" s="159">
        <v>6439</v>
      </c>
      <c r="AC470" s="159">
        <v>0</v>
      </c>
      <c r="AD470" s="207">
        <v>89870</v>
      </c>
      <c r="AE470" s="200">
        <v>21.626614206141927</v>
      </c>
      <c r="AF470" s="200">
        <v>18.820620576021561</v>
      </c>
      <c r="AG470" s="200">
        <v>14.851988209326636</v>
      </c>
      <c r="AH470" s="200">
        <v>0</v>
      </c>
      <c r="AI470" s="200">
        <v>0</v>
      </c>
      <c r="AJ470" s="200">
        <v>0</v>
      </c>
      <c r="AL470" s="197">
        <f t="shared" si="67"/>
        <v>103023.88695195437</v>
      </c>
      <c r="AM470" s="197" t="str">
        <f t="shared" si="68"/>
        <v>Box Medium 6</v>
      </c>
      <c r="AN470" s="3">
        <f t="shared" si="69"/>
        <v>15.288667655341673</v>
      </c>
      <c r="AO470" s="3">
        <f t="shared" si="70"/>
        <v>5.9013376709455496</v>
      </c>
      <c r="AP470" s="3">
        <f t="shared" si="71"/>
        <v>0</v>
      </c>
      <c r="AQ470" s="3">
        <f t="shared" si="63"/>
        <v>0</v>
      </c>
      <c r="AR470" s="3">
        <f t="shared" si="64"/>
        <v>5.9013376709455496</v>
      </c>
      <c r="AS470" s="81">
        <f t="shared" si="65"/>
        <v>1</v>
      </c>
      <c r="AT470" s="81">
        <f t="shared" si="66"/>
        <v>0</v>
      </c>
    </row>
    <row r="471" spans="1:46" x14ac:dyDescent="0.25">
      <c r="A471" t="s">
        <v>805</v>
      </c>
      <c r="B471">
        <v>2030</v>
      </c>
      <c r="C471" t="s">
        <v>680</v>
      </c>
      <c r="D471" t="s">
        <v>806</v>
      </c>
      <c r="E471" t="s">
        <v>1028</v>
      </c>
      <c r="F471">
        <v>6</v>
      </c>
      <c r="G471" t="s">
        <v>2206</v>
      </c>
      <c r="H471" s="460">
        <v>4549.5716582300511</v>
      </c>
      <c r="I471">
        <v>2600</v>
      </c>
      <c r="J471">
        <v>0</v>
      </c>
      <c r="K471" s="67">
        <v>0</v>
      </c>
      <c r="L471" s="159">
        <v>150</v>
      </c>
      <c r="M471" s="159">
        <v>17078</v>
      </c>
      <c r="N471" s="159">
        <v>1920</v>
      </c>
      <c r="O471" s="159">
        <v>506</v>
      </c>
      <c r="P471" s="159">
        <v>4821</v>
      </c>
      <c r="Q471" s="159">
        <v>1500</v>
      </c>
      <c r="R471" s="159">
        <v>2000</v>
      </c>
      <c r="S471" s="159">
        <v>41373</v>
      </c>
      <c r="T471" s="159">
        <v>73</v>
      </c>
      <c r="U471" s="159">
        <v>120</v>
      </c>
      <c r="V471" s="159">
        <v>0</v>
      </c>
      <c r="W471" s="159">
        <v>186</v>
      </c>
      <c r="X471" s="159">
        <v>0</v>
      </c>
      <c r="Y471" s="159">
        <v>0</v>
      </c>
      <c r="Z471" s="159">
        <v>0</v>
      </c>
      <c r="AA471" s="159">
        <v>0</v>
      </c>
      <c r="AB471" s="159">
        <v>0</v>
      </c>
      <c r="AC471" s="159">
        <v>0</v>
      </c>
      <c r="AD471" s="207">
        <v>69727</v>
      </c>
      <c r="AE471" s="200">
        <v>12.318671755418469</v>
      </c>
      <c r="AF471" s="200">
        <v>15.507074086267123</v>
      </c>
      <c r="AG471" s="200">
        <v>13.40465826436861</v>
      </c>
      <c r="AH471" s="200">
        <v>0</v>
      </c>
      <c r="AI471" s="200">
        <v>0</v>
      </c>
      <c r="AJ471" s="200">
        <v>0</v>
      </c>
      <c r="AL471" s="197">
        <f t="shared" si="67"/>
        <v>79932.642322231244</v>
      </c>
      <c r="AM471" s="197" t="str">
        <f t="shared" si="68"/>
        <v>Box Medium 6</v>
      </c>
      <c r="AN471" s="3">
        <f t="shared" si="69"/>
        <v>17.410501636712738</v>
      </c>
      <c r="AO471" s="3">
        <f t="shared" si="70"/>
        <v>6.7203533685876229</v>
      </c>
      <c r="AP471" s="3">
        <f t="shared" si="71"/>
        <v>0</v>
      </c>
      <c r="AQ471" s="3">
        <f t="shared" si="63"/>
        <v>0</v>
      </c>
      <c r="AR471" s="3">
        <f t="shared" si="64"/>
        <v>6.7203533685876229</v>
      </c>
      <c r="AS471" s="81">
        <f t="shared" si="65"/>
        <v>1</v>
      </c>
      <c r="AT471" s="81">
        <f t="shared" si="66"/>
        <v>0</v>
      </c>
    </row>
    <row r="472" spans="1:46" x14ac:dyDescent="0.25">
      <c r="A472" t="s">
        <v>805</v>
      </c>
      <c r="B472">
        <v>2030</v>
      </c>
      <c r="C472" t="s">
        <v>680</v>
      </c>
      <c r="D472" t="s">
        <v>806</v>
      </c>
      <c r="E472" t="s">
        <v>1028</v>
      </c>
      <c r="F472">
        <v>6</v>
      </c>
      <c r="G472" t="s">
        <v>2207</v>
      </c>
      <c r="H472" s="460">
        <v>4341.454114007196</v>
      </c>
      <c r="I472">
        <v>2600</v>
      </c>
      <c r="J472">
        <v>0</v>
      </c>
      <c r="K472" s="67">
        <v>0</v>
      </c>
      <c r="L472" s="159">
        <v>150</v>
      </c>
      <c r="M472" s="159">
        <v>23612</v>
      </c>
      <c r="N472" s="159">
        <v>1920</v>
      </c>
      <c r="O472" s="159">
        <v>506</v>
      </c>
      <c r="P472" s="159">
        <v>3454</v>
      </c>
      <c r="Q472" s="159">
        <v>1500</v>
      </c>
      <c r="R472" s="159">
        <v>2000</v>
      </c>
      <c r="S472" s="159">
        <v>41373</v>
      </c>
      <c r="T472" s="159">
        <v>73</v>
      </c>
      <c r="U472" s="159">
        <v>120</v>
      </c>
      <c r="V472" s="159">
        <v>0</v>
      </c>
      <c r="W472" s="159">
        <v>186</v>
      </c>
      <c r="X472" s="159">
        <v>0</v>
      </c>
      <c r="Y472" s="159">
        <v>0</v>
      </c>
      <c r="Z472" s="159">
        <v>0</v>
      </c>
      <c r="AA472" s="159">
        <v>0</v>
      </c>
      <c r="AB472" s="159">
        <v>0</v>
      </c>
      <c r="AC472" s="159">
        <v>0</v>
      </c>
      <c r="AD472" s="207">
        <v>74894</v>
      </c>
      <c r="AE472" s="200">
        <v>9.2116382452669541</v>
      </c>
      <c r="AF472" s="200">
        <v>11.270602568882895</v>
      </c>
      <c r="AG472" s="200">
        <v>11.273134605184874</v>
      </c>
      <c r="AH472" s="200">
        <v>0</v>
      </c>
      <c r="AI472" s="200">
        <v>0</v>
      </c>
      <c r="AJ472" s="200">
        <v>0</v>
      </c>
      <c r="AL472" s="197">
        <f t="shared" si="67"/>
        <v>85855.913979967401</v>
      </c>
      <c r="AM472" s="197" t="str">
        <f t="shared" si="68"/>
        <v>Box Medium 6</v>
      </c>
      <c r="AN472" s="3">
        <f t="shared" si="69"/>
        <v>21.098998056698683</v>
      </c>
      <c r="AO472" s="3">
        <f t="shared" si="70"/>
        <v>8.1440917454765795</v>
      </c>
      <c r="AP472" s="3">
        <f t="shared" si="71"/>
        <v>0</v>
      </c>
      <c r="AQ472" s="3">
        <f t="shared" si="63"/>
        <v>0</v>
      </c>
      <c r="AR472" s="3">
        <f t="shared" si="64"/>
        <v>8.1440917454765795</v>
      </c>
      <c r="AS472" s="81">
        <f t="shared" si="65"/>
        <v>1</v>
      </c>
      <c r="AT472" s="81">
        <f t="shared" si="66"/>
        <v>0</v>
      </c>
    </row>
    <row r="473" spans="1:46" x14ac:dyDescent="0.25">
      <c r="A473" t="s">
        <v>807</v>
      </c>
      <c r="B473">
        <v>2030</v>
      </c>
      <c r="C473" t="s">
        <v>680</v>
      </c>
      <c r="D473" t="s">
        <v>806</v>
      </c>
      <c r="E473" t="s">
        <v>1028</v>
      </c>
      <c r="F473">
        <v>6</v>
      </c>
      <c r="G473" t="s">
        <v>2208</v>
      </c>
      <c r="H473" s="460">
        <v>4635.9937869351015</v>
      </c>
      <c r="I473">
        <v>2600</v>
      </c>
      <c r="J473">
        <v>0</v>
      </c>
      <c r="K473" s="67">
        <v>3.1046400000000003</v>
      </c>
      <c r="L473" s="159">
        <v>150</v>
      </c>
      <c r="M473" s="159">
        <v>17453</v>
      </c>
      <c r="N473" s="159">
        <v>220</v>
      </c>
      <c r="O473" s="159">
        <v>392</v>
      </c>
      <c r="P473" s="159">
        <v>4930</v>
      </c>
      <c r="Q473" s="159">
        <v>1500</v>
      </c>
      <c r="R473" s="159">
        <v>2000</v>
      </c>
      <c r="S473" s="159">
        <v>41373</v>
      </c>
      <c r="T473" s="159">
        <v>0</v>
      </c>
      <c r="U473" s="159">
        <v>1115</v>
      </c>
      <c r="V473" s="159">
        <v>4500</v>
      </c>
      <c r="W473" s="159">
        <v>186</v>
      </c>
      <c r="X473" s="159">
        <v>120</v>
      </c>
      <c r="Y473" s="159">
        <v>1500</v>
      </c>
      <c r="Z473" s="159">
        <v>2760</v>
      </c>
      <c r="AA473" s="159">
        <v>0</v>
      </c>
      <c r="AB473" s="159">
        <v>0</v>
      </c>
      <c r="AC473" s="159">
        <v>0</v>
      </c>
      <c r="AD473" s="207">
        <v>78199</v>
      </c>
      <c r="AE473" s="200">
        <v>14.123435299535869</v>
      </c>
      <c r="AF473" s="200">
        <v>14.769519024885142</v>
      </c>
      <c r="AG473" s="200">
        <v>12.712126858571352</v>
      </c>
      <c r="AH473" s="200">
        <v>0</v>
      </c>
      <c r="AI473" s="200">
        <v>0</v>
      </c>
      <c r="AJ473" s="200">
        <v>0</v>
      </c>
      <c r="AL473" s="197">
        <f t="shared" si="67"/>
        <v>89644.652673371311</v>
      </c>
      <c r="AM473" s="197" t="str">
        <f t="shared" si="68"/>
        <v>Box Medium 6</v>
      </c>
      <c r="AN473" s="3">
        <f t="shared" si="69"/>
        <v>18.17878462242717</v>
      </c>
      <c r="AO473" s="3">
        <f t="shared" si="70"/>
        <v>7.016906176703575</v>
      </c>
      <c r="AP473" s="3">
        <f t="shared" si="71"/>
        <v>0</v>
      </c>
      <c r="AQ473" s="3">
        <f t="shared" si="63"/>
        <v>0</v>
      </c>
      <c r="AR473" s="3">
        <f t="shared" si="64"/>
        <v>7.016906176703575</v>
      </c>
      <c r="AS473" s="81">
        <f t="shared" si="65"/>
        <v>1</v>
      </c>
      <c r="AT473" s="81">
        <f t="shared" si="66"/>
        <v>0</v>
      </c>
    </row>
    <row r="474" spans="1:46" x14ac:dyDescent="0.25">
      <c r="A474" t="s">
        <v>807</v>
      </c>
      <c r="B474">
        <v>2030</v>
      </c>
      <c r="C474" t="s">
        <v>680</v>
      </c>
      <c r="D474" t="s">
        <v>806</v>
      </c>
      <c r="E474" t="s">
        <v>1028</v>
      </c>
      <c r="F474">
        <v>6</v>
      </c>
      <c r="G474" t="s">
        <v>2209</v>
      </c>
      <c r="H474" s="460">
        <v>4400.3859303412855</v>
      </c>
      <c r="I474">
        <v>2600</v>
      </c>
      <c r="J474">
        <v>0</v>
      </c>
      <c r="K474" s="67">
        <v>3.2155200000000006</v>
      </c>
      <c r="L474" s="159">
        <v>150</v>
      </c>
      <c r="M474" s="159">
        <v>19711</v>
      </c>
      <c r="N474" s="159">
        <v>220</v>
      </c>
      <c r="O474" s="159">
        <v>392</v>
      </c>
      <c r="P474" s="159">
        <v>3224</v>
      </c>
      <c r="Q474" s="159">
        <v>1500</v>
      </c>
      <c r="R474" s="159">
        <v>2000</v>
      </c>
      <c r="S474" s="159">
        <v>41373</v>
      </c>
      <c r="T474" s="159">
        <v>0</v>
      </c>
      <c r="U474" s="159">
        <v>1155</v>
      </c>
      <c r="V474" s="159">
        <v>4500</v>
      </c>
      <c r="W474" s="159">
        <v>186</v>
      </c>
      <c r="X474" s="159">
        <v>120</v>
      </c>
      <c r="Y474" s="159">
        <v>1500</v>
      </c>
      <c r="Z474" s="159">
        <v>2755</v>
      </c>
      <c r="AA474" s="159">
        <v>0</v>
      </c>
      <c r="AB474" s="159">
        <v>0</v>
      </c>
      <c r="AC474" s="159">
        <v>0</v>
      </c>
      <c r="AD474" s="207">
        <v>78786</v>
      </c>
      <c r="AE474" s="200">
        <v>11.710732947938185</v>
      </c>
      <c r="AF474" s="200">
        <v>12.060511856307516</v>
      </c>
      <c r="AG474" s="200">
        <v>10.936758841132896</v>
      </c>
      <c r="AH474" s="200">
        <v>0</v>
      </c>
      <c r="AI474" s="200">
        <v>0</v>
      </c>
      <c r="AJ474" s="200">
        <v>0</v>
      </c>
      <c r="AL474" s="197">
        <f t="shared" si="67"/>
        <v>90317.569349022771</v>
      </c>
      <c r="AM474" s="197" t="str">
        <f t="shared" si="68"/>
        <v>Box Medium 6</v>
      </c>
      <c r="AN474" s="3">
        <f t="shared" si="69"/>
        <v>21.255415908476994</v>
      </c>
      <c r="AO474" s="3">
        <f t="shared" si="70"/>
        <v>8.2044681354875966</v>
      </c>
      <c r="AP474" s="3">
        <f t="shared" si="71"/>
        <v>0</v>
      </c>
      <c r="AQ474" s="3">
        <f t="shared" si="63"/>
        <v>0</v>
      </c>
      <c r="AR474" s="3">
        <f t="shared" si="64"/>
        <v>8.2044681354875966</v>
      </c>
      <c r="AS474" s="81">
        <f t="shared" si="65"/>
        <v>1</v>
      </c>
      <c r="AT474" s="81">
        <f t="shared" si="66"/>
        <v>0</v>
      </c>
    </row>
    <row r="475" spans="1:46" x14ac:dyDescent="0.25">
      <c r="A475" t="s">
        <v>808</v>
      </c>
      <c r="B475">
        <v>2030</v>
      </c>
      <c r="C475" t="s">
        <v>680</v>
      </c>
      <c r="D475" t="s">
        <v>806</v>
      </c>
      <c r="E475" t="s">
        <v>1028</v>
      </c>
      <c r="F475">
        <v>6</v>
      </c>
      <c r="G475" t="s">
        <v>2210</v>
      </c>
      <c r="H475" s="460">
        <v>5323.2197775605382</v>
      </c>
      <c r="I475">
        <v>2600</v>
      </c>
      <c r="J475">
        <v>119.99999997072871</v>
      </c>
      <c r="K475" s="67">
        <v>147.4605</v>
      </c>
      <c r="L475" s="159">
        <v>0</v>
      </c>
      <c r="M475" s="159">
        <v>11144</v>
      </c>
      <c r="N475" s="159">
        <v>220</v>
      </c>
      <c r="O475" s="159">
        <v>0</v>
      </c>
      <c r="P475" s="159">
        <v>3455</v>
      </c>
      <c r="Q475" s="159">
        <v>1500</v>
      </c>
      <c r="R475" s="159">
        <v>2000</v>
      </c>
      <c r="S475" s="159">
        <v>41373</v>
      </c>
      <c r="T475" s="159">
        <v>2440</v>
      </c>
      <c r="U475" s="159">
        <v>29492</v>
      </c>
      <c r="V475" s="159">
        <v>4500</v>
      </c>
      <c r="W475" s="159">
        <v>186</v>
      </c>
      <c r="X475" s="159">
        <v>0</v>
      </c>
      <c r="Y475" s="159">
        <v>1500</v>
      </c>
      <c r="Z475" s="159">
        <v>4732</v>
      </c>
      <c r="AA475" s="159">
        <v>0</v>
      </c>
      <c r="AB475" s="159">
        <v>0</v>
      </c>
      <c r="AC475" s="159">
        <v>0</v>
      </c>
      <c r="AD475" s="207">
        <v>102542</v>
      </c>
      <c r="AE475" s="200">
        <v>14.771836310861213</v>
      </c>
      <c r="AF475" s="200">
        <v>13.598532942421933</v>
      </c>
      <c r="AG475" s="200">
        <v>11.616972918242277</v>
      </c>
      <c r="AH475" s="200">
        <v>965</v>
      </c>
      <c r="AI475" s="200">
        <v>1039</v>
      </c>
      <c r="AJ475" s="200">
        <v>1313</v>
      </c>
      <c r="AL475" s="197">
        <f t="shared" si="67"/>
        <v>117550.63331286641</v>
      </c>
      <c r="AM475" s="197" t="str">
        <f t="shared" si="68"/>
        <v>Box Medium 6</v>
      </c>
      <c r="AN475" s="3">
        <f t="shared" si="69"/>
        <v>3.9531566717177844</v>
      </c>
      <c r="AO475" s="3">
        <f t="shared" si="70"/>
        <v>1.5258957099382731</v>
      </c>
      <c r="AP475" s="3">
        <f t="shared" si="71"/>
        <v>63.178197273416437</v>
      </c>
      <c r="AQ475" s="3">
        <f t="shared" si="63"/>
        <v>2.2744151018429917</v>
      </c>
      <c r="AR475" s="3">
        <f t="shared" si="64"/>
        <v>3.800310811781265</v>
      </c>
      <c r="AS475" s="81">
        <f t="shared" si="65"/>
        <v>0.40151866137050563</v>
      </c>
      <c r="AT475" s="81">
        <f t="shared" si="66"/>
        <v>0.59848133862949426</v>
      </c>
    </row>
    <row r="476" spans="1:46" x14ac:dyDescent="0.25">
      <c r="A476" t="s">
        <v>808</v>
      </c>
      <c r="B476">
        <v>2030</v>
      </c>
      <c r="C476" t="s">
        <v>680</v>
      </c>
      <c r="D476" t="s">
        <v>806</v>
      </c>
      <c r="E476" t="s">
        <v>1028</v>
      </c>
      <c r="F476">
        <v>6</v>
      </c>
      <c r="G476" t="s">
        <v>2211</v>
      </c>
      <c r="H476" s="460">
        <v>5248.0247808615932</v>
      </c>
      <c r="I476">
        <v>2600</v>
      </c>
      <c r="J476">
        <v>119.99999997072871</v>
      </c>
      <c r="K476" s="67">
        <v>147.4605</v>
      </c>
      <c r="L476" s="159">
        <v>0</v>
      </c>
      <c r="M476" s="159">
        <v>8308</v>
      </c>
      <c r="N476" s="159">
        <v>220</v>
      </c>
      <c r="O476" s="159">
        <v>0</v>
      </c>
      <c r="P476" s="159">
        <v>3455</v>
      </c>
      <c r="Q476" s="159">
        <v>1500</v>
      </c>
      <c r="R476" s="159">
        <v>2000</v>
      </c>
      <c r="S476" s="159">
        <v>41373</v>
      </c>
      <c r="T476" s="159">
        <v>2440</v>
      </c>
      <c r="U476" s="159">
        <v>29492</v>
      </c>
      <c r="V476" s="159">
        <v>4500</v>
      </c>
      <c r="W476" s="159">
        <v>186</v>
      </c>
      <c r="X476" s="159">
        <v>0</v>
      </c>
      <c r="Y476" s="159">
        <v>1500</v>
      </c>
      <c r="Z476" s="159">
        <v>4732</v>
      </c>
      <c r="AA476" s="159">
        <v>0</v>
      </c>
      <c r="AB476" s="159">
        <v>0</v>
      </c>
      <c r="AC476" s="159">
        <v>0</v>
      </c>
      <c r="AD476" s="207">
        <v>99706</v>
      </c>
      <c r="AE476" s="200">
        <v>11.560202705556749</v>
      </c>
      <c r="AF476" s="200">
        <v>10.685278836782231</v>
      </c>
      <c r="AG476" s="200">
        <v>9.2287785832088893</v>
      </c>
      <c r="AH476" s="200">
        <v>962</v>
      </c>
      <c r="AI476" s="200">
        <v>1037</v>
      </c>
      <c r="AJ476" s="200">
        <v>1311</v>
      </c>
      <c r="AL476" s="197">
        <f t="shared" si="67"/>
        <v>114299.54014055371</v>
      </c>
      <c r="AM476" s="197" t="str">
        <f t="shared" si="68"/>
        <v>Box Medium 6</v>
      </c>
      <c r="AN476" s="3">
        <f t="shared" si="69"/>
        <v>4.9834909478927107</v>
      </c>
      <c r="AO476" s="3">
        <f t="shared" si="70"/>
        <v>1.9235988070772252</v>
      </c>
      <c r="AP476" s="3">
        <f t="shared" si="71"/>
        <v>63.076292144605866</v>
      </c>
      <c r="AQ476" s="3">
        <f t="shared" si="63"/>
        <v>2.2707465172058114</v>
      </c>
      <c r="AR476" s="3">
        <f t="shared" si="64"/>
        <v>4.1943453242830362</v>
      </c>
      <c r="AS476" s="81">
        <f t="shared" si="65"/>
        <v>0.45861717582970762</v>
      </c>
      <c r="AT476" s="81">
        <f t="shared" si="66"/>
        <v>0.54138282417029249</v>
      </c>
    </row>
    <row r="477" spans="1:46" x14ac:dyDescent="0.25">
      <c r="A477" t="s">
        <v>230</v>
      </c>
      <c r="B477">
        <v>2030</v>
      </c>
      <c r="C477" t="s">
        <v>680</v>
      </c>
      <c r="D477" t="s">
        <v>806</v>
      </c>
      <c r="E477" t="s">
        <v>1028</v>
      </c>
      <c r="F477">
        <v>6</v>
      </c>
      <c r="G477" t="s">
        <v>2212</v>
      </c>
      <c r="H477" s="460">
        <v>5046.977070306004</v>
      </c>
      <c r="I477">
        <v>2600</v>
      </c>
      <c r="J477">
        <v>150.00000001001371</v>
      </c>
      <c r="K477" s="67">
        <v>185.691</v>
      </c>
      <c r="L477" s="159">
        <v>0</v>
      </c>
      <c r="M477" s="159">
        <v>0</v>
      </c>
      <c r="N477" s="159">
        <v>0</v>
      </c>
      <c r="O477" s="159">
        <v>0</v>
      </c>
      <c r="P477" s="159">
        <v>2896</v>
      </c>
      <c r="Q477" s="159">
        <v>1500</v>
      </c>
      <c r="R477" s="159">
        <v>2000</v>
      </c>
      <c r="S477" s="159">
        <v>41373</v>
      </c>
      <c r="T477" s="159">
        <v>0</v>
      </c>
      <c r="U477" s="159">
        <v>37138</v>
      </c>
      <c r="V477" s="159">
        <v>4500</v>
      </c>
      <c r="W477" s="159">
        <v>186</v>
      </c>
      <c r="X477" s="159">
        <v>0</v>
      </c>
      <c r="Y477" s="159">
        <v>1500</v>
      </c>
      <c r="Z477" s="159">
        <v>3813</v>
      </c>
      <c r="AA477" s="159">
        <v>0</v>
      </c>
      <c r="AB477" s="159">
        <v>0</v>
      </c>
      <c r="AC477" s="159">
        <v>0</v>
      </c>
      <c r="AD477" s="207">
        <v>94906</v>
      </c>
      <c r="AE477" s="200">
        <v>0</v>
      </c>
      <c r="AF477" s="200">
        <v>0</v>
      </c>
      <c r="AG477" s="200">
        <v>0</v>
      </c>
      <c r="AH477" s="200">
        <v>927</v>
      </c>
      <c r="AI477" s="200">
        <v>1003</v>
      </c>
      <c r="AJ477" s="200">
        <v>1251</v>
      </c>
      <c r="AL477" s="197">
        <f t="shared" si="67"/>
        <v>108796.9847008143</v>
      </c>
      <c r="AM477" s="197" t="str">
        <f t="shared" si="68"/>
        <v>Box Medium 6</v>
      </c>
      <c r="AN477" s="3">
        <f t="shared" si="69"/>
        <v>0</v>
      </c>
      <c r="AO477" s="3">
        <f t="shared" si="70"/>
        <v>0</v>
      </c>
      <c r="AP477" s="3">
        <f t="shared" si="71"/>
        <v>75.340201573315767</v>
      </c>
      <c r="AQ477" s="3">
        <f t="shared" si="63"/>
        <v>2.7122472566393681</v>
      </c>
      <c r="AR477" s="3">
        <f t="shared" si="64"/>
        <v>2.7122472566393681</v>
      </c>
      <c r="AS477" s="81">
        <f t="shared" si="65"/>
        <v>0</v>
      </c>
      <c r="AT477" s="81">
        <f t="shared" si="66"/>
        <v>1</v>
      </c>
    </row>
    <row r="478" spans="1:46" x14ac:dyDescent="0.25">
      <c r="A478" t="s">
        <v>496</v>
      </c>
      <c r="B478">
        <v>2030</v>
      </c>
      <c r="C478" t="s">
        <v>680</v>
      </c>
      <c r="D478" t="s">
        <v>806</v>
      </c>
      <c r="E478" t="s">
        <v>1028</v>
      </c>
      <c r="F478">
        <v>6</v>
      </c>
      <c r="G478" t="s">
        <v>2213</v>
      </c>
      <c r="H478" s="460">
        <v>4434.6765719935911</v>
      </c>
      <c r="I478">
        <v>2600</v>
      </c>
      <c r="J478">
        <v>150.00000001001371</v>
      </c>
      <c r="K478" s="67">
        <v>4.4352000000000009</v>
      </c>
      <c r="L478" s="159">
        <v>0</v>
      </c>
      <c r="M478" s="159">
        <v>0</v>
      </c>
      <c r="N478" s="159">
        <v>0</v>
      </c>
      <c r="O478" s="159">
        <v>0</v>
      </c>
      <c r="P478" s="159">
        <v>3056</v>
      </c>
      <c r="Q478" s="159">
        <v>1500</v>
      </c>
      <c r="R478" s="159">
        <v>2000</v>
      </c>
      <c r="S478" s="159">
        <v>41373</v>
      </c>
      <c r="T478" s="159">
        <v>0</v>
      </c>
      <c r="U478" s="159">
        <v>1593</v>
      </c>
      <c r="V478" s="159">
        <v>4500</v>
      </c>
      <c r="W478" s="159">
        <v>186</v>
      </c>
      <c r="X478" s="159">
        <v>0</v>
      </c>
      <c r="Y478" s="159">
        <v>1500</v>
      </c>
      <c r="Z478" s="159">
        <v>4077</v>
      </c>
      <c r="AA478" s="159">
        <v>16583</v>
      </c>
      <c r="AB478" s="159">
        <v>6913</v>
      </c>
      <c r="AC478" s="159">
        <v>0</v>
      </c>
      <c r="AD478" s="207">
        <v>83281</v>
      </c>
      <c r="AE478" s="200">
        <v>23.488309179330077</v>
      </c>
      <c r="AF478" s="200">
        <v>21.965339612744593</v>
      </c>
      <c r="AG478" s="200">
        <v>17.072818582038494</v>
      </c>
      <c r="AH478" s="200">
        <v>0</v>
      </c>
      <c r="AI478" s="200">
        <v>0</v>
      </c>
      <c r="AJ478" s="200">
        <v>0</v>
      </c>
      <c r="AL478" s="197">
        <f t="shared" si="67"/>
        <v>95470.483245195413</v>
      </c>
      <c r="AM478" s="197" t="str">
        <f t="shared" si="68"/>
        <v>Box Medium 6</v>
      </c>
      <c r="AN478" s="3">
        <f t="shared" si="69"/>
        <v>13.312834803996321</v>
      </c>
      <c r="AO478" s="3">
        <f t="shared" si="70"/>
        <v>5.1386775687055621</v>
      </c>
      <c r="AP478" s="3">
        <f t="shared" si="71"/>
        <v>0</v>
      </c>
      <c r="AQ478" s="3">
        <f t="shared" si="63"/>
        <v>0</v>
      </c>
      <c r="AR478" s="3">
        <f t="shared" si="64"/>
        <v>5.1386775687055621</v>
      </c>
      <c r="AS478" s="81">
        <f t="shared" si="65"/>
        <v>1</v>
      </c>
      <c r="AT478" s="81">
        <f t="shared" si="66"/>
        <v>0</v>
      </c>
    </row>
    <row r="479" spans="1:46" x14ac:dyDescent="0.25">
      <c r="A479" t="s">
        <v>828</v>
      </c>
      <c r="B479">
        <v>2030</v>
      </c>
      <c r="C479" t="s">
        <v>680</v>
      </c>
      <c r="D479" t="s">
        <v>806</v>
      </c>
      <c r="E479" t="s">
        <v>1028</v>
      </c>
      <c r="F479">
        <v>6</v>
      </c>
      <c r="G479" t="s">
        <v>2214</v>
      </c>
      <c r="H479" s="460">
        <v>4537.9952287750175</v>
      </c>
      <c r="I479">
        <v>2600</v>
      </c>
      <c r="J479">
        <v>150.00000001001371</v>
      </c>
      <c r="K479" s="67">
        <v>40.216500000000003</v>
      </c>
      <c r="L479" s="159">
        <v>0</v>
      </c>
      <c r="M479" s="159">
        <v>0</v>
      </c>
      <c r="N479" s="159">
        <v>0</v>
      </c>
      <c r="O479" s="159">
        <v>0</v>
      </c>
      <c r="P479" s="159">
        <v>3608</v>
      </c>
      <c r="Q479" s="159">
        <v>1500</v>
      </c>
      <c r="R479" s="159">
        <v>2000</v>
      </c>
      <c r="S479" s="159">
        <v>41373</v>
      </c>
      <c r="T479" s="159">
        <v>0</v>
      </c>
      <c r="U479" s="159">
        <v>8043</v>
      </c>
      <c r="V479" s="159">
        <v>4500</v>
      </c>
      <c r="W479" s="159">
        <v>186</v>
      </c>
      <c r="X479" s="159">
        <v>0</v>
      </c>
      <c r="Y479" s="159">
        <v>1500</v>
      </c>
      <c r="Z479" s="159">
        <v>4983</v>
      </c>
      <c r="AA479" s="159">
        <v>9238</v>
      </c>
      <c r="AB479" s="159">
        <v>5034</v>
      </c>
      <c r="AC479" s="159">
        <v>0</v>
      </c>
      <c r="AD479" s="207">
        <v>81965</v>
      </c>
      <c r="AE479" s="200">
        <v>23.365170440161386</v>
      </c>
      <c r="AF479" s="200">
        <v>20.694695602866439</v>
      </c>
      <c r="AG479" s="200">
        <v>16.329267237215522</v>
      </c>
      <c r="AH479" s="200">
        <v>0</v>
      </c>
      <c r="AI479" s="200">
        <v>0</v>
      </c>
      <c r="AJ479" s="200">
        <v>0</v>
      </c>
      <c r="AL479" s="197">
        <f t="shared" si="67"/>
        <v>93961.865962133525</v>
      </c>
      <c r="AM479" s="197" t="str">
        <f t="shared" si="68"/>
        <v>Box Medium 6</v>
      </c>
      <c r="AN479" s="3">
        <f t="shared" si="69"/>
        <v>13.914162140735334</v>
      </c>
      <c r="AO479" s="3">
        <f t="shared" si="70"/>
        <v>5.3707864577772302</v>
      </c>
      <c r="AP479" s="3">
        <f t="shared" si="71"/>
        <v>0</v>
      </c>
      <c r="AQ479" s="3">
        <f t="shared" si="63"/>
        <v>0</v>
      </c>
      <c r="AR479" s="3">
        <f t="shared" si="64"/>
        <v>5.3707864577772302</v>
      </c>
      <c r="AS479" s="81">
        <f t="shared" si="65"/>
        <v>1</v>
      </c>
      <c r="AT479" s="81">
        <f t="shared" si="66"/>
        <v>0</v>
      </c>
    </row>
    <row r="480" spans="1:46" x14ac:dyDescent="0.25">
      <c r="A480" t="s">
        <v>805</v>
      </c>
      <c r="B480">
        <v>2035</v>
      </c>
      <c r="C480" t="s">
        <v>680</v>
      </c>
      <c r="D480" t="s">
        <v>806</v>
      </c>
      <c r="E480" t="s">
        <v>1028</v>
      </c>
      <c r="F480">
        <v>6</v>
      </c>
      <c r="G480" t="s">
        <v>2215</v>
      </c>
      <c r="H480" s="460">
        <v>4536.0851759743064</v>
      </c>
      <c r="I480">
        <v>2600</v>
      </c>
      <c r="J480">
        <v>0</v>
      </c>
      <c r="K480" s="67">
        <v>0</v>
      </c>
      <c r="L480" s="159">
        <v>150</v>
      </c>
      <c r="M480" s="159">
        <v>16604</v>
      </c>
      <c r="N480" s="159">
        <v>1920</v>
      </c>
      <c r="O480" s="159">
        <v>506</v>
      </c>
      <c r="P480" s="159">
        <v>4698</v>
      </c>
      <c r="Q480" s="159">
        <v>1500</v>
      </c>
      <c r="R480" s="159">
        <v>2000</v>
      </c>
      <c r="S480" s="159">
        <v>41373</v>
      </c>
      <c r="T480" s="159">
        <v>63</v>
      </c>
      <c r="U480" s="159">
        <v>120</v>
      </c>
      <c r="V480" s="159">
        <v>0</v>
      </c>
      <c r="W480" s="159">
        <v>186</v>
      </c>
      <c r="X480" s="159">
        <v>0</v>
      </c>
      <c r="Y480" s="159">
        <v>0</v>
      </c>
      <c r="Z480" s="159">
        <v>0</v>
      </c>
      <c r="AA480" s="159">
        <v>0</v>
      </c>
      <c r="AB480" s="159">
        <v>0</v>
      </c>
      <c r="AC480" s="159">
        <v>0</v>
      </c>
      <c r="AD480" s="207">
        <v>69120</v>
      </c>
      <c r="AE480" s="200">
        <v>12.921118613788689</v>
      </c>
      <c r="AF480" s="200">
        <v>16.939707492064073</v>
      </c>
      <c r="AG480" s="200">
        <v>14.815772694542773</v>
      </c>
      <c r="AH480" s="200">
        <v>0</v>
      </c>
      <c r="AI480" s="200">
        <v>0</v>
      </c>
      <c r="AJ480" s="200">
        <v>0</v>
      </c>
      <c r="AL480" s="197">
        <f t="shared" si="67"/>
        <v>79236.798332247534</v>
      </c>
      <c r="AM480" s="197" t="str">
        <f t="shared" si="68"/>
        <v>Box Medium 6</v>
      </c>
      <c r="AN480" s="3">
        <f t="shared" si="69"/>
        <v>15.813239995204597</v>
      </c>
      <c r="AO480" s="3">
        <f t="shared" si="70"/>
        <v>6.1038195732379021</v>
      </c>
      <c r="AP480" s="3">
        <f t="shared" si="71"/>
        <v>0</v>
      </c>
      <c r="AQ480" s="3">
        <f t="shared" si="63"/>
        <v>0</v>
      </c>
      <c r="AR480" s="3">
        <f t="shared" si="64"/>
        <v>6.1038195732379021</v>
      </c>
      <c r="AS480" s="81">
        <f t="shared" si="65"/>
        <v>1</v>
      </c>
      <c r="AT480" s="81">
        <f t="shared" si="66"/>
        <v>0</v>
      </c>
    </row>
    <row r="481" spans="1:46" x14ac:dyDescent="0.25">
      <c r="A481" t="s">
        <v>805</v>
      </c>
      <c r="B481">
        <v>2035</v>
      </c>
      <c r="C481" t="s">
        <v>680</v>
      </c>
      <c r="D481" t="s">
        <v>806</v>
      </c>
      <c r="E481" t="s">
        <v>1028</v>
      </c>
      <c r="F481">
        <v>6</v>
      </c>
      <c r="G481" t="s">
        <v>2216</v>
      </c>
      <c r="H481" s="460">
        <v>4340.443016900359</v>
      </c>
      <c r="I481">
        <v>2600</v>
      </c>
      <c r="J481">
        <v>0</v>
      </c>
      <c r="K481" s="67">
        <v>0</v>
      </c>
      <c r="L481" s="159">
        <v>150</v>
      </c>
      <c r="M481" s="159">
        <v>23744</v>
      </c>
      <c r="N481" s="159">
        <v>1920</v>
      </c>
      <c r="O481" s="159">
        <v>506</v>
      </c>
      <c r="P481" s="159">
        <v>3439</v>
      </c>
      <c r="Q481" s="159">
        <v>1500</v>
      </c>
      <c r="R481" s="159">
        <v>2000</v>
      </c>
      <c r="S481" s="159">
        <v>41373</v>
      </c>
      <c r="T481" s="159">
        <v>63</v>
      </c>
      <c r="U481" s="159">
        <v>120</v>
      </c>
      <c r="V481" s="159">
        <v>0</v>
      </c>
      <c r="W481" s="159">
        <v>186</v>
      </c>
      <c r="X481" s="159">
        <v>0</v>
      </c>
      <c r="Y481" s="159">
        <v>0</v>
      </c>
      <c r="Z481" s="159">
        <v>0</v>
      </c>
      <c r="AA481" s="159">
        <v>0</v>
      </c>
      <c r="AB481" s="159">
        <v>0</v>
      </c>
      <c r="AC481" s="159">
        <v>0</v>
      </c>
      <c r="AD481" s="207">
        <v>75001</v>
      </c>
      <c r="AE481" s="200">
        <v>9.7982286160486396</v>
      </c>
      <c r="AF481" s="200">
        <v>12.39719807769827</v>
      </c>
      <c r="AG481" s="200">
        <v>12.63819972492781</v>
      </c>
      <c r="AH481" s="200">
        <v>0</v>
      </c>
      <c r="AI481" s="200">
        <v>0</v>
      </c>
      <c r="AJ481" s="200">
        <v>0</v>
      </c>
      <c r="AL481" s="197">
        <f t="shared" si="67"/>
        <v>85978.575111644925</v>
      </c>
      <c r="AM481" s="197" t="str">
        <f t="shared" si="68"/>
        <v>Box Medium 6</v>
      </c>
      <c r="AN481" s="3">
        <f t="shared" si="69"/>
        <v>18.913726446128077</v>
      </c>
      <c r="AO481" s="3">
        <f t="shared" si="70"/>
        <v>7.3005894882865983</v>
      </c>
      <c r="AP481" s="3">
        <f t="shared" si="71"/>
        <v>0</v>
      </c>
      <c r="AQ481" s="3">
        <f t="shared" si="63"/>
        <v>0</v>
      </c>
      <c r="AR481" s="3">
        <f t="shared" si="64"/>
        <v>7.3005894882865983</v>
      </c>
      <c r="AS481" s="81">
        <f t="shared" si="65"/>
        <v>1</v>
      </c>
      <c r="AT481" s="81">
        <f t="shared" si="66"/>
        <v>0</v>
      </c>
    </row>
    <row r="482" spans="1:46" x14ac:dyDescent="0.25">
      <c r="A482" t="s">
        <v>807</v>
      </c>
      <c r="B482">
        <v>2035</v>
      </c>
      <c r="C482" t="s">
        <v>680</v>
      </c>
      <c r="D482" t="s">
        <v>806</v>
      </c>
      <c r="E482" t="s">
        <v>1028</v>
      </c>
      <c r="F482">
        <v>6</v>
      </c>
      <c r="G482" t="s">
        <v>2217</v>
      </c>
      <c r="H482" s="460">
        <v>4630.675178223556</v>
      </c>
      <c r="I482">
        <v>2600</v>
      </c>
      <c r="J482">
        <v>0</v>
      </c>
      <c r="K482" s="67">
        <v>4.3559999999999999</v>
      </c>
      <c r="L482" s="159">
        <v>150</v>
      </c>
      <c r="M482" s="159">
        <v>17098</v>
      </c>
      <c r="N482" s="159">
        <v>220</v>
      </c>
      <c r="O482" s="159">
        <v>392</v>
      </c>
      <c r="P482" s="159">
        <v>4843</v>
      </c>
      <c r="Q482" s="159">
        <v>1500</v>
      </c>
      <c r="R482" s="159">
        <v>2000</v>
      </c>
      <c r="S482" s="159">
        <v>41373</v>
      </c>
      <c r="T482" s="159">
        <v>0</v>
      </c>
      <c r="U482" s="159">
        <v>1482</v>
      </c>
      <c r="V482" s="159">
        <v>4500</v>
      </c>
      <c r="W482" s="159">
        <v>186</v>
      </c>
      <c r="X482" s="159">
        <v>120</v>
      </c>
      <c r="Y482" s="159">
        <v>1500</v>
      </c>
      <c r="Z482" s="159">
        <v>2291</v>
      </c>
      <c r="AA482" s="159">
        <v>0</v>
      </c>
      <c r="AB482" s="159">
        <v>0</v>
      </c>
      <c r="AC482" s="159">
        <v>0</v>
      </c>
      <c r="AD482" s="207">
        <v>77655</v>
      </c>
      <c r="AE482" s="200">
        <v>15.651883542352884</v>
      </c>
      <c r="AF482" s="200">
        <v>16.305117618057011</v>
      </c>
      <c r="AG482" s="200">
        <v>14.09232856860044</v>
      </c>
      <c r="AH482" s="200">
        <v>0</v>
      </c>
      <c r="AI482" s="200">
        <v>0</v>
      </c>
      <c r="AJ482" s="200">
        <v>0</v>
      </c>
      <c r="AL482" s="197">
        <f t="shared" si="67"/>
        <v>89021.029723534171</v>
      </c>
      <c r="AM482" s="197" t="str">
        <f t="shared" si="68"/>
        <v>Box Medium 6</v>
      </c>
      <c r="AN482" s="3">
        <f t="shared" si="69"/>
        <v>16.40398558048274</v>
      </c>
      <c r="AO482" s="3">
        <f t="shared" si="70"/>
        <v>6.3318439671836124</v>
      </c>
      <c r="AP482" s="3">
        <f t="shared" si="71"/>
        <v>0</v>
      </c>
      <c r="AQ482" s="3">
        <f t="shared" si="63"/>
        <v>0</v>
      </c>
      <c r="AR482" s="3">
        <f t="shared" si="64"/>
        <v>6.3318439671836124</v>
      </c>
      <c r="AS482" s="81">
        <f t="shared" si="65"/>
        <v>1</v>
      </c>
      <c r="AT482" s="81">
        <f t="shared" si="66"/>
        <v>0</v>
      </c>
    </row>
    <row r="483" spans="1:46" x14ac:dyDescent="0.25">
      <c r="A483" t="s">
        <v>807</v>
      </c>
      <c r="B483">
        <v>2035</v>
      </c>
      <c r="C483" t="s">
        <v>680</v>
      </c>
      <c r="D483" t="s">
        <v>806</v>
      </c>
      <c r="E483" t="s">
        <v>1028</v>
      </c>
      <c r="F483">
        <v>6</v>
      </c>
      <c r="G483" t="s">
        <v>2218</v>
      </c>
      <c r="H483" s="460">
        <v>4400.193421944743</v>
      </c>
      <c r="I483">
        <v>2600</v>
      </c>
      <c r="J483">
        <v>0</v>
      </c>
      <c r="K483" s="67">
        <v>3.4214400000000005</v>
      </c>
      <c r="L483" s="159">
        <v>150</v>
      </c>
      <c r="M483" s="159">
        <v>20093</v>
      </c>
      <c r="N483" s="159">
        <v>220</v>
      </c>
      <c r="O483" s="159">
        <v>392</v>
      </c>
      <c r="P483" s="159">
        <v>3224</v>
      </c>
      <c r="Q483" s="159">
        <v>1500</v>
      </c>
      <c r="R483" s="159">
        <v>2000</v>
      </c>
      <c r="S483" s="159">
        <v>41373</v>
      </c>
      <c r="T483" s="159">
        <v>0</v>
      </c>
      <c r="U483" s="159">
        <v>1164</v>
      </c>
      <c r="V483" s="159">
        <v>4500</v>
      </c>
      <c r="W483" s="159">
        <v>186</v>
      </c>
      <c r="X483" s="159">
        <v>120</v>
      </c>
      <c r="Y483" s="159">
        <v>1500</v>
      </c>
      <c r="Z483" s="159">
        <v>2290</v>
      </c>
      <c r="AA483" s="159">
        <v>0</v>
      </c>
      <c r="AB483" s="159">
        <v>0</v>
      </c>
      <c r="AC483" s="159">
        <v>0</v>
      </c>
      <c r="AD483" s="207">
        <v>78712</v>
      </c>
      <c r="AE483" s="200">
        <v>12.95044753999146</v>
      </c>
      <c r="AF483" s="200">
        <v>13.503689536001792</v>
      </c>
      <c r="AG483" s="200">
        <v>12.443055390877102</v>
      </c>
      <c r="AH483" s="200">
        <v>0</v>
      </c>
      <c r="AI483" s="200">
        <v>0</v>
      </c>
      <c r="AJ483" s="200">
        <v>0</v>
      </c>
      <c r="AL483" s="197">
        <f t="shared" si="67"/>
        <v>90232.738285993459</v>
      </c>
      <c r="AM483" s="197" t="str">
        <f t="shared" si="68"/>
        <v>Box Medium 6</v>
      </c>
      <c r="AN483" s="3">
        <f t="shared" si="69"/>
        <v>18.732666895305542</v>
      </c>
      <c r="AO483" s="3">
        <f t="shared" si="70"/>
        <v>7.2307015443505431</v>
      </c>
      <c r="AP483" s="3">
        <f t="shared" si="71"/>
        <v>0</v>
      </c>
      <c r="AQ483" s="3">
        <f t="shared" si="63"/>
        <v>0</v>
      </c>
      <c r="AR483" s="3">
        <f t="shared" si="64"/>
        <v>7.2307015443505431</v>
      </c>
      <c r="AS483" s="81">
        <f t="shared" si="65"/>
        <v>1</v>
      </c>
      <c r="AT483" s="81">
        <f t="shared" si="66"/>
        <v>0</v>
      </c>
    </row>
    <row r="484" spans="1:46" x14ac:dyDescent="0.25">
      <c r="A484" t="s">
        <v>808</v>
      </c>
      <c r="B484">
        <v>2035</v>
      </c>
      <c r="C484" t="s">
        <v>680</v>
      </c>
      <c r="D484" t="s">
        <v>806</v>
      </c>
      <c r="E484" t="s">
        <v>1028</v>
      </c>
      <c r="F484">
        <v>6</v>
      </c>
      <c r="G484" t="s">
        <v>2219</v>
      </c>
      <c r="H484" s="460">
        <v>5098.1655351803802</v>
      </c>
      <c r="I484">
        <v>2600</v>
      </c>
      <c r="J484">
        <v>119.99999997072871</v>
      </c>
      <c r="K484" s="67">
        <v>133.31025</v>
      </c>
      <c r="L484" s="159">
        <v>0</v>
      </c>
      <c r="M484" s="159">
        <v>10807</v>
      </c>
      <c r="N484" s="159">
        <v>220</v>
      </c>
      <c r="O484" s="159">
        <v>0</v>
      </c>
      <c r="P484" s="159">
        <v>3428</v>
      </c>
      <c r="Q484" s="159">
        <v>1500</v>
      </c>
      <c r="R484" s="159">
        <v>2000</v>
      </c>
      <c r="S484" s="159">
        <v>41373</v>
      </c>
      <c r="T484" s="159">
        <v>1941</v>
      </c>
      <c r="U484" s="159">
        <v>21330</v>
      </c>
      <c r="V484" s="159">
        <v>4500</v>
      </c>
      <c r="W484" s="159">
        <v>186</v>
      </c>
      <c r="X484" s="159">
        <v>0</v>
      </c>
      <c r="Y484" s="159">
        <v>1500</v>
      </c>
      <c r="Z484" s="159">
        <v>3856</v>
      </c>
      <c r="AA484" s="159">
        <v>0</v>
      </c>
      <c r="AB484" s="159">
        <v>0</v>
      </c>
      <c r="AC484" s="159">
        <v>0</v>
      </c>
      <c r="AD484" s="207">
        <v>92641</v>
      </c>
      <c r="AE484" s="200">
        <v>16.35360104486405</v>
      </c>
      <c r="AF484" s="200">
        <v>15.265576388952541</v>
      </c>
      <c r="AG484" s="200">
        <v>12.94040835907882</v>
      </c>
      <c r="AH484" s="200">
        <v>897</v>
      </c>
      <c r="AI484" s="200">
        <v>951</v>
      </c>
      <c r="AJ484" s="200">
        <v>1199</v>
      </c>
      <c r="AL484" s="197">
        <f t="shared" si="67"/>
        <v>106200.46635268726</v>
      </c>
      <c r="AM484" s="197" t="str">
        <f t="shared" si="68"/>
        <v>Box Medium 6</v>
      </c>
      <c r="AN484" s="3">
        <f t="shared" si="69"/>
        <v>3.5475867883958792</v>
      </c>
      <c r="AO484" s="3">
        <f t="shared" si="70"/>
        <v>1.3693480705622332</v>
      </c>
      <c r="AP484" s="3">
        <f t="shared" si="71"/>
        <v>57.741931475014603</v>
      </c>
      <c r="AQ484" s="3">
        <f t="shared" si="63"/>
        <v>2.0787095331005259</v>
      </c>
      <c r="AR484" s="3">
        <f t="shared" si="64"/>
        <v>3.4480576036627593</v>
      </c>
      <c r="AS484" s="81">
        <f t="shared" si="65"/>
        <v>0.39713607716634991</v>
      </c>
      <c r="AT484" s="81">
        <f t="shared" si="66"/>
        <v>0.60286392283364998</v>
      </c>
    </row>
    <row r="485" spans="1:46" x14ac:dyDescent="0.25">
      <c r="A485" t="s">
        <v>808</v>
      </c>
      <c r="B485">
        <v>2035</v>
      </c>
      <c r="C485" t="s">
        <v>680</v>
      </c>
      <c r="D485" t="s">
        <v>806</v>
      </c>
      <c r="E485" t="s">
        <v>1028</v>
      </c>
      <c r="F485">
        <v>6</v>
      </c>
      <c r="G485" t="s">
        <v>2220</v>
      </c>
      <c r="H485" s="460">
        <v>5029.4760442441693</v>
      </c>
      <c r="I485">
        <v>2600</v>
      </c>
      <c r="J485">
        <v>119.99999997072871</v>
      </c>
      <c r="K485" s="67">
        <v>133.31025</v>
      </c>
      <c r="L485" s="159">
        <v>0</v>
      </c>
      <c r="M485" s="159">
        <v>8443</v>
      </c>
      <c r="N485" s="159">
        <v>220</v>
      </c>
      <c r="O485" s="159">
        <v>0</v>
      </c>
      <c r="P485" s="159">
        <v>3428</v>
      </c>
      <c r="Q485" s="159">
        <v>1500</v>
      </c>
      <c r="R485" s="159">
        <v>2000</v>
      </c>
      <c r="S485" s="159">
        <v>41373</v>
      </c>
      <c r="T485" s="159">
        <v>1941</v>
      </c>
      <c r="U485" s="159">
        <v>21330</v>
      </c>
      <c r="V485" s="159">
        <v>4500</v>
      </c>
      <c r="W485" s="159">
        <v>186</v>
      </c>
      <c r="X485" s="159">
        <v>0</v>
      </c>
      <c r="Y485" s="159">
        <v>1500</v>
      </c>
      <c r="Z485" s="159">
        <v>3856</v>
      </c>
      <c r="AA485" s="159">
        <v>0</v>
      </c>
      <c r="AB485" s="159">
        <v>0</v>
      </c>
      <c r="AC485" s="159">
        <v>0</v>
      </c>
      <c r="AD485" s="207">
        <v>90277</v>
      </c>
      <c r="AE485" s="200">
        <v>13.091478509627191</v>
      </c>
      <c r="AF485" s="200">
        <v>12.266003694427948</v>
      </c>
      <c r="AG485" s="200">
        <v>10.494075149331413</v>
      </c>
      <c r="AH485" s="200">
        <v>894</v>
      </c>
      <c r="AI485" s="200">
        <v>949</v>
      </c>
      <c r="AJ485" s="200">
        <v>1197</v>
      </c>
      <c r="AL485" s="197">
        <f t="shared" si="67"/>
        <v>103490.45779861561</v>
      </c>
      <c r="AM485" s="197" t="str">
        <f t="shared" si="68"/>
        <v>Box Medium 6</v>
      </c>
      <c r="AN485" s="3">
        <f t="shared" si="69"/>
        <v>4.3800647369365047</v>
      </c>
      <c r="AO485" s="3">
        <f t="shared" si="70"/>
        <v>1.6906797646446681</v>
      </c>
      <c r="AP485" s="3">
        <f t="shared" si="71"/>
        <v>57.640026346204024</v>
      </c>
      <c r="AQ485" s="3">
        <f t="shared" si="63"/>
        <v>2.0750409484633447</v>
      </c>
      <c r="AR485" s="3">
        <f t="shared" si="64"/>
        <v>3.7657207131080126</v>
      </c>
      <c r="AS485" s="81">
        <f t="shared" si="65"/>
        <v>0.4489657872819986</v>
      </c>
      <c r="AT485" s="81">
        <f t="shared" si="66"/>
        <v>0.55103421271800146</v>
      </c>
    </row>
    <row r="486" spans="1:46" x14ac:dyDescent="0.25">
      <c r="A486" t="s">
        <v>230</v>
      </c>
      <c r="B486">
        <v>2035</v>
      </c>
      <c r="C486" t="s">
        <v>680</v>
      </c>
      <c r="D486" t="s">
        <v>806</v>
      </c>
      <c r="E486" t="s">
        <v>1028</v>
      </c>
      <c r="F486">
        <v>6</v>
      </c>
      <c r="G486" t="s">
        <v>2221</v>
      </c>
      <c r="H486" s="460">
        <v>4801.8894493606304</v>
      </c>
      <c r="I486">
        <v>2600</v>
      </c>
      <c r="J486">
        <v>150.00000001001371</v>
      </c>
      <c r="K486" s="67">
        <v>169.43062499999999</v>
      </c>
      <c r="L486" s="159">
        <v>0</v>
      </c>
      <c r="M486" s="159">
        <v>0</v>
      </c>
      <c r="N486" s="159">
        <v>0</v>
      </c>
      <c r="O486" s="159">
        <v>0</v>
      </c>
      <c r="P486" s="159">
        <v>2869</v>
      </c>
      <c r="Q486" s="159">
        <v>1500</v>
      </c>
      <c r="R486" s="159">
        <v>2000</v>
      </c>
      <c r="S486" s="159">
        <v>41373</v>
      </c>
      <c r="T486" s="159">
        <v>0</v>
      </c>
      <c r="U486" s="159">
        <v>27109</v>
      </c>
      <c r="V486" s="159">
        <v>4500</v>
      </c>
      <c r="W486" s="159">
        <v>186</v>
      </c>
      <c r="X486" s="159">
        <v>0</v>
      </c>
      <c r="Y486" s="159">
        <v>1500</v>
      </c>
      <c r="Z486" s="159">
        <v>3104</v>
      </c>
      <c r="AA486" s="159">
        <v>0</v>
      </c>
      <c r="AB486" s="159">
        <v>0</v>
      </c>
      <c r="AC486" s="159">
        <v>0</v>
      </c>
      <c r="AD486" s="207">
        <v>84141</v>
      </c>
      <c r="AE486" s="200">
        <v>0</v>
      </c>
      <c r="AF486" s="200">
        <v>0</v>
      </c>
      <c r="AG486" s="200">
        <v>0</v>
      </c>
      <c r="AH486" s="200">
        <v>858</v>
      </c>
      <c r="AI486" s="200">
        <v>915</v>
      </c>
      <c r="AJ486" s="200">
        <v>1137</v>
      </c>
      <c r="AL486" s="197">
        <f t="shared" si="67"/>
        <v>96456.357761482053</v>
      </c>
      <c r="AM486" s="197" t="str">
        <f t="shared" si="68"/>
        <v>Box Medium 6</v>
      </c>
      <c r="AN486" s="3">
        <f t="shared" si="69"/>
        <v>0</v>
      </c>
      <c r="AO486" s="3">
        <f t="shared" si="70"/>
        <v>0</v>
      </c>
      <c r="AP486" s="3">
        <f t="shared" si="71"/>
        <v>68.541762461630228</v>
      </c>
      <c r="AQ486" s="3">
        <f t="shared" si="63"/>
        <v>2.4675034486186882</v>
      </c>
      <c r="AR486" s="3">
        <f t="shared" si="64"/>
        <v>2.4675034486186882</v>
      </c>
      <c r="AS486" s="81">
        <f t="shared" si="65"/>
        <v>0</v>
      </c>
      <c r="AT486" s="81">
        <f t="shared" si="66"/>
        <v>1</v>
      </c>
    </row>
    <row r="487" spans="1:46" x14ac:dyDescent="0.25">
      <c r="A487" t="s">
        <v>496</v>
      </c>
      <c r="B487">
        <v>2035</v>
      </c>
      <c r="C487" t="s">
        <v>680</v>
      </c>
      <c r="D487" t="s">
        <v>806</v>
      </c>
      <c r="E487" t="s">
        <v>1028</v>
      </c>
      <c r="F487">
        <v>6</v>
      </c>
      <c r="G487" t="s">
        <v>2222</v>
      </c>
      <c r="H487" s="460">
        <v>4376.6107814443076</v>
      </c>
      <c r="I487">
        <v>2600</v>
      </c>
      <c r="J487">
        <v>150.00000001001371</v>
      </c>
      <c r="K487" s="67">
        <v>4.5619199999999998</v>
      </c>
      <c r="L487" s="159">
        <v>0</v>
      </c>
      <c r="M487" s="159">
        <v>0</v>
      </c>
      <c r="N487" s="159">
        <v>0</v>
      </c>
      <c r="O487" s="159">
        <v>0</v>
      </c>
      <c r="P487" s="159">
        <v>3012</v>
      </c>
      <c r="Q487" s="159">
        <v>1500</v>
      </c>
      <c r="R487" s="159">
        <v>2000</v>
      </c>
      <c r="S487" s="159">
        <v>41373</v>
      </c>
      <c r="T487" s="159">
        <v>0</v>
      </c>
      <c r="U487" s="159">
        <v>1552</v>
      </c>
      <c r="V487" s="159">
        <v>4500</v>
      </c>
      <c r="W487" s="159">
        <v>186</v>
      </c>
      <c r="X487" s="159">
        <v>0</v>
      </c>
      <c r="Y487" s="159">
        <v>1500</v>
      </c>
      <c r="Z487" s="159">
        <v>3296</v>
      </c>
      <c r="AA487" s="159">
        <v>14031</v>
      </c>
      <c r="AB487" s="159">
        <v>5474</v>
      </c>
      <c r="AC487" s="159">
        <v>0</v>
      </c>
      <c r="AD487" s="207">
        <v>78424</v>
      </c>
      <c r="AE487" s="200">
        <v>24.994539025186608</v>
      </c>
      <c r="AF487" s="200">
        <v>24.041454119023538</v>
      </c>
      <c r="AG487" s="200">
        <v>18.804479171371181</v>
      </c>
      <c r="AH487" s="200">
        <v>0</v>
      </c>
      <c r="AI487" s="200">
        <v>0</v>
      </c>
      <c r="AJ487" s="200">
        <v>0</v>
      </c>
      <c r="AL487" s="197">
        <f t="shared" si="67"/>
        <v>89902.584959609099</v>
      </c>
      <c r="AM487" s="197" t="str">
        <f t="shared" si="68"/>
        <v>Box Medium 6</v>
      </c>
      <c r="AN487" s="3">
        <f t="shared" si="69"/>
        <v>12.108346407409631</v>
      </c>
      <c r="AO487" s="3">
        <f t="shared" si="70"/>
        <v>4.6737519840022825</v>
      </c>
      <c r="AP487" s="3">
        <f t="shared" si="71"/>
        <v>0</v>
      </c>
      <c r="AQ487" s="3">
        <f t="shared" si="63"/>
        <v>0</v>
      </c>
      <c r="AR487" s="3">
        <f t="shared" si="64"/>
        <v>4.6737519840022825</v>
      </c>
      <c r="AS487" s="81">
        <f t="shared" si="65"/>
        <v>1</v>
      </c>
      <c r="AT487" s="81">
        <f t="shared" si="66"/>
        <v>0</v>
      </c>
    </row>
    <row r="488" spans="1:46" x14ac:dyDescent="0.25">
      <c r="A488" t="s">
        <v>828</v>
      </c>
      <c r="B488">
        <v>2035</v>
      </c>
      <c r="C488" t="s">
        <v>680</v>
      </c>
      <c r="D488" t="s">
        <v>806</v>
      </c>
      <c r="E488" t="s">
        <v>1028</v>
      </c>
      <c r="F488">
        <v>6</v>
      </c>
      <c r="G488" t="s">
        <v>2223</v>
      </c>
      <c r="H488" s="460">
        <v>4442.7964059893484</v>
      </c>
      <c r="I488">
        <v>2600</v>
      </c>
      <c r="J488">
        <v>150.00000001001371</v>
      </c>
      <c r="K488" s="67">
        <v>39.72</v>
      </c>
      <c r="L488" s="159">
        <v>0</v>
      </c>
      <c r="M488" s="159">
        <v>0</v>
      </c>
      <c r="N488" s="159">
        <v>0</v>
      </c>
      <c r="O488" s="159">
        <v>0</v>
      </c>
      <c r="P488" s="159">
        <v>3559</v>
      </c>
      <c r="Q488" s="159">
        <v>1500</v>
      </c>
      <c r="R488" s="159">
        <v>2000</v>
      </c>
      <c r="S488" s="159">
        <v>41373</v>
      </c>
      <c r="T488" s="159">
        <v>0</v>
      </c>
      <c r="U488" s="159">
        <v>6355</v>
      </c>
      <c r="V488" s="159">
        <v>4500</v>
      </c>
      <c r="W488" s="159">
        <v>186</v>
      </c>
      <c r="X488" s="159">
        <v>0</v>
      </c>
      <c r="Y488" s="159">
        <v>1500</v>
      </c>
      <c r="Z488" s="159">
        <v>4032</v>
      </c>
      <c r="AA488" s="159">
        <v>7334</v>
      </c>
      <c r="AB488" s="159">
        <v>3834</v>
      </c>
      <c r="AC488" s="159">
        <v>0</v>
      </c>
      <c r="AD488" s="207">
        <v>76173</v>
      </c>
      <c r="AE488" s="200">
        <v>24.952669277466391</v>
      </c>
      <c r="AF488" s="200">
        <v>22.57053508851109</v>
      </c>
      <c r="AG488" s="200">
        <v>17.877081190226779</v>
      </c>
      <c r="AH488" s="200">
        <v>0</v>
      </c>
      <c r="AI488" s="200">
        <v>0</v>
      </c>
      <c r="AJ488" s="200">
        <v>0</v>
      </c>
      <c r="AL488" s="197">
        <f t="shared" si="67"/>
        <v>87322.115731514627</v>
      </c>
      <c r="AM488" s="197" t="str">
        <f t="shared" si="68"/>
        <v>Box Medium 6</v>
      </c>
      <c r="AN488" s="3">
        <f t="shared" si="69"/>
        <v>12.724568810883248</v>
      </c>
      <c r="AO488" s="3">
        <f t="shared" si="70"/>
        <v>4.9116102830561514</v>
      </c>
      <c r="AP488" s="3">
        <f t="shared" si="71"/>
        <v>0</v>
      </c>
      <c r="AQ488" s="3">
        <f t="shared" si="63"/>
        <v>0</v>
      </c>
      <c r="AR488" s="3">
        <f t="shared" si="64"/>
        <v>4.9116102830561514</v>
      </c>
      <c r="AS488" s="81">
        <f t="shared" si="65"/>
        <v>1</v>
      </c>
      <c r="AT488" s="81">
        <f t="shared" si="66"/>
        <v>0</v>
      </c>
    </row>
    <row r="489" spans="1:46" x14ac:dyDescent="0.25">
      <c r="A489" t="s">
        <v>805</v>
      </c>
      <c r="B489">
        <v>2050</v>
      </c>
      <c r="C489" t="s">
        <v>680</v>
      </c>
      <c r="D489" t="s">
        <v>806</v>
      </c>
      <c r="E489" t="s">
        <v>1028</v>
      </c>
      <c r="F489">
        <v>6</v>
      </c>
      <c r="G489" t="s">
        <v>2224</v>
      </c>
      <c r="H489" s="460">
        <v>4510.1419909453189</v>
      </c>
      <c r="I489">
        <v>2600</v>
      </c>
      <c r="J489">
        <v>0</v>
      </c>
      <c r="K489" s="67">
        <v>0</v>
      </c>
      <c r="L489" s="159">
        <v>150</v>
      </c>
      <c r="M489" s="159">
        <v>16645</v>
      </c>
      <c r="N489" s="159">
        <v>1920</v>
      </c>
      <c r="O489" s="159">
        <v>506</v>
      </c>
      <c r="P489" s="159">
        <v>4663</v>
      </c>
      <c r="Q489" s="159">
        <v>1500</v>
      </c>
      <c r="R489" s="159">
        <v>2000</v>
      </c>
      <c r="S489" s="159">
        <v>41482</v>
      </c>
      <c r="T489" s="159">
        <v>44</v>
      </c>
      <c r="U489" s="159">
        <v>120</v>
      </c>
      <c r="V489" s="159">
        <v>0</v>
      </c>
      <c r="W489" s="159">
        <v>186</v>
      </c>
      <c r="X489" s="159">
        <v>0</v>
      </c>
      <c r="Y489" s="159">
        <v>0</v>
      </c>
      <c r="Z489" s="159">
        <v>0</v>
      </c>
      <c r="AA489" s="159">
        <v>0</v>
      </c>
      <c r="AB489" s="159">
        <v>0</v>
      </c>
      <c r="AC489" s="159">
        <v>0</v>
      </c>
      <c r="AD489" s="207">
        <v>69216</v>
      </c>
      <c r="AE489" s="200">
        <v>13.740780928299246</v>
      </c>
      <c r="AF489" s="200">
        <v>18.666517203413783</v>
      </c>
      <c r="AG489" s="200">
        <v>16.503884856517299</v>
      </c>
      <c r="AH489" s="200">
        <v>0</v>
      </c>
      <c r="AI489" s="200">
        <v>0</v>
      </c>
      <c r="AJ489" s="200">
        <v>0</v>
      </c>
      <c r="AL489" s="197">
        <f t="shared" si="67"/>
        <v>79346.849441042315</v>
      </c>
      <c r="AM489" s="197" t="str">
        <f t="shared" si="68"/>
        <v>Box Medium 6</v>
      </c>
      <c r="AN489" s="3">
        <f t="shared" si="69"/>
        <v>14.246794855094318</v>
      </c>
      <c r="AO489" s="3">
        <f t="shared" si="70"/>
        <v>5.49918076996242</v>
      </c>
      <c r="AP489" s="3">
        <f t="shared" si="71"/>
        <v>0</v>
      </c>
      <c r="AQ489" s="3">
        <f t="shared" si="63"/>
        <v>0</v>
      </c>
      <c r="AR489" s="3">
        <f t="shared" si="64"/>
        <v>5.49918076996242</v>
      </c>
      <c r="AS489" s="81">
        <f t="shared" si="65"/>
        <v>1</v>
      </c>
      <c r="AT489" s="81">
        <f t="shared" si="66"/>
        <v>0</v>
      </c>
    </row>
    <row r="490" spans="1:46" x14ac:dyDescent="0.25">
      <c r="A490" t="s">
        <v>805</v>
      </c>
      <c r="B490">
        <v>2050</v>
      </c>
      <c r="C490" t="s">
        <v>680</v>
      </c>
      <c r="D490" t="s">
        <v>806</v>
      </c>
      <c r="E490" t="s">
        <v>1028</v>
      </c>
      <c r="F490">
        <v>6</v>
      </c>
      <c r="G490" t="s">
        <v>2225</v>
      </c>
      <c r="H490" s="460">
        <v>4320.5297924680426</v>
      </c>
      <c r="I490">
        <v>2600</v>
      </c>
      <c r="J490">
        <v>0</v>
      </c>
      <c r="K490" s="67">
        <v>0</v>
      </c>
      <c r="L490" s="159">
        <v>150</v>
      </c>
      <c r="M490" s="159">
        <v>24627</v>
      </c>
      <c r="N490" s="159">
        <v>1920</v>
      </c>
      <c r="O490" s="159">
        <v>506</v>
      </c>
      <c r="P490" s="159">
        <v>3469</v>
      </c>
      <c r="Q490" s="159">
        <v>1500</v>
      </c>
      <c r="R490" s="159">
        <v>2000</v>
      </c>
      <c r="S490" s="159">
        <v>41482</v>
      </c>
      <c r="T490" s="159">
        <v>44</v>
      </c>
      <c r="U490" s="159">
        <v>120</v>
      </c>
      <c r="V490" s="159">
        <v>0</v>
      </c>
      <c r="W490" s="159">
        <v>186</v>
      </c>
      <c r="X490" s="159">
        <v>0</v>
      </c>
      <c r="Y490" s="159">
        <v>0</v>
      </c>
      <c r="Z490" s="159">
        <v>0</v>
      </c>
      <c r="AA490" s="159">
        <v>0</v>
      </c>
      <c r="AB490" s="159">
        <v>0</v>
      </c>
      <c r="AC490" s="159">
        <v>0</v>
      </c>
      <c r="AD490" s="207">
        <v>76004</v>
      </c>
      <c r="AE490" s="200">
        <v>10.360986151892936</v>
      </c>
      <c r="AF490" s="200">
        <v>13.476586711993029</v>
      </c>
      <c r="AG490" s="200">
        <v>14.0077325795018</v>
      </c>
      <c r="AH490" s="200">
        <v>0</v>
      </c>
      <c r="AI490" s="200">
        <v>0</v>
      </c>
      <c r="AJ490" s="200">
        <v>0</v>
      </c>
      <c r="AL490" s="197">
        <f t="shared" si="67"/>
        <v>87128.379925407135</v>
      </c>
      <c r="AM490" s="197" t="str">
        <f t="shared" si="68"/>
        <v>Box Medium 6</v>
      </c>
      <c r="AN490" s="3">
        <f t="shared" si="69"/>
        <v>17.146877784510039</v>
      </c>
      <c r="AO490" s="3">
        <f t="shared" si="70"/>
        <v>6.6185960797881629</v>
      </c>
      <c r="AP490" s="3">
        <f t="shared" si="71"/>
        <v>0</v>
      </c>
      <c r="AQ490" s="3">
        <f t="shared" si="63"/>
        <v>0</v>
      </c>
      <c r="AR490" s="3">
        <f t="shared" si="64"/>
        <v>6.6185960797881629</v>
      </c>
      <c r="AS490" s="81">
        <f t="shared" si="65"/>
        <v>1</v>
      </c>
      <c r="AT490" s="81">
        <f t="shared" si="66"/>
        <v>0</v>
      </c>
    </row>
    <row r="491" spans="1:46" x14ac:dyDescent="0.25">
      <c r="A491" t="s">
        <v>807</v>
      </c>
      <c r="B491">
        <v>2050</v>
      </c>
      <c r="C491" t="s">
        <v>680</v>
      </c>
      <c r="D491" t="s">
        <v>806</v>
      </c>
      <c r="E491" t="s">
        <v>1028</v>
      </c>
      <c r="F491">
        <v>6</v>
      </c>
      <c r="G491" t="s">
        <v>2226</v>
      </c>
      <c r="H491" s="460">
        <v>4595.6250341652731</v>
      </c>
      <c r="I491">
        <v>2600</v>
      </c>
      <c r="J491">
        <v>0</v>
      </c>
      <c r="K491" s="67">
        <v>4.2134400000000003</v>
      </c>
      <c r="L491" s="159">
        <v>150</v>
      </c>
      <c r="M491" s="159">
        <v>16963</v>
      </c>
      <c r="N491" s="159">
        <v>220</v>
      </c>
      <c r="O491" s="159">
        <v>392</v>
      </c>
      <c r="P491" s="159">
        <v>4756</v>
      </c>
      <c r="Q491" s="159">
        <v>1500</v>
      </c>
      <c r="R491" s="159">
        <v>2000</v>
      </c>
      <c r="S491" s="159">
        <v>41482</v>
      </c>
      <c r="T491" s="159">
        <v>0</v>
      </c>
      <c r="U491" s="159">
        <v>1354</v>
      </c>
      <c r="V491" s="159">
        <v>4500</v>
      </c>
      <c r="W491" s="159">
        <v>186</v>
      </c>
      <c r="X491" s="159">
        <v>120</v>
      </c>
      <c r="Y491" s="159">
        <v>1500</v>
      </c>
      <c r="Z491" s="159">
        <v>1641</v>
      </c>
      <c r="AA491" s="159">
        <v>0</v>
      </c>
      <c r="AB491" s="159">
        <v>0</v>
      </c>
      <c r="AC491" s="159">
        <v>0</v>
      </c>
      <c r="AD491" s="207">
        <v>76764</v>
      </c>
      <c r="AE491" s="200">
        <v>17.888463792306023</v>
      </c>
      <c r="AF491" s="200">
        <v>18.44542259097074</v>
      </c>
      <c r="AG491" s="200">
        <v>15.915566675107875</v>
      </c>
      <c r="AH491" s="200">
        <v>0</v>
      </c>
      <c r="AI491" s="200">
        <v>0</v>
      </c>
      <c r="AJ491" s="200">
        <v>0</v>
      </c>
      <c r="AL491" s="197">
        <f t="shared" si="67"/>
        <v>87999.617870032554</v>
      </c>
      <c r="AM491" s="197" t="str">
        <f t="shared" si="68"/>
        <v>Box Medium 6</v>
      </c>
      <c r="AN491" s="3">
        <f t="shared" si="69"/>
        <v>14.515008516130347</v>
      </c>
      <c r="AO491" s="3">
        <f t="shared" si="70"/>
        <v>5.6027096985398632</v>
      </c>
      <c r="AP491" s="3">
        <f t="shared" si="71"/>
        <v>0</v>
      </c>
      <c r="AQ491" s="3">
        <f t="shared" si="63"/>
        <v>0</v>
      </c>
      <c r="AR491" s="3">
        <f t="shared" si="64"/>
        <v>5.6027096985398632</v>
      </c>
      <c r="AS491" s="81">
        <f t="shared" si="65"/>
        <v>1</v>
      </c>
      <c r="AT491" s="81">
        <f t="shared" si="66"/>
        <v>0</v>
      </c>
    </row>
    <row r="492" spans="1:46" x14ac:dyDescent="0.25">
      <c r="A492" t="s">
        <v>807</v>
      </c>
      <c r="B492">
        <v>2050</v>
      </c>
      <c r="C492" t="s">
        <v>680</v>
      </c>
      <c r="D492" t="s">
        <v>806</v>
      </c>
      <c r="E492" t="s">
        <v>1028</v>
      </c>
      <c r="F492">
        <v>6</v>
      </c>
      <c r="G492" t="s">
        <v>2227</v>
      </c>
      <c r="H492" s="460">
        <v>4378.6190579485119</v>
      </c>
      <c r="I492">
        <v>2600</v>
      </c>
      <c r="J492">
        <v>0</v>
      </c>
      <c r="K492" s="67">
        <v>4.2134400000000003</v>
      </c>
      <c r="L492" s="159">
        <v>150</v>
      </c>
      <c r="M492" s="159">
        <v>20476</v>
      </c>
      <c r="N492" s="159">
        <v>220</v>
      </c>
      <c r="O492" s="159">
        <v>392</v>
      </c>
      <c r="P492" s="159">
        <v>3224</v>
      </c>
      <c r="Q492" s="159">
        <v>1500</v>
      </c>
      <c r="R492" s="159">
        <v>2000</v>
      </c>
      <c r="S492" s="159">
        <v>41482</v>
      </c>
      <c r="T492" s="159">
        <v>0</v>
      </c>
      <c r="U492" s="159">
        <v>1354</v>
      </c>
      <c r="V492" s="159">
        <v>4500</v>
      </c>
      <c r="W492" s="159">
        <v>186</v>
      </c>
      <c r="X492" s="159">
        <v>120</v>
      </c>
      <c r="Y492" s="159">
        <v>1500</v>
      </c>
      <c r="Z492" s="159">
        <v>1642</v>
      </c>
      <c r="AA492" s="159">
        <v>0</v>
      </c>
      <c r="AB492" s="159">
        <v>0</v>
      </c>
      <c r="AC492" s="159">
        <v>0</v>
      </c>
      <c r="AD492" s="207">
        <v>78746</v>
      </c>
      <c r="AE492" s="200">
        <v>15.079402701921126</v>
      </c>
      <c r="AF492" s="200">
        <v>15.265752412168792</v>
      </c>
      <c r="AG492" s="200">
        <v>14.174006321881222</v>
      </c>
      <c r="AH492" s="200">
        <v>0</v>
      </c>
      <c r="AI492" s="200">
        <v>0</v>
      </c>
      <c r="AJ492" s="200">
        <v>0</v>
      </c>
      <c r="AL492" s="197">
        <f t="shared" si="67"/>
        <v>90271.714720358286</v>
      </c>
      <c r="AM492" s="197" t="str">
        <f t="shared" si="68"/>
        <v>Box Medium 6</v>
      </c>
      <c r="AN492" s="3">
        <f t="shared" si="69"/>
        <v>16.438191627686045</v>
      </c>
      <c r="AO492" s="3">
        <f t="shared" si="70"/>
        <v>6.3450473044191158</v>
      </c>
      <c r="AP492" s="3">
        <f t="shared" si="71"/>
        <v>0</v>
      </c>
      <c r="AQ492" s="3">
        <f t="shared" si="63"/>
        <v>0</v>
      </c>
      <c r="AR492" s="3">
        <f t="shared" si="64"/>
        <v>6.3450473044191158</v>
      </c>
      <c r="AS492" s="81">
        <f t="shared" si="65"/>
        <v>1</v>
      </c>
      <c r="AT492" s="81">
        <f t="shared" si="66"/>
        <v>0</v>
      </c>
    </row>
    <row r="493" spans="1:46" x14ac:dyDescent="0.25">
      <c r="A493" t="s">
        <v>808</v>
      </c>
      <c r="B493">
        <v>2050</v>
      </c>
      <c r="C493" t="s">
        <v>680</v>
      </c>
      <c r="D493" t="s">
        <v>806</v>
      </c>
      <c r="E493" t="s">
        <v>1028</v>
      </c>
      <c r="F493">
        <v>6</v>
      </c>
      <c r="G493" t="s">
        <v>2228</v>
      </c>
      <c r="H493" s="460">
        <v>4766.0806277404708</v>
      </c>
      <c r="I493">
        <v>2600</v>
      </c>
      <c r="J493">
        <v>119.99999997072871</v>
      </c>
      <c r="K493" s="67">
        <v>117.298125</v>
      </c>
      <c r="L493" s="159">
        <v>0</v>
      </c>
      <c r="M493" s="159">
        <v>10666</v>
      </c>
      <c r="N493" s="159">
        <v>220</v>
      </c>
      <c r="O493" s="159">
        <v>0</v>
      </c>
      <c r="P493" s="159">
        <v>3349</v>
      </c>
      <c r="Q493" s="159">
        <v>1500</v>
      </c>
      <c r="R493" s="159">
        <v>2000</v>
      </c>
      <c r="S493" s="159">
        <v>41482</v>
      </c>
      <c r="T493" s="159">
        <v>1253</v>
      </c>
      <c r="U493" s="159">
        <v>10557</v>
      </c>
      <c r="V493" s="159">
        <v>4500</v>
      </c>
      <c r="W493" s="159">
        <v>186</v>
      </c>
      <c r="X493" s="159">
        <v>0</v>
      </c>
      <c r="Y493" s="159">
        <v>1500</v>
      </c>
      <c r="Z493" s="159">
        <v>2736</v>
      </c>
      <c r="AA493" s="159">
        <v>0</v>
      </c>
      <c r="AB493" s="159">
        <v>0</v>
      </c>
      <c r="AC493" s="159">
        <v>0</v>
      </c>
      <c r="AD493" s="207">
        <v>79949</v>
      </c>
      <c r="AE493" s="200">
        <v>19.347598335417249</v>
      </c>
      <c r="AF493" s="200">
        <v>17.76055963415229</v>
      </c>
      <c r="AG493" s="200">
        <v>14.893630452981361</v>
      </c>
      <c r="AH493" s="200">
        <v>793</v>
      </c>
      <c r="AI493" s="200">
        <v>854</v>
      </c>
      <c r="AJ493" s="200">
        <v>1080</v>
      </c>
      <c r="AL493" s="197">
        <f t="shared" si="67"/>
        <v>91650.792677442965</v>
      </c>
      <c r="AM493" s="197" t="str">
        <f t="shared" si="68"/>
        <v>Box Medium 6</v>
      </c>
      <c r="AN493" s="3">
        <f t="shared" si="69"/>
        <v>3.0763556365139091</v>
      </c>
      <c r="AO493" s="3">
        <f t="shared" si="70"/>
        <v>1.1874555596505632</v>
      </c>
      <c r="AP493" s="3">
        <f t="shared" si="71"/>
        <v>51.962170827792761</v>
      </c>
      <c r="AQ493" s="3">
        <f t="shared" si="63"/>
        <v>1.8706381498005393</v>
      </c>
      <c r="AR493" s="3">
        <f t="shared" si="64"/>
        <v>3.0580937094511027</v>
      </c>
      <c r="AS493" s="81">
        <f t="shared" si="65"/>
        <v>0.38829927153007343</v>
      </c>
      <c r="AT493" s="81">
        <f t="shared" si="66"/>
        <v>0.61170072846992651</v>
      </c>
    </row>
    <row r="494" spans="1:46" x14ac:dyDescent="0.25">
      <c r="A494" t="s">
        <v>808</v>
      </c>
      <c r="B494">
        <v>2050</v>
      </c>
      <c r="C494" t="s">
        <v>680</v>
      </c>
      <c r="D494" t="s">
        <v>806</v>
      </c>
      <c r="E494" t="s">
        <v>1028</v>
      </c>
      <c r="F494">
        <v>6</v>
      </c>
      <c r="G494" t="s">
        <v>2229</v>
      </c>
      <c r="H494" s="460">
        <v>4703.7059166149429</v>
      </c>
      <c r="I494">
        <v>2600</v>
      </c>
      <c r="J494">
        <v>119.99999997072871</v>
      </c>
      <c r="K494" s="67">
        <v>117.298125</v>
      </c>
      <c r="L494" s="159">
        <v>0</v>
      </c>
      <c r="M494" s="159">
        <v>8558</v>
      </c>
      <c r="N494" s="159">
        <v>220</v>
      </c>
      <c r="O494" s="159">
        <v>0</v>
      </c>
      <c r="P494" s="159">
        <v>3349</v>
      </c>
      <c r="Q494" s="159">
        <v>1500</v>
      </c>
      <c r="R494" s="159">
        <v>2000</v>
      </c>
      <c r="S494" s="159">
        <v>41482</v>
      </c>
      <c r="T494" s="159">
        <v>1253</v>
      </c>
      <c r="U494" s="159">
        <v>10557</v>
      </c>
      <c r="V494" s="159">
        <v>4500</v>
      </c>
      <c r="W494" s="159">
        <v>186</v>
      </c>
      <c r="X494" s="159">
        <v>0</v>
      </c>
      <c r="Y494" s="159">
        <v>1500</v>
      </c>
      <c r="Z494" s="159">
        <v>2736</v>
      </c>
      <c r="AA494" s="159">
        <v>0</v>
      </c>
      <c r="AB494" s="159">
        <v>0</v>
      </c>
      <c r="AC494" s="159">
        <v>0</v>
      </c>
      <c r="AD494" s="207">
        <v>77841</v>
      </c>
      <c r="AE494" s="200">
        <v>15.547825413145189</v>
      </c>
      <c r="AF494" s="200">
        <v>14.32092398006114</v>
      </c>
      <c r="AG494" s="200">
        <v>12.118772514975014</v>
      </c>
      <c r="AH494" s="200">
        <v>790</v>
      </c>
      <c r="AI494" s="200">
        <v>852</v>
      </c>
      <c r="AJ494" s="200">
        <v>1078</v>
      </c>
      <c r="AL494" s="197">
        <f t="shared" si="67"/>
        <v>89234.253746824077</v>
      </c>
      <c r="AM494" s="197" t="str">
        <f t="shared" si="68"/>
        <v>Box Medium 6</v>
      </c>
      <c r="AN494" s="3">
        <f t="shared" si="69"/>
        <v>3.7853017338286845</v>
      </c>
      <c r="AO494" s="3">
        <f t="shared" si="70"/>
        <v>1.4611046705521118</v>
      </c>
      <c r="AP494" s="3">
        <f t="shared" si="71"/>
        <v>51.86026569898219</v>
      </c>
      <c r="AQ494" s="3">
        <f t="shared" si="63"/>
        <v>1.8669695651633589</v>
      </c>
      <c r="AR494" s="3">
        <f t="shared" si="64"/>
        <v>3.3280742357154707</v>
      </c>
      <c r="AS494" s="81">
        <f t="shared" si="65"/>
        <v>0.43902406228567886</v>
      </c>
      <c r="AT494" s="81">
        <f t="shared" si="66"/>
        <v>0.56097593771432119</v>
      </c>
    </row>
    <row r="495" spans="1:46" x14ac:dyDescent="0.25">
      <c r="A495" t="s">
        <v>230</v>
      </c>
      <c r="B495">
        <v>2050</v>
      </c>
      <c r="C495" t="s">
        <v>680</v>
      </c>
      <c r="D495" t="s">
        <v>806</v>
      </c>
      <c r="E495" t="s">
        <v>1028</v>
      </c>
      <c r="F495">
        <v>6</v>
      </c>
      <c r="G495" t="s">
        <v>2230</v>
      </c>
      <c r="H495" s="460">
        <v>4466.5729811955516</v>
      </c>
      <c r="I495">
        <v>2600</v>
      </c>
      <c r="J495">
        <v>150.00000001001371</v>
      </c>
      <c r="K495" s="67">
        <v>158.13525000000001</v>
      </c>
      <c r="L495" s="159">
        <v>0</v>
      </c>
      <c r="M495" s="159">
        <v>0</v>
      </c>
      <c r="N495" s="159">
        <v>0</v>
      </c>
      <c r="O495" s="159">
        <v>0</v>
      </c>
      <c r="P495" s="159">
        <v>2841</v>
      </c>
      <c r="Q495" s="159">
        <v>1500</v>
      </c>
      <c r="R495" s="159">
        <v>2000</v>
      </c>
      <c r="S495" s="159">
        <v>41482</v>
      </c>
      <c r="T495" s="159">
        <v>0</v>
      </c>
      <c r="U495" s="159">
        <v>14232</v>
      </c>
      <c r="V495" s="159">
        <v>4500</v>
      </c>
      <c r="W495" s="159">
        <v>186</v>
      </c>
      <c r="X495" s="159">
        <v>0</v>
      </c>
      <c r="Y495" s="159">
        <v>1500</v>
      </c>
      <c r="Z495" s="159">
        <v>2235</v>
      </c>
      <c r="AA495" s="159">
        <v>0</v>
      </c>
      <c r="AB495" s="159">
        <v>0</v>
      </c>
      <c r="AC495" s="159">
        <v>0</v>
      </c>
      <c r="AD495" s="207">
        <v>70476</v>
      </c>
      <c r="AE495" s="200">
        <v>0</v>
      </c>
      <c r="AF495" s="200">
        <v>0</v>
      </c>
      <c r="AG495" s="200">
        <v>0</v>
      </c>
      <c r="AH495" s="200">
        <v>756</v>
      </c>
      <c r="AI495" s="200">
        <v>820</v>
      </c>
      <c r="AJ495" s="200">
        <v>1021</v>
      </c>
      <c r="AL495" s="197">
        <f t="shared" si="67"/>
        <v>80791.270243973922</v>
      </c>
      <c r="AM495" s="197" t="str">
        <f t="shared" si="68"/>
        <v>Box Medium 6</v>
      </c>
      <c r="AN495" s="3">
        <f t="shared" si="69"/>
        <v>0</v>
      </c>
      <c r="AO495" s="3">
        <f t="shared" si="70"/>
        <v>0</v>
      </c>
      <c r="AP495" s="3">
        <f t="shared" si="71"/>
        <v>61.494774255284774</v>
      </c>
      <c r="AQ495" s="3">
        <f t="shared" ref="AQ495:AQ558" si="72">AP495*3.6/100</f>
        <v>2.2138118731902519</v>
      </c>
      <c r="AR495" s="3">
        <f t="shared" ref="AR495:AR558" si="73">AO495+AQ495</f>
        <v>2.2138118731902519</v>
      </c>
      <c r="AS495" s="81">
        <f t="shared" ref="AS495:AS558" si="74">AO495/AR495</f>
        <v>0</v>
      </c>
      <c r="AT495" s="81">
        <f t="shared" ref="AT495:AT558" si="75">AQ495/AR495</f>
        <v>1</v>
      </c>
    </row>
    <row r="496" spans="1:46" x14ac:dyDescent="0.25">
      <c r="A496" t="s">
        <v>496</v>
      </c>
      <c r="B496">
        <v>2050</v>
      </c>
      <c r="C496" t="s">
        <v>680</v>
      </c>
      <c r="D496" t="s">
        <v>806</v>
      </c>
      <c r="E496" t="s">
        <v>1028</v>
      </c>
      <c r="F496">
        <v>6</v>
      </c>
      <c r="G496" t="s">
        <v>2231</v>
      </c>
      <c r="H496" s="460">
        <v>4255.7688898517608</v>
      </c>
      <c r="I496">
        <v>2600</v>
      </c>
      <c r="J496">
        <v>150.00000001001371</v>
      </c>
      <c r="K496" s="67">
        <v>4.5144000000000011</v>
      </c>
      <c r="L496" s="159">
        <v>0</v>
      </c>
      <c r="M496" s="159">
        <v>0</v>
      </c>
      <c r="N496" s="159">
        <v>0</v>
      </c>
      <c r="O496" s="159">
        <v>0</v>
      </c>
      <c r="P496" s="159">
        <v>3012</v>
      </c>
      <c r="Q496" s="159">
        <v>1500</v>
      </c>
      <c r="R496" s="159">
        <v>2000</v>
      </c>
      <c r="S496" s="159">
        <v>41482</v>
      </c>
      <c r="T496" s="159">
        <v>0</v>
      </c>
      <c r="U496" s="159">
        <v>1450</v>
      </c>
      <c r="V496" s="159">
        <v>4500</v>
      </c>
      <c r="W496" s="159">
        <v>186</v>
      </c>
      <c r="X496" s="159">
        <v>0</v>
      </c>
      <c r="Y496" s="159">
        <v>1500</v>
      </c>
      <c r="Z496" s="159">
        <v>2404</v>
      </c>
      <c r="AA496" s="159">
        <v>11815</v>
      </c>
      <c r="AB496" s="159">
        <v>3244</v>
      </c>
      <c r="AC496" s="159">
        <v>0</v>
      </c>
      <c r="AD496" s="207">
        <v>73093</v>
      </c>
      <c r="AE496" s="200">
        <v>28.14384232120679</v>
      </c>
      <c r="AF496" s="200">
        <v>27.212767815611141</v>
      </c>
      <c r="AG496" s="200">
        <v>21.306944941548842</v>
      </c>
      <c r="AH496" s="200">
        <v>0</v>
      </c>
      <c r="AI496" s="200">
        <v>0</v>
      </c>
      <c r="AJ496" s="200">
        <v>0</v>
      </c>
      <c r="AL496" s="197">
        <f t="shared" si="67"/>
        <v>83791.309324348505</v>
      </c>
      <c r="AM496" s="197" t="str">
        <f t="shared" si="68"/>
        <v>Box Medium 6</v>
      </c>
      <c r="AN496" s="3">
        <f t="shared" si="69"/>
        <v>10.689653386394784</v>
      </c>
      <c r="AO496" s="3">
        <f t="shared" si="70"/>
        <v>4.1261446478262416</v>
      </c>
      <c r="AP496" s="3">
        <f t="shared" si="71"/>
        <v>0</v>
      </c>
      <c r="AQ496" s="3">
        <f t="shared" si="72"/>
        <v>0</v>
      </c>
      <c r="AR496" s="3">
        <f t="shared" si="73"/>
        <v>4.1261446478262416</v>
      </c>
      <c r="AS496" s="81">
        <f t="shared" si="74"/>
        <v>1</v>
      </c>
      <c r="AT496" s="81">
        <f t="shared" si="75"/>
        <v>0</v>
      </c>
    </row>
    <row r="497" spans="1:46" x14ac:dyDescent="0.25">
      <c r="A497" t="s">
        <v>828</v>
      </c>
      <c r="B497">
        <v>2050</v>
      </c>
      <c r="C497" t="s">
        <v>680</v>
      </c>
      <c r="D497" t="s">
        <v>806</v>
      </c>
      <c r="E497" t="s">
        <v>1028</v>
      </c>
      <c r="F497">
        <v>6</v>
      </c>
      <c r="G497" t="s">
        <v>2232</v>
      </c>
      <c r="H497" s="460">
        <v>4263.7514784518999</v>
      </c>
      <c r="I497">
        <v>2600</v>
      </c>
      <c r="J497">
        <v>150.00000001001371</v>
      </c>
      <c r="K497" s="67">
        <v>39.72</v>
      </c>
      <c r="L497" s="159">
        <v>0</v>
      </c>
      <c r="M497" s="159">
        <v>0</v>
      </c>
      <c r="N497" s="159">
        <v>0</v>
      </c>
      <c r="O497" s="159">
        <v>0</v>
      </c>
      <c r="P497" s="159">
        <v>3514</v>
      </c>
      <c r="Q497" s="159">
        <v>1500</v>
      </c>
      <c r="R497" s="159">
        <v>2000</v>
      </c>
      <c r="S497" s="159">
        <v>41482</v>
      </c>
      <c r="T497" s="159">
        <v>0</v>
      </c>
      <c r="U497" s="159">
        <v>3575</v>
      </c>
      <c r="V497" s="159">
        <v>4500</v>
      </c>
      <c r="W497" s="159">
        <v>186</v>
      </c>
      <c r="X497" s="159">
        <v>0</v>
      </c>
      <c r="Y497" s="159">
        <v>1500</v>
      </c>
      <c r="Z497" s="159">
        <v>2900</v>
      </c>
      <c r="AA497" s="159">
        <v>5588</v>
      </c>
      <c r="AB497" s="159">
        <v>2150</v>
      </c>
      <c r="AC497" s="159">
        <v>0</v>
      </c>
      <c r="AD497" s="207">
        <v>68895</v>
      </c>
      <c r="AE497" s="200">
        <v>28.273069396355989</v>
      </c>
      <c r="AF497" s="200">
        <v>25.422819412385632</v>
      </c>
      <c r="AG497" s="200">
        <v>20.110235106421563</v>
      </c>
      <c r="AH497" s="200">
        <v>0</v>
      </c>
      <c r="AI497" s="200">
        <v>0</v>
      </c>
      <c r="AJ497" s="200">
        <v>0</v>
      </c>
      <c r="AL497" s="197">
        <f t="shared" si="67"/>
        <v>78978.866046009745</v>
      </c>
      <c r="AM497" s="197" t="str">
        <f t="shared" si="68"/>
        <v>Box Medium 6</v>
      </c>
      <c r="AN497" s="3">
        <f t="shared" si="69"/>
        <v>11.307470001432378</v>
      </c>
      <c r="AO497" s="3">
        <f t="shared" si="70"/>
        <v>4.3646183033630965</v>
      </c>
      <c r="AP497" s="3">
        <f t="shared" si="71"/>
        <v>0</v>
      </c>
      <c r="AQ497" s="3">
        <f t="shared" si="72"/>
        <v>0</v>
      </c>
      <c r="AR497" s="3">
        <f t="shared" si="73"/>
        <v>4.3646183033630965</v>
      </c>
      <c r="AS497" s="81">
        <f t="shared" si="74"/>
        <v>1</v>
      </c>
      <c r="AT497" s="81">
        <f t="shared" si="75"/>
        <v>0</v>
      </c>
    </row>
    <row r="498" spans="1:46" x14ac:dyDescent="0.25">
      <c r="A498" t="s">
        <v>805</v>
      </c>
      <c r="B498">
        <v>2023</v>
      </c>
      <c r="C498" t="s">
        <v>680</v>
      </c>
      <c r="D498" t="s">
        <v>832</v>
      </c>
      <c r="E498" t="s">
        <v>1028</v>
      </c>
      <c r="F498">
        <v>6</v>
      </c>
      <c r="G498" t="s">
        <v>2233</v>
      </c>
      <c r="H498" s="460">
        <v>4584.6102690044545</v>
      </c>
      <c r="I498">
        <v>2600</v>
      </c>
      <c r="J498">
        <v>0</v>
      </c>
      <c r="K498" s="67">
        <v>0</v>
      </c>
      <c r="L498" s="159">
        <v>150</v>
      </c>
      <c r="M498" s="159">
        <v>15192</v>
      </c>
      <c r="N498" s="159">
        <v>1920</v>
      </c>
      <c r="O498" s="159">
        <v>506</v>
      </c>
      <c r="P498" s="159">
        <v>4454</v>
      </c>
      <c r="Q498" s="159">
        <v>1500</v>
      </c>
      <c r="R498" s="159">
        <v>2000</v>
      </c>
      <c r="S498" s="159">
        <v>41000</v>
      </c>
      <c r="T498" s="159">
        <v>98</v>
      </c>
      <c r="U498" s="159">
        <v>120</v>
      </c>
      <c r="V498" s="159">
        <v>0</v>
      </c>
      <c r="W498" s="159">
        <v>186</v>
      </c>
      <c r="X498" s="159">
        <v>0</v>
      </c>
      <c r="Y498" s="159">
        <v>0</v>
      </c>
      <c r="Z498" s="159">
        <v>0</v>
      </c>
      <c r="AA498" s="159">
        <v>0</v>
      </c>
      <c r="AB498" s="159">
        <v>0</v>
      </c>
      <c r="AC498" s="159">
        <v>0</v>
      </c>
      <c r="AD498" s="207">
        <v>67126</v>
      </c>
      <c r="AE498" s="200">
        <v>10.888131818936262</v>
      </c>
      <c r="AF498" s="200">
        <v>13.85646288359068</v>
      </c>
      <c r="AG498" s="200">
        <v>11.827082574950643</v>
      </c>
      <c r="AH498" s="200">
        <v>0</v>
      </c>
      <c r="AI498" s="200">
        <v>0</v>
      </c>
      <c r="AJ498" s="200">
        <v>0</v>
      </c>
      <c r="AL498" s="197">
        <f t="shared" si="67"/>
        <v>76950.945093322458</v>
      </c>
      <c r="AM498" s="197" t="str">
        <f t="shared" si="68"/>
        <v>Box Medium 6</v>
      </c>
      <c r="AN498" s="3">
        <f t="shared" si="69"/>
        <v>19.711447232290073</v>
      </c>
      <c r="AO498" s="3">
        <f t="shared" si="70"/>
        <v>7.608505117849603</v>
      </c>
      <c r="AP498" s="3">
        <f t="shared" si="71"/>
        <v>0</v>
      </c>
      <c r="AQ498" s="3">
        <f t="shared" si="72"/>
        <v>0</v>
      </c>
      <c r="AR498" s="3">
        <f t="shared" si="73"/>
        <v>7.608505117849603</v>
      </c>
      <c r="AS498" s="81">
        <f t="shared" si="74"/>
        <v>1</v>
      </c>
      <c r="AT498" s="81">
        <f t="shared" si="75"/>
        <v>0</v>
      </c>
    </row>
    <row r="499" spans="1:46" x14ac:dyDescent="0.25">
      <c r="A499" t="s">
        <v>805</v>
      </c>
      <c r="B499">
        <v>2023</v>
      </c>
      <c r="C499" t="s">
        <v>680</v>
      </c>
      <c r="D499" t="s">
        <v>832</v>
      </c>
      <c r="E499" t="s">
        <v>1028</v>
      </c>
      <c r="F499">
        <v>6</v>
      </c>
      <c r="G499" t="s">
        <v>2234</v>
      </c>
      <c r="H499" s="460">
        <v>4407.2437274078038</v>
      </c>
      <c r="I499">
        <v>2600</v>
      </c>
      <c r="J499">
        <v>0</v>
      </c>
      <c r="K499" s="67">
        <v>0</v>
      </c>
      <c r="L499" s="159">
        <v>150</v>
      </c>
      <c r="M499" s="159">
        <v>20628</v>
      </c>
      <c r="N499" s="159">
        <v>1920</v>
      </c>
      <c r="O499" s="159">
        <v>506</v>
      </c>
      <c r="P499" s="159">
        <v>3327</v>
      </c>
      <c r="Q499" s="159">
        <v>1500</v>
      </c>
      <c r="R499" s="159">
        <v>2000</v>
      </c>
      <c r="S499" s="159">
        <v>41000</v>
      </c>
      <c r="T499" s="159">
        <v>98</v>
      </c>
      <c r="U499" s="159">
        <v>120</v>
      </c>
      <c r="V499" s="159">
        <v>0</v>
      </c>
      <c r="W499" s="159">
        <v>186</v>
      </c>
      <c r="X499" s="159">
        <v>0</v>
      </c>
      <c r="Y499" s="159">
        <v>0</v>
      </c>
      <c r="Z499" s="159">
        <v>0</v>
      </c>
      <c r="AA499" s="159">
        <v>0</v>
      </c>
      <c r="AB499" s="159">
        <v>0</v>
      </c>
      <c r="AC499" s="159">
        <v>0</v>
      </c>
      <c r="AD499" s="207">
        <v>71435</v>
      </c>
      <c r="AE499" s="200">
        <v>7.8445676039886472</v>
      </c>
      <c r="AF499" s="200">
        <v>12.023886314859888</v>
      </c>
      <c r="AG499" s="200">
        <v>9.5416195854970773</v>
      </c>
      <c r="AH499" s="200">
        <v>0</v>
      </c>
      <c r="AI499" s="200">
        <v>0</v>
      </c>
      <c r="AJ499" s="200">
        <v>0</v>
      </c>
      <c r="AL499" s="197">
        <f t="shared" si="67"/>
        <v>81890.634966205194</v>
      </c>
      <c r="AM499" s="197" t="str">
        <f t="shared" si="68"/>
        <v>Box Medium 6</v>
      </c>
      <c r="AN499" s="3">
        <f t="shared" si="69"/>
        <v>24.46011137620944</v>
      </c>
      <c r="AO499" s="3">
        <f t="shared" si="70"/>
        <v>9.4414621309081426</v>
      </c>
      <c r="AP499" s="3">
        <f t="shared" si="71"/>
        <v>0</v>
      </c>
      <c r="AQ499" s="3">
        <f t="shared" si="72"/>
        <v>0</v>
      </c>
      <c r="AR499" s="3">
        <f t="shared" si="73"/>
        <v>9.4414621309081426</v>
      </c>
      <c r="AS499" s="81">
        <f t="shared" si="74"/>
        <v>1</v>
      </c>
      <c r="AT499" s="81">
        <f t="shared" si="75"/>
        <v>0</v>
      </c>
    </row>
    <row r="500" spans="1:46" x14ac:dyDescent="0.25">
      <c r="A500" t="s">
        <v>807</v>
      </c>
      <c r="B500">
        <v>2023</v>
      </c>
      <c r="C500" t="s">
        <v>680</v>
      </c>
      <c r="D500" t="s">
        <v>832</v>
      </c>
      <c r="E500" t="s">
        <v>1028</v>
      </c>
      <c r="F500">
        <v>6</v>
      </c>
      <c r="G500" t="s">
        <v>2235</v>
      </c>
      <c r="H500" s="460">
        <v>4675.2064657553128</v>
      </c>
      <c r="I500">
        <v>2600</v>
      </c>
      <c r="J500">
        <v>0</v>
      </c>
      <c r="K500" s="67">
        <v>3.8808000000000002</v>
      </c>
      <c r="L500" s="159">
        <v>150</v>
      </c>
      <c r="M500" s="159">
        <v>15378</v>
      </c>
      <c r="N500" s="159">
        <v>220</v>
      </c>
      <c r="O500" s="159">
        <v>392</v>
      </c>
      <c r="P500" s="159">
        <v>4509</v>
      </c>
      <c r="Q500" s="159">
        <v>1500</v>
      </c>
      <c r="R500" s="159">
        <v>2000</v>
      </c>
      <c r="S500" s="159">
        <v>41000</v>
      </c>
      <c r="T500" s="159">
        <v>0</v>
      </c>
      <c r="U500" s="159">
        <v>2717</v>
      </c>
      <c r="V500" s="159">
        <v>4500</v>
      </c>
      <c r="W500" s="159">
        <v>186</v>
      </c>
      <c r="X500" s="159">
        <v>120</v>
      </c>
      <c r="Y500" s="159">
        <v>1500</v>
      </c>
      <c r="Z500" s="159">
        <v>4143</v>
      </c>
      <c r="AA500" s="159">
        <v>0</v>
      </c>
      <c r="AB500" s="159">
        <v>0</v>
      </c>
      <c r="AC500" s="159">
        <v>0</v>
      </c>
      <c r="AD500" s="207">
        <v>78315</v>
      </c>
      <c r="AE500" s="200">
        <v>11.661010142642208</v>
      </c>
      <c r="AF500" s="200">
        <v>12.799295860745056</v>
      </c>
      <c r="AG500" s="200">
        <v>11.012214058697895</v>
      </c>
      <c r="AH500" s="200">
        <v>0</v>
      </c>
      <c r="AI500" s="200">
        <v>0</v>
      </c>
      <c r="AJ500" s="200">
        <v>0</v>
      </c>
      <c r="AL500" s="197">
        <f t="shared" si="67"/>
        <v>89777.631096498342</v>
      </c>
      <c r="AM500" s="197" t="str">
        <f t="shared" si="68"/>
        <v>Box Medium 6</v>
      </c>
      <c r="AN500" s="3">
        <f t="shared" si="69"/>
        <v>21.031650234064358</v>
      </c>
      <c r="AO500" s="3">
        <f t="shared" si="70"/>
        <v>8.1180958737807725</v>
      </c>
      <c r="AP500" s="3">
        <f t="shared" si="71"/>
        <v>0</v>
      </c>
      <c r="AQ500" s="3">
        <f t="shared" si="72"/>
        <v>0</v>
      </c>
      <c r="AR500" s="3">
        <f t="shared" si="73"/>
        <v>8.1180958737807725</v>
      </c>
      <c r="AS500" s="81">
        <f t="shared" si="74"/>
        <v>1</v>
      </c>
      <c r="AT500" s="81">
        <f t="shared" si="75"/>
        <v>0</v>
      </c>
    </row>
    <row r="501" spans="1:46" x14ac:dyDescent="0.25">
      <c r="A501" t="s">
        <v>807</v>
      </c>
      <c r="B501">
        <v>2023</v>
      </c>
      <c r="C501" t="s">
        <v>680</v>
      </c>
      <c r="D501" t="s">
        <v>832</v>
      </c>
      <c r="E501" t="s">
        <v>1028</v>
      </c>
      <c r="F501">
        <v>6</v>
      </c>
      <c r="G501" t="s">
        <v>2236</v>
      </c>
      <c r="H501" s="460">
        <v>4458.6477554100948</v>
      </c>
      <c r="I501">
        <v>2600</v>
      </c>
      <c r="J501">
        <v>0</v>
      </c>
      <c r="K501" s="67">
        <v>4.7520000000000007</v>
      </c>
      <c r="L501" s="159">
        <v>150</v>
      </c>
      <c r="M501" s="159">
        <v>13303</v>
      </c>
      <c r="N501" s="159">
        <v>220</v>
      </c>
      <c r="O501" s="159">
        <v>392</v>
      </c>
      <c r="P501" s="159">
        <v>2834</v>
      </c>
      <c r="Q501" s="159">
        <v>1500</v>
      </c>
      <c r="R501" s="159">
        <v>2000</v>
      </c>
      <c r="S501" s="159">
        <v>41000</v>
      </c>
      <c r="T501" s="159">
        <v>0</v>
      </c>
      <c r="U501" s="159">
        <v>3326</v>
      </c>
      <c r="V501" s="159">
        <v>4500</v>
      </c>
      <c r="W501" s="159">
        <v>186</v>
      </c>
      <c r="X501" s="159">
        <v>120</v>
      </c>
      <c r="Y501" s="159">
        <v>1500</v>
      </c>
      <c r="Z501" s="159">
        <v>3857</v>
      </c>
      <c r="AA501" s="159">
        <v>0</v>
      </c>
      <c r="AB501" s="159">
        <v>0</v>
      </c>
      <c r="AC501" s="159">
        <v>0</v>
      </c>
      <c r="AD501" s="207">
        <v>74888</v>
      </c>
      <c r="AE501" s="200">
        <v>9.8445628211309373</v>
      </c>
      <c r="AF501" s="200">
        <v>9.8479746421344281</v>
      </c>
      <c r="AG501" s="200">
        <v>8.6134668534509462</v>
      </c>
      <c r="AH501" s="200">
        <v>0</v>
      </c>
      <c r="AI501" s="200">
        <v>0</v>
      </c>
      <c r="AJ501" s="200">
        <v>0</v>
      </c>
      <c r="AL501" s="197">
        <f t="shared" si="67"/>
        <v>85849.035785667729</v>
      </c>
      <c r="AM501" s="197" t="str">
        <f t="shared" si="68"/>
        <v>Box Medium 6</v>
      </c>
      <c r="AN501" s="3">
        <f t="shared" si="69"/>
        <v>26.828997365626627</v>
      </c>
      <c r="AO501" s="3">
        <f t="shared" si="70"/>
        <v>10.355838480938779</v>
      </c>
      <c r="AP501" s="3">
        <f t="shared" si="71"/>
        <v>0</v>
      </c>
      <c r="AQ501" s="3">
        <f t="shared" si="72"/>
        <v>0</v>
      </c>
      <c r="AR501" s="3">
        <f t="shared" si="73"/>
        <v>10.355838480938779</v>
      </c>
      <c r="AS501" s="81">
        <f t="shared" si="74"/>
        <v>1</v>
      </c>
      <c r="AT501" s="81">
        <f t="shared" si="75"/>
        <v>0</v>
      </c>
    </row>
    <row r="502" spans="1:46" x14ac:dyDescent="0.25">
      <c r="A502" t="s">
        <v>808</v>
      </c>
      <c r="B502">
        <v>2023</v>
      </c>
      <c r="C502" t="s">
        <v>680</v>
      </c>
      <c r="D502" t="s">
        <v>832</v>
      </c>
      <c r="E502" t="s">
        <v>1028</v>
      </c>
      <c r="F502">
        <v>6</v>
      </c>
      <c r="G502" t="s">
        <v>2237</v>
      </c>
      <c r="H502" s="460">
        <v>5908.0005766819886</v>
      </c>
      <c r="I502">
        <v>2600</v>
      </c>
      <c r="J502">
        <v>119.99999997072871</v>
      </c>
      <c r="K502" s="67">
        <v>169.43062499999999</v>
      </c>
      <c r="L502" s="159">
        <v>0</v>
      </c>
      <c r="M502" s="159">
        <v>10884</v>
      </c>
      <c r="N502" s="159">
        <v>220</v>
      </c>
      <c r="O502" s="159">
        <v>0</v>
      </c>
      <c r="P502" s="159">
        <v>3201</v>
      </c>
      <c r="Q502" s="159">
        <v>1500</v>
      </c>
      <c r="R502" s="159">
        <v>2000</v>
      </c>
      <c r="S502" s="159">
        <v>41000</v>
      </c>
      <c r="T502" s="159">
        <v>3584</v>
      </c>
      <c r="U502" s="159">
        <v>59301</v>
      </c>
      <c r="V502" s="159">
        <v>4500</v>
      </c>
      <c r="W502" s="159">
        <v>186</v>
      </c>
      <c r="X502" s="159">
        <v>0</v>
      </c>
      <c r="Y502" s="159">
        <v>1500</v>
      </c>
      <c r="Z502" s="159">
        <v>6497</v>
      </c>
      <c r="AA502" s="159">
        <v>0</v>
      </c>
      <c r="AB502" s="159">
        <v>0</v>
      </c>
      <c r="AC502" s="159">
        <v>0</v>
      </c>
      <c r="AD502" s="207">
        <v>134373</v>
      </c>
      <c r="AE502" s="200">
        <v>11.563520014091717</v>
      </c>
      <c r="AF502" s="200">
        <v>10.830877817250695</v>
      </c>
      <c r="AG502" s="200">
        <v>9.614826475841971</v>
      </c>
      <c r="AH502" s="200">
        <v>1127</v>
      </c>
      <c r="AI502" s="200">
        <v>1192</v>
      </c>
      <c r="AJ502" s="200">
        <v>1484</v>
      </c>
      <c r="AL502" s="197">
        <f t="shared" si="67"/>
        <v>154040.600438355</v>
      </c>
      <c r="AM502" s="197" t="str">
        <f t="shared" si="68"/>
        <v>Box Medium 6</v>
      </c>
      <c r="AN502" s="3">
        <f t="shared" si="69"/>
        <v>4.8020912190342262</v>
      </c>
      <c r="AO502" s="3">
        <f t="shared" si="70"/>
        <v>1.8535795563783024</v>
      </c>
      <c r="AP502" s="3">
        <f t="shared" si="71"/>
        <v>71.575676985596587</v>
      </c>
      <c r="AQ502" s="3">
        <f t="shared" si="72"/>
        <v>2.5767243714814771</v>
      </c>
      <c r="AR502" s="3">
        <f t="shared" si="73"/>
        <v>4.4303039278597796</v>
      </c>
      <c r="AS502" s="81">
        <f t="shared" si="74"/>
        <v>0.4183865456096918</v>
      </c>
      <c r="AT502" s="81">
        <f t="shared" si="75"/>
        <v>0.5816134543903082</v>
      </c>
    </row>
    <row r="503" spans="1:46" x14ac:dyDescent="0.25">
      <c r="A503" t="s">
        <v>808</v>
      </c>
      <c r="B503">
        <v>2023</v>
      </c>
      <c r="C503" t="s">
        <v>680</v>
      </c>
      <c r="D503" t="s">
        <v>832</v>
      </c>
      <c r="E503" t="s">
        <v>1028</v>
      </c>
      <c r="F503">
        <v>6</v>
      </c>
      <c r="G503" t="s">
        <v>2238</v>
      </c>
      <c r="H503" s="460">
        <v>5825.0982618234812</v>
      </c>
      <c r="I503">
        <v>2600</v>
      </c>
      <c r="J503">
        <v>119.99999997072871</v>
      </c>
      <c r="K503" s="67">
        <v>169.43062499999999</v>
      </c>
      <c r="L503" s="159">
        <v>0</v>
      </c>
      <c r="M503" s="159">
        <v>7809</v>
      </c>
      <c r="N503" s="159">
        <v>220</v>
      </c>
      <c r="O503" s="159">
        <v>0</v>
      </c>
      <c r="P503" s="159">
        <v>3201</v>
      </c>
      <c r="Q503" s="159">
        <v>1500</v>
      </c>
      <c r="R503" s="159">
        <v>2000</v>
      </c>
      <c r="S503" s="159">
        <v>41000</v>
      </c>
      <c r="T503" s="159">
        <v>3584</v>
      </c>
      <c r="U503" s="159">
        <v>59301</v>
      </c>
      <c r="V503" s="159">
        <v>4500</v>
      </c>
      <c r="W503" s="159">
        <v>186</v>
      </c>
      <c r="X503" s="159">
        <v>0</v>
      </c>
      <c r="Y503" s="159">
        <v>1500</v>
      </c>
      <c r="Z503" s="159">
        <v>6497</v>
      </c>
      <c r="AA503" s="159">
        <v>0</v>
      </c>
      <c r="AB503" s="159">
        <v>0</v>
      </c>
      <c r="AC503" s="159">
        <v>0</v>
      </c>
      <c r="AD503" s="207">
        <v>131298</v>
      </c>
      <c r="AE503" s="200">
        <v>8.8192034639665096</v>
      </c>
      <c r="AF503" s="200">
        <v>8.297372776085707</v>
      </c>
      <c r="AG503" s="200">
        <v>7.4598752317146451</v>
      </c>
      <c r="AH503" s="200">
        <v>1123</v>
      </c>
      <c r="AI503" s="200">
        <v>1188</v>
      </c>
      <c r="AJ503" s="200">
        <v>1481</v>
      </c>
      <c r="AL503" s="197">
        <f t="shared" si="67"/>
        <v>150515.52585977194</v>
      </c>
      <c r="AM503" s="197" t="str">
        <f t="shared" si="68"/>
        <v>Box Medium 6</v>
      </c>
      <c r="AN503" s="3">
        <f t="shared" si="69"/>
        <v>6.2002556102460824</v>
      </c>
      <c r="AO503" s="3">
        <f t="shared" si="70"/>
        <v>2.3932629596701758</v>
      </c>
      <c r="AP503" s="3">
        <f t="shared" si="71"/>
        <v>71.419588154150148</v>
      </c>
      <c r="AQ503" s="3">
        <f t="shared" si="72"/>
        <v>2.5711051735494057</v>
      </c>
      <c r="AR503" s="3">
        <f t="shared" si="73"/>
        <v>4.9643681332195815</v>
      </c>
      <c r="AS503" s="81">
        <f t="shared" si="74"/>
        <v>0.48208813195286826</v>
      </c>
      <c r="AT503" s="81">
        <f t="shared" si="75"/>
        <v>0.51791186804713174</v>
      </c>
    </row>
    <row r="504" spans="1:46" x14ac:dyDescent="0.25">
      <c r="A504" t="s">
        <v>230</v>
      </c>
      <c r="B504">
        <v>2023</v>
      </c>
      <c r="C504" t="s">
        <v>680</v>
      </c>
      <c r="D504" t="s">
        <v>832</v>
      </c>
      <c r="E504" t="s">
        <v>1028</v>
      </c>
      <c r="F504">
        <v>6</v>
      </c>
      <c r="G504" t="s">
        <v>2239</v>
      </c>
      <c r="H504" s="460">
        <v>5635.9709317308825</v>
      </c>
      <c r="I504">
        <v>2600</v>
      </c>
      <c r="J504">
        <v>150.00000001001371</v>
      </c>
      <c r="K504" s="67">
        <v>207.78524999999999</v>
      </c>
      <c r="L504" s="159">
        <v>0</v>
      </c>
      <c r="M504" s="159">
        <v>0</v>
      </c>
      <c r="N504" s="159">
        <v>0</v>
      </c>
      <c r="O504" s="159">
        <v>0</v>
      </c>
      <c r="P504" s="159">
        <v>2726</v>
      </c>
      <c r="Q504" s="159">
        <v>1500</v>
      </c>
      <c r="R504" s="159">
        <v>2000</v>
      </c>
      <c r="S504" s="159">
        <v>41000</v>
      </c>
      <c r="T504" s="159">
        <v>0</v>
      </c>
      <c r="U504" s="159">
        <v>72725</v>
      </c>
      <c r="V504" s="159">
        <v>4500</v>
      </c>
      <c r="W504" s="159">
        <v>186</v>
      </c>
      <c r="X504" s="159">
        <v>0</v>
      </c>
      <c r="Y504" s="159">
        <v>1500</v>
      </c>
      <c r="Z504" s="159">
        <v>5347</v>
      </c>
      <c r="AA504" s="159">
        <v>0</v>
      </c>
      <c r="AB504" s="159">
        <v>0</v>
      </c>
      <c r="AC504" s="159">
        <v>0</v>
      </c>
      <c r="AD504" s="207">
        <v>131484</v>
      </c>
      <c r="AE504" s="200">
        <v>0</v>
      </c>
      <c r="AF504" s="200">
        <v>0</v>
      </c>
      <c r="AG504" s="200">
        <v>0</v>
      </c>
      <c r="AH504" s="200">
        <v>1086</v>
      </c>
      <c r="AI504" s="200">
        <v>1139</v>
      </c>
      <c r="AJ504" s="200">
        <v>1407</v>
      </c>
      <c r="AL504" s="197">
        <f t="shared" si="67"/>
        <v>150728.74988306186</v>
      </c>
      <c r="AM504" s="197" t="str">
        <f t="shared" si="68"/>
        <v>Box Medium 6</v>
      </c>
      <c r="AN504" s="3">
        <f t="shared" si="69"/>
        <v>0</v>
      </c>
      <c r="AO504" s="3">
        <f t="shared" si="70"/>
        <v>0</v>
      </c>
      <c r="AP504" s="3">
        <f t="shared" si="71"/>
        <v>84.93108976350554</v>
      </c>
      <c r="AQ504" s="3">
        <f t="shared" si="72"/>
        <v>3.0575192314861992</v>
      </c>
      <c r="AR504" s="3">
        <f t="shared" si="73"/>
        <v>3.0575192314861992</v>
      </c>
      <c r="AS504" s="81">
        <f t="shared" si="74"/>
        <v>0</v>
      </c>
      <c r="AT504" s="81">
        <f t="shared" si="75"/>
        <v>1</v>
      </c>
    </row>
    <row r="505" spans="1:46" x14ac:dyDescent="0.25">
      <c r="A505" t="s">
        <v>496</v>
      </c>
      <c r="B505">
        <v>2023</v>
      </c>
      <c r="C505" t="s">
        <v>680</v>
      </c>
      <c r="D505" t="s">
        <v>832</v>
      </c>
      <c r="E505" t="s">
        <v>1028</v>
      </c>
      <c r="F505">
        <v>6</v>
      </c>
      <c r="G505" t="s">
        <v>2240</v>
      </c>
      <c r="H505" s="460">
        <v>4724.8206744958989</v>
      </c>
      <c r="I505">
        <v>2600</v>
      </c>
      <c r="J505">
        <v>150.00000001001371</v>
      </c>
      <c r="K505" s="67">
        <v>4.4668800000000006</v>
      </c>
      <c r="L505" s="159">
        <v>0</v>
      </c>
      <c r="M505" s="159">
        <v>0</v>
      </c>
      <c r="N505" s="159">
        <v>0</v>
      </c>
      <c r="O505" s="159">
        <v>0</v>
      </c>
      <c r="P505" s="159">
        <v>2902</v>
      </c>
      <c r="Q505" s="159">
        <v>1500</v>
      </c>
      <c r="R505" s="159">
        <v>2000</v>
      </c>
      <c r="S505" s="159">
        <v>41000</v>
      </c>
      <c r="T505" s="159">
        <v>0</v>
      </c>
      <c r="U505" s="159">
        <v>3127</v>
      </c>
      <c r="V505" s="159">
        <v>4500</v>
      </c>
      <c r="W505" s="159">
        <v>186</v>
      </c>
      <c r="X505" s="159">
        <v>0</v>
      </c>
      <c r="Y505" s="159">
        <v>1500</v>
      </c>
      <c r="Z505" s="159">
        <v>5775</v>
      </c>
      <c r="AA505" s="159">
        <v>23927</v>
      </c>
      <c r="AB505" s="159">
        <v>11479</v>
      </c>
      <c r="AC505" s="159">
        <v>0</v>
      </c>
      <c r="AD505" s="207">
        <v>97896</v>
      </c>
      <c r="AE505" s="200">
        <v>20.251593776483833</v>
      </c>
      <c r="AF505" s="200">
        <v>18.997347857948316</v>
      </c>
      <c r="AG505" s="200">
        <v>14.845983480589904</v>
      </c>
      <c r="AH505" s="200">
        <v>0</v>
      </c>
      <c r="AI505" s="200">
        <v>0</v>
      </c>
      <c r="AJ505" s="200">
        <v>0</v>
      </c>
      <c r="AL505" s="197">
        <f t="shared" si="67"/>
        <v>112224.61819348531</v>
      </c>
      <c r="AM505" s="197" t="str">
        <f t="shared" si="68"/>
        <v>Box Medium 6</v>
      </c>
      <c r="AN505" s="3">
        <f t="shared" si="69"/>
        <v>15.320635830210163</v>
      </c>
      <c r="AO505" s="3">
        <f t="shared" si="70"/>
        <v>5.9136772023472206</v>
      </c>
      <c r="AP505" s="3">
        <f t="shared" si="71"/>
        <v>0</v>
      </c>
      <c r="AQ505" s="3">
        <f t="shared" si="72"/>
        <v>0</v>
      </c>
      <c r="AR505" s="3">
        <f t="shared" si="73"/>
        <v>5.9136772023472206</v>
      </c>
      <c r="AS505" s="81">
        <f t="shared" si="74"/>
        <v>1</v>
      </c>
      <c r="AT505" s="81">
        <f t="shared" si="75"/>
        <v>0</v>
      </c>
    </row>
    <row r="506" spans="1:46" x14ac:dyDescent="0.25">
      <c r="A506" t="s">
        <v>828</v>
      </c>
      <c r="B506">
        <v>2023</v>
      </c>
      <c r="C506" t="s">
        <v>680</v>
      </c>
      <c r="D506" t="s">
        <v>832</v>
      </c>
      <c r="E506" t="s">
        <v>1028</v>
      </c>
      <c r="F506">
        <v>6</v>
      </c>
      <c r="G506" t="s">
        <v>2241</v>
      </c>
      <c r="H506" s="460">
        <v>4885.2104188344592</v>
      </c>
      <c r="I506">
        <v>2600</v>
      </c>
      <c r="J506">
        <v>150.00000001001371</v>
      </c>
      <c r="K506" s="67">
        <v>36.492750000000001</v>
      </c>
      <c r="L506" s="159">
        <v>0</v>
      </c>
      <c r="M506" s="159">
        <v>0</v>
      </c>
      <c r="N506" s="159">
        <v>0</v>
      </c>
      <c r="O506" s="159">
        <v>0</v>
      </c>
      <c r="P506" s="159">
        <v>3357</v>
      </c>
      <c r="Q506" s="159">
        <v>1500</v>
      </c>
      <c r="R506" s="159">
        <v>2000</v>
      </c>
      <c r="S506" s="159">
        <v>41000</v>
      </c>
      <c r="T506" s="159">
        <v>0</v>
      </c>
      <c r="U506" s="159">
        <v>12772</v>
      </c>
      <c r="V506" s="159">
        <v>4500</v>
      </c>
      <c r="W506" s="159">
        <v>186</v>
      </c>
      <c r="X506" s="159">
        <v>0</v>
      </c>
      <c r="Y506" s="159">
        <v>1500</v>
      </c>
      <c r="Z506" s="159">
        <v>6876</v>
      </c>
      <c r="AA506" s="159">
        <v>16081</v>
      </c>
      <c r="AB506" s="159">
        <v>8886</v>
      </c>
      <c r="AC506" s="159">
        <v>0</v>
      </c>
      <c r="AD506" s="207">
        <v>98658</v>
      </c>
      <c r="AE506" s="200">
        <v>20.055313339879849</v>
      </c>
      <c r="AF506" s="200">
        <v>18.178085367955845</v>
      </c>
      <c r="AG506" s="200">
        <v>14.439839333164445</v>
      </c>
      <c r="AH506" s="200">
        <v>0</v>
      </c>
      <c r="AI506" s="200">
        <v>0</v>
      </c>
      <c r="AJ506" s="200">
        <v>0</v>
      </c>
      <c r="AL506" s="197">
        <f t="shared" si="67"/>
        <v>113098.14886954395</v>
      </c>
      <c r="AM506" s="197" t="str">
        <f t="shared" si="68"/>
        <v>Box Medium 6</v>
      </c>
      <c r="AN506" s="3">
        <f t="shared" si="69"/>
        <v>15.759782450879174</v>
      </c>
      <c r="AO506" s="3">
        <f t="shared" si="70"/>
        <v>6.0831852689783252</v>
      </c>
      <c r="AP506" s="3">
        <f t="shared" si="71"/>
        <v>0</v>
      </c>
      <c r="AQ506" s="3">
        <f t="shared" si="72"/>
        <v>0</v>
      </c>
      <c r="AR506" s="3">
        <f t="shared" si="73"/>
        <v>6.0831852689783252</v>
      </c>
      <c r="AS506" s="81">
        <f t="shared" si="74"/>
        <v>1</v>
      </c>
      <c r="AT506" s="81">
        <f t="shared" si="75"/>
        <v>0</v>
      </c>
    </row>
    <row r="507" spans="1:46" x14ac:dyDescent="0.25">
      <c r="A507" t="s">
        <v>805</v>
      </c>
      <c r="B507">
        <v>2025</v>
      </c>
      <c r="C507" t="s">
        <v>680</v>
      </c>
      <c r="D507" t="s">
        <v>832</v>
      </c>
      <c r="E507" t="s">
        <v>1028</v>
      </c>
      <c r="F507">
        <v>6</v>
      </c>
      <c r="G507" t="s">
        <v>2242</v>
      </c>
      <c r="H507" s="460">
        <v>4549.4529271554729</v>
      </c>
      <c r="I507">
        <v>2600</v>
      </c>
      <c r="J507">
        <v>0</v>
      </c>
      <c r="K507" s="67">
        <v>0</v>
      </c>
      <c r="L507" s="159">
        <v>150</v>
      </c>
      <c r="M507" s="159">
        <v>15576</v>
      </c>
      <c r="N507" s="159">
        <v>1920</v>
      </c>
      <c r="O507" s="159">
        <v>506</v>
      </c>
      <c r="P507" s="159">
        <v>4455</v>
      </c>
      <c r="Q507" s="159">
        <v>1500</v>
      </c>
      <c r="R507" s="159">
        <v>2000</v>
      </c>
      <c r="S507" s="159">
        <v>41176</v>
      </c>
      <c r="T507" s="159">
        <v>92</v>
      </c>
      <c r="U507" s="159">
        <v>120</v>
      </c>
      <c r="V507" s="159">
        <v>0</v>
      </c>
      <c r="W507" s="159">
        <v>186</v>
      </c>
      <c r="X507" s="159">
        <v>0</v>
      </c>
      <c r="Y507" s="159">
        <v>0</v>
      </c>
      <c r="Z507" s="159">
        <v>0</v>
      </c>
      <c r="AA507" s="159">
        <v>0</v>
      </c>
      <c r="AB507" s="159">
        <v>0</v>
      </c>
      <c r="AC507" s="159">
        <v>0</v>
      </c>
      <c r="AD507" s="207">
        <v>67681</v>
      </c>
      <c r="AE507" s="200">
        <v>11.579694601036419</v>
      </c>
      <c r="AF507" s="200">
        <v>15.280916784857022</v>
      </c>
      <c r="AG507" s="200">
        <v>13.247639710064876</v>
      </c>
      <c r="AH507" s="200">
        <v>0</v>
      </c>
      <c r="AI507" s="200">
        <v>0</v>
      </c>
      <c r="AJ507" s="200">
        <v>0</v>
      </c>
      <c r="AL507" s="197">
        <f t="shared" si="67"/>
        <v>77587.178066042325</v>
      </c>
      <c r="AM507" s="197" t="str">
        <f t="shared" si="68"/>
        <v>Box Medium 6</v>
      </c>
      <c r="AN507" s="3">
        <f t="shared" si="69"/>
        <v>17.670495037456586</v>
      </c>
      <c r="AO507" s="3">
        <f t="shared" si="70"/>
        <v>6.8207093240309247</v>
      </c>
      <c r="AP507" s="3">
        <f t="shared" si="71"/>
        <v>0</v>
      </c>
      <c r="AQ507" s="3">
        <f t="shared" si="72"/>
        <v>0</v>
      </c>
      <c r="AR507" s="3">
        <f t="shared" si="73"/>
        <v>6.8207093240309247</v>
      </c>
      <c r="AS507" s="81">
        <f t="shared" si="74"/>
        <v>1</v>
      </c>
      <c r="AT507" s="81">
        <f t="shared" si="75"/>
        <v>0</v>
      </c>
    </row>
    <row r="508" spans="1:46" x14ac:dyDescent="0.25">
      <c r="A508" t="s">
        <v>805</v>
      </c>
      <c r="B508">
        <v>2025</v>
      </c>
      <c r="C508" t="s">
        <v>680</v>
      </c>
      <c r="D508" t="s">
        <v>832</v>
      </c>
      <c r="E508" t="s">
        <v>1028</v>
      </c>
      <c r="F508">
        <v>6</v>
      </c>
      <c r="G508" t="s">
        <v>2243</v>
      </c>
      <c r="H508" s="460">
        <v>4371.5744537557575</v>
      </c>
      <c r="I508">
        <v>2600</v>
      </c>
      <c r="J508">
        <v>0</v>
      </c>
      <c r="K508" s="67">
        <v>0</v>
      </c>
      <c r="L508" s="159">
        <v>150</v>
      </c>
      <c r="M508" s="159">
        <v>20948</v>
      </c>
      <c r="N508" s="159">
        <v>1920</v>
      </c>
      <c r="O508" s="159">
        <v>506</v>
      </c>
      <c r="P508" s="159">
        <v>3319</v>
      </c>
      <c r="Q508" s="159">
        <v>1500</v>
      </c>
      <c r="R508" s="159">
        <v>2000</v>
      </c>
      <c r="S508" s="159">
        <v>41176</v>
      </c>
      <c r="T508" s="159">
        <v>92</v>
      </c>
      <c r="U508" s="159">
        <v>120</v>
      </c>
      <c r="V508" s="159">
        <v>0</v>
      </c>
      <c r="W508" s="159">
        <v>186</v>
      </c>
      <c r="X508" s="159">
        <v>0</v>
      </c>
      <c r="Y508" s="159">
        <v>0</v>
      </c>
      <c r="Z508" s="159">
        <v>0</v>
      </c>
      <c r="AA508" s="159">
        <v>0</v>
      </c>
      <c r="AB508" s="159">
        <v>0</v>
      </c>
      <c r="AC508" s="159">
        <v>0</v>
      </c>
      <c r="AD508" s="207">
        <v>71917</v>
      </c>
      <c r="AE508" s="200">
        <v>8.4597009597229764</v>
      </c>
      <c r="AF508" s="200">
        <v>13.491400432331258</v>
      </c>
      <c r="AG508" s="200">
        <v>10.799333634817128</v>
      </c>
      <c r="AH508" s="200">
        <v>0</v>
      </c>
      <c r="AI508" s="200">
        <v>0</v>
      </c>
      <c r="AJ508" s="200">
        <v>0</v>
      </c>
      <c r="AL508" s="197">
        <f t="shared" si="67"/>
        <v>82443.183241612351</v>
      </c>
      <c r="AM508" s="197" t="str">
        <f t="shared" si="68"/>
        <v>Box Medium 6</v>
      </c>
      <c r="AN508" s="3">
        <f t="shared" si="69"/>
        <v>21.690558294922926</v>
      </c>
      <c r="AO508" s="3">
        <f t="shared" si="70"/>
        <v>8.3724305907680812</v>
      </c>
      <c r="AP508" s="3">
        <f t="shared" si="71"/>
        <v>0</v>
      </c>
      <c r="AQ508" s="3">
        <f t="shared" si="72"/>
        <v>0</v>
      </c>
      <c r="AR508" s="3">
        <f t="shared" si="73"/>
        <v>8.3724305907680812</v>
      </c>
      <c r="AS508" s="81">
        <f t="shared" si="74"/>
        <v>1</v>
      </c>
      <c r="AT508" s="81">
        <f t="shared" si="75"/>
        <v>0</v>
      </c>
    </row>
    <row r="509" spans="1:46" x14ac:dyDescent="0.25">
      <c r="A509" t="s">
        <v>807</v>
      </c>
      <c r="B509">
        <v>2025</v>
      </c>
      <c r="C509" t="s">
        <v>680</v>
      </c>
      <c r="D509" t="s">
        <v>832</v>
      </c>
      <c r="E509" t="s">
        <v>1028</v>
      </c>
      <c r="F509">
        <v>6</v>
      </c>
      <c r="G509" t="s">
        <v>2244</v>
      </c>
      <c r="H509" s="460">
        <v>4637.4216696475087</v>
      </c>
      <c r="I509">
        <v>2600</v>
      </c>
      <c r="J509">
        <v>0</v>
      </c>
      <c r="K509" s="67">
        <v>4.6569599999999998</v>
      </c>
      <c r="L509" s="159">
        <v>150</v>
      </c>
      <c r="M509" s="159">
        <v>15615</v>
      </c>
      <c r="N509" s="159">
        <v>220</v>
      </c>
      <c r="O509" s="159">
        <v>392</v>
      </c>
      <c r="P509" s="159">
        <v>4466</v>
      </c>
      <c r="Q509" s="159">
        <v>1500</v>
      </c>
      <c r="R509" s="159">
        <v>2000</v>
      </c>
      <c r="S509" s="159">
        <v>41176</v>
      </c>
      <c r="T509" s="159">
        <v>0</v>
      </c>
      <c r="U509" s="159">
        <v>2200</v>
      </c>
      <c r="V509" s="159">
        <v>4500</v>
      </c>
      <c r="W509" s="159">
        <v>186</v>
      </c>
      <c r="X509" s="159">
        <v>120</v>
      </c>
      <c r="Y509" s="159">
        <v>1500</v>
      </c>
      <c r="Z509" s="159">
        <v>3455</v>
      </c>
      <c r="AA509" s="159">
        <v>0</v>
      </c>
      <c r="AB509" s="159">
        <v>0</v>
      </c>
      <c r="AC509" s="159">
        <v>0</v>
      </c>
      <c r="AD509" s="207">
        <v>77480</v>
      </c>
      <c r="AE509" s="200">
        <v>13.081995431769956</v>
      </c>
      <c r="AF509" s="200">
        <v>14.29864163992592</v>
      </c>
      <c r="AG509" s="200">
        <v>12.414300838929911</v>
      </c>
      <c r="AH509" s="200">
        <v>0</v>
      </c>
      <c r="AI509" s="200">
        <v>0</v>
      </c>
      <c r="AJ509" s="200">
        <v>0</v>
      </c>
      <c r="AL509" s="197">
        <f t="shared" si="67"/>
        <v>88820.415723127007</v>
      </c>
      <c r="AM509" s="197" t="str">
        <f t="shared" si="68"/>
        <v>Box Medium 6</v>
      </c>
      <c r="AN509" s="3">
        <f t="shared" si="69"/>
        <v>18.674033026874625</v>
      </c>
      <c r="AO509" s="3">
        <f t="shared" si="70"/>
        <v>7.2080692087955374</v>
      </c>
      <c r="AP509" s="3">
        <f t="shared" si="71"/>
        <v>0</v>
      </c>
      <c r="AQ509" s="3">
        <f t="shared" si="72"/>
        <v>0</v>
      </c>
      <c r="AR509" s="3">
        <f t="shared" si="73"/>
        <v>7.2080692087955374</v>
      </c>
      <c r="AS509" s="81">
        <f t="shared" si="74"/>
        <v>1</v>
      </c>
      <c r="AT509" s="81">
        <f t="shared" si="75"/>
        <v>0</v>
      </c>
    </row>
    <row r="510" spans="1:46" x14ac:dyDescent="0.25">
      <c r="A510" t="s">
        <v>807</v>
      </c>
      <c r="B510">
        <v>2025</v>
      </c>
      <c r="C510" t="s">
        <v>680</v>
      </c>
      <c r="D510" t="s">
        <v>832</v>
      </c>
      <c r="E510" t="s">
        <v>1028</v>
      </c>
      <c r="F510">
        <v>6</v>
      </c>
      <c r="G510" t="s">
        <v>2245</v>
      </c>
      <c r="H510" s="460">
        <v>4420.1041103258704</v>
      </c>
      <c r="I510">
        <v>2600</v>
      </c>
      <c r="J510">
        <v>0</v>
      </c>
      <c r="K510" s="67">
        <v>4.6569599999999998</v>
      </c>
      <c r="L510" s="159">
        <v>150</v>
      </c>
      <c r="M510" s="159">
        <v>13747</v>
      </c>
      <c r="N510" s="159">
        <v>220</v>
      </c>
      <c r="O510" s="159">
        <v>392</v>
      </c>
      <c r="P510" s="159">
        <v>2834</v>
      </c>
      <c r="Q510" s="159">
        <v>1500</v>
      </c>
      <c r="R510" s="159">
        <v>2000</v>
      </c>
      <c r="S510" s="159">
        <v>41176</v>
      </c>
      <c r="T510" s="159">
        <v>0</v>
      </c>
      <c r="U510" s="159">
        <v>2200</v>
      </c>
      <c r="V510" s="159">
        <v>4500</v>
      </c>
      <c r="W510" s="159">
        <v>186</v>
      </c>
      <c r="X510" s="159">
        <v>120</v>
      </c>
      <c r="Y510" s="159">
        <v>1500</v>
      </c>
      <c r="Z510" s="159">
        <v>3211</v>
      </c>
      <c r="AA510" s="159">
        <v>0</v>
      </c>
      <c r="AB510" s="159">
        <v>0</v>
      </c>
      <c r="AC510" s="159">
        <v>0</v>
      </c>
      <c r="AD510" s="207">
        <v>73736</v>
      </c>
      <c r="AE510" s="200">
        <v>11.024395624015813</v>
      </c>
      <c r="AF510" s="200">
        <v>11.107314806606231</v>
      </c>
      <c r="AG510" s="200">
        <v>9.9552135772104666</v>
      </c>
      <c r="AH510" s="200">
        <v>0</v>
      </c>
      <c r="AI510" s="200">
        <v>0</v>
      </c>
      <c r="AJ510" s="200">
        <v>0</v>
      </c>
      <c r="AL510" s="197">
        <f t="shared" si="67"/>
        <v>84528.422480130263</v>
      </c>
      <c r="AM510" s="197" t="str">
        <f t="shared" si="68"/>
        <v>Box Medium 6</v>
      </c>
      <c r="AN510" s="3">
        <f t="shared" si="69"/>
        <v>23.292191407139683</v>
      </c>
      <c r="AO510" s="3">
        <f t="shared" si="70"/>
        <v>8.9906517486370063</v>
      </c>
      <c r="AP510" s="3">
        <f t="shared" si="71"/>
        <v>0</v>
      </c>
      <c r="AQ510" s="3">
        <f t="shared" si="72"/>
        <v>0</v>
      </c>
      <c r="AR510" s="3">
        <f t="shared" si="73"/>
        <v>8.9906517486370063</v>
      </c>
      <c r="AS510" s="81">
        <f t="shared" si="74"/>
        <v>1</v>
      </c>
      <c r="AT510" s="81">
        <f t="shared" si="75"/>
        <v>0</v>
      </c>
    </row>
    <row r="511" spans="1:46" x14ac:dyDescent="0.25">
      <c r="A511" t="s">
        <v>808</v>
      </c>
      <c r="B511">
        <v>2025</v>
      </c>
      <c r="C511" t="s">
        <v>680</v>
      </c>
      <c r="D511" t="s">
        <v>832</v>
      </c>
      <c r="E511" t="s">
        <v>1028</v>
      </c>
      <c r="F511">
        <v>6</v>
      </c>
      <c r="G511" t="s">
        <v>2246</v>
      </c>
      <c r="H511" s="460">
        <v>5602.9117550657011</v>
      </c>
      <c r="I511">
        <v>2600</v>
      </c>
      <c r="J511">
        <v>119.99999997072871</v>
      </c>
      <c r="K511" s="67">
        <v>157.26637500000001</v>
      </c>
      <c r="L511" s="159">
        <v>0</v>
      </c>
      <c r="M511" s="159">
        <v>11267</v>
      </c>
      <c r="N511" s="159">
        <v>220</v>
      </c>
      <c r="O511" s="159">
        <v>0</v>
      </c>
      <c r="P511" s="159">
        <v>3181</v>
      </c>
      <c r="Q511" s="159">
        <v>1500</v>
      </c>
      <c r="R511" s="159">
        <v>2000</v>
      </c>
      <c r="S511" s="159">
        <v>41176</v>
      </c>
      <c r="T511" s="159">
        <v>3351</v>
      </c>
      <c r="U511" s="159">
        <v>44035</v>
      </c>
      <c r="V511" s="159">
        <v>4500</v>
      </c>
      <c r="W511" s="159">
        <v>186</v>
      </c>
      <c r="X511" s="159">
        <v>0</v>
      </c>
      <c r="Y511" s="159">
        <v>1500</v>
      </c>
      <c r="Z511" s="159">
        <v>5421</v>
      </c>
      <c r="AA511" s="159">
        <v>0</v>
      </c>
      <c r="AB511" s="159">
        <v>0</v>
      </c>
      <c r="AC511" s="159">
        <v>0</v>
      </c>
      <c r="AD511" s="207">
        <v>118337</v>
      </c>
      <c r="AE511" s="200">
        <v>13.072901418388035</v>
      </c>
      <c r="AF511" s="200">
        <v>12.345970581439337</v>
      </c>
      <c r="AG511" s="200">
        <v>10.455614800347441</v>
      </c>
      <c r="AH511" s="200">
        <v>1045</v>
      </c>
      <c r="AI511" s="200">
        <v>1097</v>
      </c>
      <c r="AJ511" s="200">
        <v>1367</v>
      </c>
      <c r="AL511" s="197">
        <f t="shared" si="67"/>
        <v>135657.47980675893</v>
      </c>
      <c r="AM511" s="197" t="str">
        <f t="shared" si="68"/>
        <v>Box Medium 6</v>
      </c>
      <c r="AN511" s="3">
        <f t="shared" si="69"/>
        <v>4.3922655298692765</v>
      </c>
      <c r="AO511" s="3">
        <f t="shared" si="70"/>
        <v>1.6953892004550815</v>
      </c>
      <c r="AP511" s="3">
        <f t="shared" si="71"/>
        <v>65.945045795170699</v>
      </c>
      <c r="AQ511" s="3">
        <f t="shared" si="72"/>
        <v>2.3740216486261452</v>
      </c>
      <c r="AR511" s="3">
        <f t="shared" si="73"/>
        <v>4.0694108490812262</v>
      </c>
      <c r="AS511" s="81">
        <f t="shared" si="74"/>
        <v>0.4166178504286091</v>
      </c>
      <c r="AT511" s="81">
        <f t="shared" si="75"/>
        <v>0.58338214957139101</v>
      </c>
    </row>
    <row r="512" spans="1:46" x14ac:dyDescent="0.25">
      <c r="A512" t="s">
        <v>808</v>
      </c>
      <c r="B512">
        <v>2025</v>
      </c>
      <c r="C512" t="s">
        <v>680</v>
      </c>
      <c r="D512" t="s">
        <v>832</v>
      </c>
      <c r="E512" t="s">
        <v>1028</v>
      </c>
      <c r="F512">
        <v>6</v>
      </c>
      <c r="G512" t="s">
        <v>2247</v>
      </c>
      <c r="H512" s="460">
        <v>5520.0094402071936</v>
      </c>
      <c r="I512">
        <v>2600</v>
      </c>
      <c r="J512">
        <v>119.99999997072871</v>
      </c>
      <c r="K512" s="67">
        <v>157.26637500000001</v>
      </c>
      <c r="L512" s="159">
        <v>0</v>
      </c>
      <c r="M512" s="159">
        <v>8253</v>
      </c>
      <c r="N512" s="159">
        <v>220</v>
      </c>
      <c r="O512" s="159">
        <v>0</v>
      </c>
      <c r="P512" s="159">
        <v>3181</v>
      </c>
      <c r="Q512" s="159">
        <v>1500</v>
      </c>
      <c r="R512" s="159">
        <v>2000</v>
      </c>
      <c r="S512" s="159">
        <v>41176</v>
      </c>
      <c r="T512" s="159">
        <v>3351</v>
      </c>
      <c r="U512" s="159">
        <v>44035</v>
      </c>
      <c r="V512" s="159">
        <v>4500</v>
      </c>
      <c r="W512" s="159">
        <v>186</v>
      </c>
      <c r="X512" s="159">
        <v>0</v>
      </c>
      <c r="Y512" s="159">
        <v>1500</v>
      </c>
      <c r="Z512" s="159">
        <v>5421</v>
      </c>
      <c r="AA512" s="159">
        <v>0</v>
      </c>
      <c r="AB512" s="159">
        <v>0</v>
      </c>
      <c r="AC512" s="159">
        <v>0</v>
      </c>
      <c r="AD512" s="207">
        <v>115323</v>
      </c>
      <c r="AE512" s="200">
        <v>10.125588311968633</v>
      </c>
      <c r="AF512" s="200">
        <v>9.6200970223481281</v>
      </c>
      <c r="AG512" s="200">
        <v>8.1803664148724256</v>
      </c>
      <c r="AH512" s="200">
        <v>1040</v>
      </c>
      <c r="AI512" s="200">
        <v>1094</v>
      </c>
      <c r="AJ512" s="200">
        <v>1364</v>
      </c>
      <c r="AL512" s="197">
        <f t="shared" si="67"/>
        <v>132202.3335368892</v>
      </c>
      <c r="AM512" s="197" t="str">
        <f t="shared" si="68"/>
        <v>Box Medium 6</v>
      </c>
      <c r="AN512" s="3">
        <f t="shared" si="69"/>
        <v>5.6180267911858088</v>
      </c>
      <c r="AO512" s="3">
        <f t="shared" si="70"/>
        <v>2.1685259884384109</v>
      </c>
      <c r="AP512" s="3">
        <f t="shared" si="71"/>
        <v>65.790945356481544</v>
      </c>
      <c r="AQ512" s="3">
        <f t="shared" si="72"/>
        <v>2.3684740328333356</v>
      </c>
      <c r="AR512" s="3">
        <f t="shared" si="73"/>
        <v>4.5370000212717461</v>
      </c>
      <c r="AS512" s="81">
        <f t="shared" si="74"/>
        <v>0.47796472961676584</v>
      </c>
      <c r="AT512" s="81">
        <f t="shared" si="75"/>
        <v>0.52203527038323427</v>
      </c>
    </row>
    <row r="513" spans="1:46" x14ac:dyDescent="0.25">
      <c r="A513" t="s">
        <v>230</v>
      </c>
      <c r="B513">
        <v>2025</v>
      </c>
      <c r="C513" t="s">
        <v>680</v>
      </c>
      <c r="D513" t="s">
        <v>832</v>
      </c>
      <c r="E513" t="s">
        <v>1028</v>
      </c>
      <c r="F513">
        <v>6</v>
      </c>
      <c r="G513" t="s">
        <v>2248</v>
      </c>
      <c r="H513" s="460">
        <v>5329.2338859176589</v>
      </c>
      <c r="I513">
        <v>2600</v>
      </c>
      <c r="J513">
        <v>150.00000001001371</v>
      </c>
      <c r="K513" s="67">
        <v>194.62800000000001</v>
      </c>
      <c r="L513" s="159">
        <v>0</v>
      </c>
      <c r="M513" s="159">
        <v>0</v>
      </c>
      <c r="N513" s="159">
        <v>0</v>
      </c>
      <c r="O513" s="159">
        <v>0</v>
      </c>
      <c r="P513" s="159">
        <v>2726</v>
      </c>
      <c r="Q513" s="159">
        <v>1500</v>
      </c>
      <c r="R513" s="159">
        <v>2000</v>
      </c>
      <c r="S513" s="159">
        <v>41176</v>
      </c>
      <c r="T513" s="159">
        <v>0</v>
      </c>
      <c r="U513" s="159">
        <v>54496</v>
      </c>
      <c r="V513" s="159">
        <v>4500</v>
      </c>
      <c r="W513" s="159">
        <v>186</v>
      </c>
      <c r="X513" s="159">
        <v>0</v>
      </c>
      <c r="Y513" s="159">
        <v>1500</v>
      </c>
      <c r="Z513" s="159">
        <v>4483</v>
      </c>
      <c r="AA513" s="159">
        <v>0</v>
      </c>
      <c r="AB513" s="159">
        <v>0</v>
      </c>
      <c r="AC513" s="159">
        <v>0</v>
      </c>
      <c r="AD513" s="207">
        <v>112567</v>
      </c>
      <c r="AE513" s="200">
        <v>0</v>
      </c>
      <c r="AF513" s="200">
        <v>0</v>
      </c>
      <c r="AG513" s="200">
        <v>0</v>
      </c>
      <c r="AH513" s="200">
        <v>1004</v>
      </c>
      <c r="AI513" s="200">
        <v>1045</v>
      </c>
      <c r="AJ513" s="200">
        <v>1287</v>
      </c>
      <c r="AL513" s="197">
        <f t="shared" si="67"/>
        <v>129042.9496219055</v>
      </c>
      <c r="AM513" s="197" t="str">
        <f t="shared" si="68"/>
        <v>Box Medium 6</v>
      </c>
      <c r="AN513" s="3">
        <f t="shared" si="69"/>
        <v>0</v>
      </c>
      <c r="AO513" s="3">
        <f t="shared" si="70"/>
        <v>0</v>
      </c>
      <c r="AP513" s="3">
        <f t="shared" si="71"/>
        <v>77.738078964047389</v>
      </c>
      <c r="AQ513" s="3">
        <f t="shared" si="72"/>
        <v>2.7985708427057063</v>
      </c>
      <c r="AR513" s="3">
        <f t="shared" si="73"/>
        <v>2.7985708427057063</v>
      </c>
      <c r="AS513" s="81">
        <f t="shared" si="74"/>
        <v>0</v>
      </c>
      <c r="AT513" s="81">
        <f t="shared" si="75"/>
        <v>1</v>
      </c>
    </row>
    <row r="514" spans="1:46" x14ac:dyDescent="0.25">
      <c r="A514" t="s">
        <v>496</v>
      </c>
      <c r="B514">
        <v>2025</v>
      </c>
      <c r="C514" t="s">
        <v>680</v>
      </c>
      <c r="D514" t="s">
        <v>832</v>
      </c>
      <c r="E514" t="s">
        <v>1028</v>
      </c>
      <c r="F514">
        <v>6</v>
      </c>
      <c r="G514" t="s">
        <v>2249</v>
      </c>
      <c r="H514" s="460">
        <v>4544.605572487616</v>
      </c>
      <c r="I514">
        <v>2600</v>
      </c>
      <c r="J514">
        <v>150.00000001001371</v>
      </c>
      <c r="K514" s="67">
        <v>4.4352000000000009</v>
      </c>
      <c r="L514" s="159">
        <v>0</v>
      </c>
      <c r="M514" s="159">
        <v>0</v>
      </c>
      <c r="N514" s="159">
        <v>0</v>
      </c>
      <c r="O514" s="159">
        <v>0</v>
      </c>
      <c r="P514" s="159">
        <v>2887</v>
      </c>
      <c r="Q514" s="159">
        <v>1500</v>
      </c>
      <c r="R514" s="159">
        <v>2000</v>
      </c>
      <c r="S514" s="159">
        <v>41176</v>
      </c>
      <c r="T514" s="159">
        <v>0</v>
      </c>
      <c r="U514" s="159">
        <v>2095</v>
      </c>
      <c r="V514" s="159">
        <v>4500</v>
      </c>
      <c r="W514" s="159">
        <v>186</v>
      </c>
      <c r="X514" s="159">
        <v>0</v>
      </c>
      <c r="Y514" s="159">
        <v>1500</v>
      </c>
      <c r="Z514" s="159">
        <v>4815</v>
      </c>
      <c r="AA514" s="159">
        <v>17580</v>
      </c>
      <c r="AB514" s="159">
        <v>8516</v>
      </c>
      <c r="AC514" s="159">
        <v>0</v>
      </c>
      <c r="AD514" s="207">
        <v>86755</v>
      </c>
      <c r="AE514" s="200">
        <v>21.703456511227341</v>
      </c>
      <c r="AF514" s="200">
        <v>20.753343197451436</v>
      </c>
      <c r="AG514" s="200">
        <v>16.29853030642208</v>
      </c>
      <c r="AH514" s="200">
        <v>0</v>
      </c>
      <c r="AI514" s="200">
        <v>0</v>
      </c>
      <c r="AJ514" s="200">
        <v>0</v>
      </c>
      <c r="AL514" s="197">
        <f t="shared" si="67"/>
        <v>99452.957744706815</v>
      </c>
      <c r="AM514" s="197" t="str">
        <f t="shared" si="68"/>
        <v>Box Medium 6</v>
      </c>
      <c r="AN514" s="3">
        <f t="shared" si="69"/>
        <v>13.973171732643753</v>
      </c>
      <c r="AO514" s="3">
        <f t="shared" si="70"/>
        <v>5.3935638204308418</v>
      </c>
      <c r="AP514" s="3">
        <f t="shared" si="71"/>
        <v>0</v>
      </c>
      <c r="AQ514" s="3">
        <f t="shared" si="72"/>
        <v>0</v>
      </c>
      <c r="AR514" s="3">
        <f t="shared" si="73"/>
        <v>5.3935638204308418</v>
      </c>
      <c r="AS514" s="81">
        <f t="shared" si="74"/>
        <v>1</v>
      </c>
      <c r="AT514" s="81">
        <f t="shared" si="75"/>
        <v>0</v>
      </c>
    </row>
    <row r="515" spans="1:46" x14ac:dyDescent="0.25">
      <c r="A515" t="s">
        <v>828</v>
      </c>
      <c r="B515">
        <v>2025</v>
      </c>
      <c r="C515" t="s">
        <v>680</v>
      </c>
      <c r="D515" t="s">
        <v>832</v>
      </c>
      <c r="E515" t="s">
        <v>1028</v>
      </c>
      <c r="F515">
        <v>6</v>
      </c>
      <c r="G515" t="s">
        <v>2250</v>
      </c>
      <c r="H515" s="460">
        <v>4667.6399887638563</v>
      </c>
      <c r="I515">
        <v>2600</v>
      </c>
      <c r="J515">
        <v>150.00000001001371</v>
      </c>
      <c r="K515" s="67">
        <v>35.996250000000003</v>
      </c>
      <c r="L515" s="159">
        <v>0</v>
      </c>
      <c r="M515" s="159">
        <v>0</v>
      </c>
      <c r="N515" s="159">
        <v>0</v>
      </c>
      <c r="O515" s="159">
        <v>0</v>
      </c>
      <c r="P515" s="159">
        <v>3345</v>
      </c>
      <c r="Q515" s="159">
        <v>1500</v>
      </c>
      <c r="R515" s="159">
        <v>2000</v>
      </c>
      <c r="S515" s="159">
        <v>41176</v>
      </c>
      <c r="T515" s="159">
        <v>0</v>
      </c>
      <c r="U515" s="159">
        <v>10079</v>
      </c>
      <c r="V515" s="159">
        <v>4500</v>
      </c>
      <c r="W515" s="159">
        <v>186</v>
      </c>
      <c r="X515" s="159">
        <v>0</v>
      </c>
      <c r="Y515" s="159">
        <v>1500</v>
      </c>
      <c r="Z515" s="159">
        <v>5760</v>
      </c>
      <c r="AA515" s="159">
        <v>11055</v>
      </c>
      <c r="AB515" s="159">
        <v>6502</v>
      </c>
      <c r="AC515" s="159">
        <v>0</v>
      </c>
      <c r="AD515" s="207">
        <v>87603</v>
      </c>
      <c r="AE515" s="200">
        <v>21.534298449840652</v>
      </c>
      <c r="AF515" s="200">
        <v>19.759809074219607</v>
      </c>
      <c r="AG515" s="200">
        <v>15.735031434393925</v>
      </c>
      <c r="AH515" s="200">
        <v>0</v>
      </c>
      <c r="AI515" s="200">
        <v>0</v>
      </c>
      <c r="AJ515" s="200">
        <v>0</v>
      </c>
      <c r="AL515" s="197">
        <f t="shared" ref="AL515:AL578" si="76">AD515*USD2023_to_CAD2020</f>
        <v>100425.07587239411</v>
      </c>
      <c r="AM515" s="197" t="str">
        <f t="shared" ref="AM515:AM578" si="77">IF(AND(F515&lt;5, D515="School"), $BF$2, IF(F515&lt;5, $BA$2,
IF(AND(F515&lt;=7, D515="School"), $BE$2, IF(F515&lt;7, $AZ$2,
IF(AND(F515&lt;8, E515="DayCab"), $BC$2, IF(F515&lt;8, $AZ$2,
IF(VLOOKUP(D515, $BH$3:$BI$10, 2, FALSE)="Longhaul", $AY$2,
IF(VLOOKUP(D515, $BH$3:$BI$10, 2, FALSE)="Drayage", $BB$2,
IF(VLOOKUP(D515, $BH$3:$BI$10, 2, FALSE)="Regional", $BC$2,
IF(VLOOKUP(D515, $BH$3:$BI$10, 2, FALSE)="Transit", $BE$2,
IF(VLOOKUP(D515, $BH$3:$BI$10, 2, FALSE)="Vocational", $BD$2, NA())))))))))))</f>
        <v>Box Medium 6</v>
      </c>
      <c r="AN515" s="3">
        <f t="shared" ref="AN515:AN578" si="78">(IFERROR(L_100km_to_mpg/AE515 * HLOOKUP($AM515, $AY$2:$BF$6, 2, FALSE) +
L_100km_to_mpg/AF515 * HLOOKUP($AM515, $AY$2:$BF$6, 3, FALSE) +
L_100km_to_mpg/AG515 * HLOOKUP($AM515, $AY$2:$BF$6, 4, FALSE), 0)) *
IF(ISERROR(SEARCH("PHEV",$A515)), 1, 1-HLOOKUP($AM515, $AY$2:$BF$6, 5, FALSE))</f>
        <v>14.473185035683457</v>
      </c>
      <c r="AO515" s="3">
        <f t="shared" ref="AO515:AO578" si="79">AN515*DSL_PJ_ML*10</f>
        <v>5.5865660759394302</v>
      </c>
      <c r="AP515" s="3">
        <f t="shared" ref="AP515:AP578" si="80">(AH515/km_mile/10 * HLOOKUP($AM515, $AY$2:$BF$6, 2, FALSE) +
AI515/km_mile/10 * HLOOKUP($AM515, $AY$2:$BF$6, 3, FALSE) +
AJ515/km_mile/10 * HLOOKUP($AM515, $AY$2:$BF$6, 4, FALSE)) *
IF(ISERROR(SEARCH("PHEV",$A515)), 1, HLOOKUP($AM515, $AY$2:$BF$6, 5, FALSE))</f>
        <v>0</v>
      </c>
      <c r="AQ515" s="3">
        <f t="shared" si="72"/>
        <v>0</v>
      </c>
      <c r="AR515" s="3">
        <f t="shared" si="73"/>
        <v>5.5865660759394302</v>
      </c>
      <c r="AS515" s="81">
        <f t="shared" si="74"/>
        <v>1</v>
      </c>
      <c r="AT515" s="81">
        <f t="shared" si="75"/>
        <v>0</v>
      </c>
    </row>
    <row r="516" spans="1:46" x14ac:dyDescent="0.25">
      <c r="A516" t="s">
        <v>805</v>
      </c>
      <c r="B516">
        <v>2030</v>
      </c>
      <c r="C516" t="s">
        <v>680</v>
      </c>
      <c r="D516" t="s">
        <v>832</v>
      </c>
      <c r="E516" t="s">
        <v>1028</v>
      </c>
      <c r="F516">
        <v>6</v>
      </c>
      <c r="G516" t="s">
        <v>2251</v>
      </c>
      <c r="H516" s="460">
        <v>4502.1914413534751</v>
      </c>
      <c r="I516">
        <v>2600</v>
      </c>
      <c r="J516">
        <v>0</v>
      </c>
      <c r="K516" s="67">
        <v>0</v>
      </c>
      <c r="L516" s="159">
        <v>150</v>
      </c>
      <c r="M516" s="159">
        <v>15593</v>
      </c>
      <c r="N516" s="159">
        <v>1920</v>
      </c>
      <c r="O516" s="159">
        <v>506</v>
      </c>
      <c r="P516" s="159">
        <v>4387</v>
      </c>
      <c r="Q516" s="159">
        <v>1500</v>
      </c>
      <c r="R516" s="159">
        <v>2000</v>
      </c>
      <c r="S516" s="159">
        <v>41373</v>
      </c>
      <c r="T516" s="159">
        <v>73</v>
      </c>
      <c r="U516" s="159">
        <v>120</v>
      </c>
      <c r="V516" s="159">
        <v>0</v>
      </c>
      <c r="W516" s="159">
        <v>186</v>
      </c>
      <c r="X516" s="159">
        <v>0</v>
      </c>
      <c r="Y516" s="159">
        <v>0</v>
      </c>
      <c r="Z516" s="159">
        <v>0</v>
      </c>
      <c r="AA516" s="159">
        <v>0</v>
      </c>
      <c r="AB516" s="159">
        <v>0</v>
      </c>
      <c r="AC516" s="159">
        <v>0</v>
      </c>
      <c r="AD516" s="207">
        <v>67808</v>
      </c>
      <c r="AE516" s="200">
        <v>12.3032642082085</v>
      </c>
      <c r="AF516" s="200">
        <v>16.845304355424403</v>
      </c>
      <c r="AG516" s="200">
        <v>14.804488654723686</v>
      </c>
      <c r="AH516" s="200">
        <v>0</v>
      </c>
      <c r="AI516" s="200">
        <v>0</v>
      </c>
      <c r="AJ516" s="200">
        <v>0</v>
      </c>
      <c r="AL516" s="197">
        <f t="shared" si="76"/>
        <v>77732.766512052098</v>
      </c>
      <c r="AM516" s="197" t="str">
        <f t="shared" si="77"/>
        <v>Box Medium 6</v>
      </c>
      <c r="AN516" s="3">
        <f t="shared" si="78"/>
        <v>15.876358959892286</v>
      </c>
      <c r="AO516" s="3">
        <f t="shared" si="79"/>
        <v>6.1281831301193543</v>
      </c>
      <c r="AP516" s="3">
        <f t="shared" si="80"/>
        <v>0</v>
      </c>
      <c r="AQ516" s="3">
        <f t="shared" si="72"/>
        <v>0</v>
      </c>
      <c r="AR516" s="3">
        <f t="shared" si="73"/>
        <v>6.1281831301193543</v>
      </c>
      <c r="AS516" s="81">
        <f t="shared" si="74"/>
        <v>1</v>
      </c>
      <c r="AT516" s="81">
        <f t="shared" si="75"/>
        <v>0</v>
      </c>
    </row>
    <row r="517" spans="1:46" x14ac:dyDescent="0.25">
      <c r="A517" t="s">
        <v>805</v>
      </c>
      <c r="B517">
        <v>2030</v>
      </c>
      <c r="C517" t="s">
        <v>680</v>
      </c>
      <c r="D517" t="s">
        <v>832</v>
      </c>
      <c r="E517" t="s">
        <v>1028</v>
      </c>
      <c r="F517">
        <v>6</v>
      </c>
      <c r="G517" t="s">
        <v>2252</v>
      </c>
      <c r="H517" s="460">
        <v>4331.8626692202315</v>
      </c>
      <c r="I517">
        <v>2600</v>
      </c>
      <c r="J517">
        <v>0</v>
      </c>
      <c r="K517" s="67">
        <v>0</v>
      </c>
      <c r="L517" s="159">
        <v>150</v>
      </c>
      <c r="M517" s="159">
        <v>21236</v>
      </c>
      <c r="N517" s="159">
        <v>1920</v>
      </c>
      <c r="O517" s="159">
        <v>506</v>
      </c>
      <c r="P517" s="159">
        <v>3314</v>
      </c>
      <c r="Q517" s="159">
        <v>1500</v>
      </c>
      <c r="R517" s="159">
        <v>2000</v>
      </c>
      <c r="S517" s="159">
        <v>41373</v>
      </c>
      <c r="T517" s="159">
        <v>73</v>
      </c>
      <c r="U517" s="159">
        <v>120</v>
      </c>
      <c r="V517" s="159">
        <v>0</v>
      </c>
      <c r="W517" s="159">
        <v>186</v>
      </c>
      <c r="X517" s="159">
        <v>0</v>
      </c>
      <c r="Y517" s="159">
        <v>0</v>
      </c>
      <c r="Z517" s="159">
        <v>0</v>
      </c>
      <c r="AA517" s="159">
        <v>0</v>
      </c>
      <c r="AB517" s="159">
        <v>0</v>
      </c>
      <c r="AC517" s="159">
        <v>0</v>
      </c>
      <c r="AD517" s="207">
        <v>72378</v>
      </c>
      <c r="AE517" s="200">
        <v>9.0171408692510067</v>
      </c>
      <c r="AF517" s="200">
        <v>14.99613145077147</v>
      </c>
      <c r="AG517" s="200">
        <v>12.108919177004676</v>
      </c>
      <c r="AH517" s="200">
        <v>0</v>
      </c>
      <c r="AI517" s="200">
        <v>0</v>
      </c>
      <c r="AJ517" s="200">
        <v>0</v>
      </c>
      <c r="AL517" s="197">
        <f t="shared" si="76"/>
        <v>82971.657836970655</v>
      </c>
      <c r="AM517" s="197" t="str">
        <f t="shared" si="77"/>
        <v>Box Medium 6</v>
      </c>
      <c r="AN517" s="3">
        <f t="shared" si="78"/>
        <v>19.421376265180037</v>
      </c>
      <c r="AO517" s="3">
        <f t="shared" si="79"/>
        <v>7.496539394998929</v>
      </c>
      <c r="AP517" s="3">
        <f t="shared" si="80"/>
        <v>0</v>
      </c>
      <c r="AQ517" s="3">
        <f t="shared" si="72"/>
        <v>0</v>
      </c>
      <c r="AR517" s="3">
        <f t="shared" si="73"/>
        <v>7.496539394998929</v>
      </c>
      <c r="AS517" s="81">
        <f t="shared" si="74"/>
        <v>1</v>
      </c>
      <c r="AT517" s="81">
        <f t="shared" si="75"/>
        <v>0</v>
      </c>
    </row>
    <row r="518" spans="1:46" x14ac:dyDescent="0.25">
      <c r="A518" t="s">
        <v>807</v>
      </c>
      <c r="B518">
        <v>2030</v>
      </c>
      <c r="C518" t="s">
        <v>680</v>
      </c>
      <c r="D518" t="s">
        <v>832</v>
      </c>
      <c r="E518" t="s">
        <v>1028</v>
      </c>
      <c r="F518">
        <v>6</v>
      </c>
      <c r="G518" t="s">
        <v>2253</v>
      </c>
      <c r="H518" s="460">
        <v>4581.2228802916079</v>
      </c>
      <c r="I518">
        <v>2600</v>
      </c>
      <c r="J518">
        <v>0</v>
      </c>
      <c r="K518" s="67">
        <v>3.5481600000000002</v>
      </c>
      <c r="L518" s="159">
        <v>150</v>
      </c>
      <c r="M518" s="159">
        <v>15719</v>
      </c>
      <c r="N518" s="159">
        <v>220</v>
      </c>
      <c r="O518" s="159">
        <v>392</v>
      </c>
      <c r="P518" s="159">
        <v>4424</v>
      </c>
      <c r="Q518" s="159">
        <v>1500</v>
      </c>
      <c r="R518" s="159">
        <v>2000</v>
      </c>
      <c r="S518" s="159">
        <v>41373</v>
      </c>
      <c r="T518" s="159">
        <v>0</v>
      </c>
      <c r="U518" s="159">
        <v>1274</v>
      </c>
      <c r="V518" s="159">
        <v>4500</v>
      </c>
      <c r="W518" s="159">
        <v>186</v>
      </c>
      <c r="X518" s="159">
        <v>120</v>
      </c>
      <c r="Y518" s="159">
        <v>1500</v>
      </c>
      <c r="Z518" s="159">
        <v>2714</v>
      </c>
      <c r="AA518" s="159">
        <v>0</v>
      </c>
      <c r="AB518" s="159">
        <v>0</v>
      </c>
      <c r="AC518" s="159">
        <v>0</v>
      </c>
      <c r="AD518" s="207">
        <v>76072</v>
      </c>
      <c r="AE518" s="200">
        <v>14.086294659493454</v>
      </c>
      <c r="AF518" s="200">
        <v>15.831148402386923</v>
      </c>
      <c r="AG518" s="200">
        <v>13.871436832862065</v>
      </c>
      <c r="AH518" s="200">
        <v>0</v>
      </c>
      <c r="AI518" s="200">
        <v>0</v>
      </c>
      <c r="AJ518" s="200">
        <v>0</v>
      </c>
      <c r="AL518" s="197">
        <f t="shared" si="76"/>
        <v>87206.332794136775</v>
      </c>
      <c r="AM518" s="197" t="str">
        <f t="shared" si="77"/>
        <v>Box Medium 6</v>
      </c>
      <c r="AN518" s="3">
        <f t="shared" si="78"/>
        <v>16.754948717870715</v>
      </c>
      <c r="AO518" s="3">
        <f t="shared" si="79"/>
        <v>6.4673137170971877</v>
      </c>
      <c r="AP518" s="3">
        <f t="shared" si="80"/>
        <v>0</v>
      </c>
      <c r="AQ518" s="3">
        <f t="shared" si="72"/>
        <v>0</v>
      </c>
      <c r="AR518" s="3">
        <f t="shared" si="73"/>
        <v>6.4673137170971877</v>
      </c>
      <c r="AS518" s="81">
        <f t="shared" si="74"/>
        <v>1</v>
      </c>
      <c r="AT518" s="81">
        <f t="shared" si="75"/>
        <v>0</v>
      </c>
    </row>
    <row r="519" spans="1:46" x14ac:dyDescent="0.25">
      <c r="A519" t="s">
        <v>807</v>
      </c>
      <c r="B519">
        <v>2030</v>
      </c>
      <c r="C519" t="s">
        <v>680</v>
      </c>
      <c r="D519" t="s">
        <v>832</v>
      </c>
      <c r="E519" t="s">
        <v>1028</v>
      </c>
      <c r="F519">
        <v>6</v>
      </c>
      <c r="G519" t="s">
        <v>2254</v>
      </c>
      <c r="H519" s="460">
        <v>4366.6396746551218</v>
      </c>
      <c r="I519">
        <v>2600</v>
      </c>
      <c r="J519">
        <v>0</v>
      </c>
      <c r="K519" s="67">
        <v>3.9916800000000006</v>
      </c>
      <c r="L519" s="159">
        <v>150</v>
      </c>
      <c r="M519" s="159">
        <v>13796</v>
      </c>
      <c r="N519" s="159">
        <v>220</v>
      </c>
      <c r="O519" s="159">
        <v>392</v>
      </c>
      <c r="P519" s="159">
        <v>2782</v>
      </c>
      <c r="Q519" s="159">
        <v>1500</v>
      </c>
      <c r="R519" s="159">
        <v>2000</v>
      </c>
      <c r="S519" s="159">
        <v>41373</v>
      </c>
      <c r="T519" s="159">
        <v>0</v>
      </c>
      <c r="U519" s="159">
        <v>1433</v>
      </c>
      <c r="V519" s="159">
        <v>4500</v>
      </c>
      <c r="W519" s="159">
        <v>186</v>
      </c>
      <c r="X519" s="159">
        <v>120</v>
      </c>
      <c r="Y519" s="159">
        <v>1500</v>
      </c>
      <c r="Z519" s="159">
        <v>2519</v>
      </c>
      <c r="AA519" s="159">
        <v>0</v>
      </c>
      <c r="AB519" s="159">
        <v>0</v>
      </c>
      <c r="AC519" s="159">
        <v>0</v>
      </c>
      <c r="AD519" s="207">
        <v>72471</v>
      </c>
      <c r="AE519" s="200">
        <v>3.8220125526493307</v>
      </c>
      <c r="AF519" s="200">
        <v>14.240588488020592</v>
      </c>
      <c r="AG519" s="200">
        <v>11.305966938201003</v>
      </c>
      <c r="AH519" s="200">
        <v>0</v>
      </c>
      <c r="AI519" s="200">
        <v>0</v>
      </c>
      <c r="AJ519" s="200">
        <v>0</v>
      </c>
      <c r="AL519" s="197">
        <f t="shared" si="76"/>
        <v>83078.269848615615</v>
      </c>
      <c r="AM519" s="197" t="str">
        <f t="shared" si="77"/>
        <v>Box Medium 6</v>
      </c>
      <c r="AN519" s="3">
        <f t="shared" si="78"/>
        <v>22.45554163446123</v>
      </c>
      <c r="AO519" s="3">
        <f t="shared" si="79"/>
        <v>8.6677097544619723</v>
      </c>
      <c r="AP519" s="3">
        <f t="shared" si="80"/>
        <v>0</v>
      </c>
      <c r="AQ519" s="3">
        <f t="shared" si="72"/>
        <v>0</v>
      </c>
      <c r="AR519" s="3">
        <f t="shared" si="73"/>
        <v>8.6677097544619723</v>
      </c>
      <c r="AS519" s="81">
        <f t="shared" si="74"/>
        <v>1</v>
      </c>
      <c r="AT519" s="81">
        <f t="shared" si="75"/>
        <v>0</v>
      </c>
    </row>
    <row r="520" spans="1:46" x14ac:dyDescent="0.25">
      <c r="A520" t="s">
        <v>808</v>
      </c>
      <c r="B520">
        <v>2030</v>
      </c>
      <c r="C520" t="s">
        <v>680</v>
      </c>
      <c r="D520" t="s">
        <v>832</v>
      </c>
      <c r="E520" t="s">
        <v>1028</v>
      </c>
      <c r="F520">
        <v>6</v>
      </c>
      <c r="G520" t="s">
        <v>2255</v>
      </c>
      <c r="H520" s="460">
        <v>5301.3663328605426</v>
      </c>
      <c r="I520">
        <v>2600</v>
      </c>
      <c r="J520">
        <v>119.99999997072871</v>
      </c>
      <c r="K520" s="67">
        <v>146.71575000000001</v>
      </c>
      <c r="L520" s="159">
        <v>0</v>
      </c>
      <c r="M520" s="159">
        <v>11261</v>
      </c>
      <c r="N520" s="159">
        <v>220</v>
      </c>
      <c r="O520" s="159">
        <v>0</v>
      </c>
      <c r="P520" s="159">
        <v>3161</v>
      </c>
      <c r="Q520" s="159">
        <v>1500</v>
      </c>
      <c r="R520" s="159">
        <v>2000</v>
      </c>
      <c r="S520" s="159">
        <v>41373</v>
      </c>
      <c r="T520" s="159">
        <v>2511</v>
      </c>
      <c r="U520" s="159">
        <v>29343</v>
      </c>
      <c r="V520" s="159">
        <v>4500</v>
      </c>
      <c r="W520" s="159">
        <v>186</v>
      </c>
      <c r="X520" s="159">
        <v>0</v>
      </c>
      <c r="Y520" s="159">
        <v>1500</v>
      </c>
      <c r="Z520" s="159">
        <v>4249</v>
      </c>
      <c r="AA520" s="159">
        <v>0</v>
      </c>
      <c r="AB520" s="159">
        <v>0</v>
      </c>
      <c r="AC520" s="159">
        <v>0</v>
      </c>
      <c r="AD520" s="207">
        <v>101804</v>
      </c>
      <c r="AE520" s="200">
        <v>14.570793227816102</v>
      </c>
      <c r="AF520" s="200">
        <v>13.942817943412194</v>
      </c>
      <c r="AG520" s="200">
        <v>11.648175162475694</v>
      </c>
      <c r="AH520" s="200">
        <v>978</v>
      </c>
      <c r="AI520" s="200">
        <v>1014</v>
      </c>
      <c r="AJ520" s="200">
        <v>1264</v>
      </c>
      <c r="AL520" s="197">
        <f t="shared" si="76"/>
        <v>116704.61541400648</v>
      </c>
      <c r="AM520" s="197" t="str">
        <f t="shared" si="77"/>
        <v>Box Medium 6</v>
      </c>
      <c r="AN520" s="3">
        <f t="shared" si="78"/>
        <v>3.9383368464156518</v>
      </c>
      <c r="AO520" s="3">
        <f t="shared" si="79"/>
        <v>1.5201753427157081</v>
      </c>
      <c r="AP520" s="3">
        <f t="shared" si="80"/>
        <v>61.003889793331432</v>
      </c>
      <c r="AQ520" s="3">
        <f t="shared" si="72"/>
        <v>2.1961400325599318</v>
      </c>
      <c r="AR520" s="3">
        <f t="shared" si="73"/>
        <v>3.7163153752756397</v>
      </c>
      <c r="AS520" s="81">
        <f t="shared" si="74"/>
        <v>0.40905445023027853</v>
      </c>
      <c r="AT520" s="81">
        <f t="shared" si="75"/>
        <v>0.59094554976972147</v>
      </c>
    </row>
    <row r="521" spans="1:46" x14ac:dyDescent="0.25">
      <c r="A521" t="s">
        <v>808</v>
      </c>
      <c r="B521">
        <v>2030</v>
      </c>
      <c r="C521" t="s">
        <v>680</v>
      </c>
      <c r="D521" t="s">
        <v>832</v>
      </c>
      <c r="E521" t="s">
        <v>1028</v>
      </c>
      <c r="F521">
        <v>6</v>
      </c>
      <c r="G521" t="s">
        <v>2256</v>
      </c>
      <c r="H521" s="460">
        <v>5224.202726793118</v>
      </c>
      <c r="I521">
        <v>2600</v>
      </c>
      <c r="J521">
        <v>119.99999997072871</v>
      </c>
      <c r="K521" s="67">
        <v>146.71575000000001</v>
      </c>
      <c r="L521" s="159">
        <v>0</v>
      </c>
      <c r="M521" s="159">
        <v>8410</v>
      </c>
      <c r="N521" s="159">
        <v>220</v>
      </c>
      <c r="O521" s="159">
        <v>0</v>
      </c>
      <c r="P521" s="159">
        <v>3161</v>
      </c>
      <c r="Q521" s="159">
        <v>1500</v>
      </c>
      <c r="R521" s="159">
        <v>2000</v>
      </c>
      <c r="S521" s="159">
        <v>41373</v>
      </c>
      <c r="T521" s="159">
        <v>2511</v>
      </c>
      <c r="U521" s="159">
        <v>29343</v>
      </c>
      <c r="V521" s="159">
        <v>4500</v>
      </c>
      <c r="W521" s="159">
        <v>186</v>
      </c>
      <c r="X521" s="159">
        <v>0</v>
      </c>
      <c r="Y521" s="159">
        <v>1500</v>
      </c>
      <c r="Z521" s="159">
        <v>4249</v>
      </c>
      <c r="AA521" s="159">
        <v>0</v>
      </c>
      <c r="AB521" s="159">
        <v>0</v>
      </c>
      <c r="AC521" s="159">
        <v>0</v>
      </c>
      <c r="AD521" s="207">
        <v>98953</v>
      </c>
      <c r="AE521" s="200">
        <v>11.400628702186312</v>
      </c>
      <c r="AF521" s="200">
        <v>10.977528183313455</v>
      </c>
      <c r="AG521" s="200">
        <v>9.2052700303218362</v>
      </c>
      <c r="AH521" s="200">
        <v>973</v>
      </c>
      <c r="AI521" s="200">
        <v>1011</v>
      </c>
      <c r="AJ521" s="200">
        <v>1262</v>
      </c>
      <c r="AL521" s="197">
        <f t="shared" si="76"/>
        <v>113436.3267559446</v>
      </c>
      <c r="AM521" s="197" t="str">
        <f t="shared" si="77"/>
        <v>Box Medium 6</v>
      </c>
      <c r="AN521" s="3">
        <f t="shared" si="78"/>
        <v>4.986985535563969</v>
      </c>
      <c r="AO521" s="3">
        <f t="shared" si="79"/>
        <v>1.9249476977937827</v>
      </c>
      <c r="AP521" s="3">
        <f t="shared" si="80"/>
        <v>60.892539798923785</v>
      </c>
      <c r="AQ521" s="3">
        <f t="shared" si="72"/>
        <v>2.1921314327612564</v>
      </c>
      <c r="AR521" s="3">
        <f t="shared" si="73"/>
        <v>4.1170791305550392</v>
      </c>
      <c r="AS521" s="81">
        <f t="shared" si="74"/>
        <v>0.46755178531977187</v>
      </c>
      <c r="AT521" s="81">
        <f t="shared" si="75"/>
        <v>0.53244821468022807</v>
      </c>
    </row>
    <row r="522" spans="1:46" x14ac:dyDescent="0.25">
      <c r="A522" t="s">
        <v>230</v>
      </c>
      <c r="B522">
        <v>2030</v>
      </c>
      <c r="C522" t="s">
        <v>680</v>
      </c>
      <c r="D522" t="s">
        <v>832</v>
      </c>
      <c r="E522" t="s">
        <v>1028</v>
      </c>
      <c r="F522">
        <v>6</v>
      </c>
      <c r="G522" t="s">
        <v>2257</v>
      </c>
      <c r="H522" s="460">
        <v>5016.9611175146947</v>
      </c>
      <c r="I522">
        <v>2600</v>
      </c>
      <c r="J522">
        <v>150.00000001001371</v>
      </c>
      <c r="K522" s="67">
        <v>182.71200000000002</v>
      </c>
      <c r="L522" s="159">
        <v>0</v>
      </c>
      <c r="M522" s="159">
        <v>0</v>
      </c>
      <c r="N522" s="159">
        <v>0</v>
      </c>
      <c r="O522" s="159">
        <v>0</v>
      </c>
      <c r="P522" s="159">
        <v>2726</v>
      </c>
      <c r="Q522" s="159">
        <v>1500</v>
      </c>
      <c r="R522" s="159">
        <v>2000</v>
      </c>
      <c r="S522" s="159">
        <v>41373</v>
      </c>
      <c r="T522" s="159">
        <v>0</v>
      </c>
      <c r="U522" s="159">
        <v>36542</v>
      </c>
      <c r="V522" s="159">
        <v>4500</v>
      </c>
      <c r="W522" s="159">
        <v>186</v>
      </c>
      <c r="X522" s="159">
        <v>0</v>
      </c>
      <c r="Y522" s="159">
        <v>1500</v>
      </c>
      <c r="Z522" s="159">
        <v>3535</v>
      </c>
      <c r="AA522" s="159">
        <v>0</v>
      </c>
      <c r="AB522" s="159">
        <v>0</v>
      </c>
      <c r="AC522" s="159">
        <v>0</v>
      </c>
      <c r="AD522" s="207">
        <v>93862</v>
      </c>
      <c r="AE522" s="200">
        <v>0</v>
      </c>
      <c r="AF522" s="200">
        <v>0</v>
      </c>
      <c r="AG522" s="200">
        <v>0</v>
      </c>
      <c r="AH522" s="200">
        <v>937</v>
      </c>
      <c r="AI522" s="200">
        <v>963</v>
      </c>
      <c r="AJ522" s="200">
        <v>1182</v>
      </c>
      <c r="AL522" s="197">
        <f t="shared" si="76"/>
        <v>107600.17889267099</v>
      </c>
      <c r="AM522" s="197" t="str">
        <f t="shared" si="77"/>
        <v>Box Medium 6</v>
      </c>
      <c r="AN522" s="3">
        <f t="shared" si="78"/>
        <v>0</v>
      </c>
      <c r="AO522" s="3">
        <f t="shared" si="79"/>
        <v>0</v>
      </c>
      <c r="AP522" s="3">
        <f t="shared" si="80"/>
        <v>71.460350205674359</v>
      </c>
      <c r="AQ522" s="3">
        <f t="shared" si="72"/>
        <v>2.5725726074042767</v>
      </c>
      <c r="AR522" s="3">
        <f t="shared" si="73"/>
        <v>2.5725726074042767</v>
      </c>
      <c r="AS522" s="81">
        <f t="shared" si="74"/>
        <v>0</v>
      </c>
      <c r="AT522" s="81">
        <f t="shared" si="75"/>
        <v>1</v>
      </c>
    </row>
    <row r="523" spans="1:46" x14ac:dyDescent="0.25">
      <c r="A523" t="s">
        <v>496</v>
      </c>
      <c r="B523">
        <v>2030</v>
      </c>
      <c r="C523" t="s">
        <v>680</v>
      </c>
      <c r="D523" t="s">
        <v>832</v>
      </c>
      <c r="E523" t="s">
        <v>1028</v>
      </c>
      <c r="F523">
        <v>6</v>
      </c>
      <c r="G523" t="s">
        <v>2258</v>
      </c>
      <c r="H523" s="460">
        <v>4400.3975260013449</v>
      </c>
      <c r="I523">
        <v>2600</v>
      </c>
      <c r="J523">
        <v>150.00000001001371</v>
      </c>
      <c r="K523" s="67">
        <v>4.4352000000000009</v>
      </c>
      <c r="L523" s="159">
        <v>0</v>
      </c>
      <c r="M523" s="159">
        <v>0</v>
      </c>
      <c r="N523" s="159">
        <v>0</v>
      </c>
      <c r="O523" s="159">
        <v>0</v>
      </c>
      <c r="P523" s="159">
        <v>2872</v>
      </c>
      <c r="Q523" s="159">
        <v>1500</v>
      </c>
      <c r="R523" s="159">
        <v>2000</v>
      </c>
      <c r="S523" s="159">
        <v>41373</v>
      </c>
      <c r="T523" s="159">
        <v>0</v>
      </c>
      <c r="U523" s="159">
        <v>1593</v>
      </c>
      <c r="V523" s="159">
        <v>4500</v>
      </c>
      <c r="W523" s="159">
        <v>186</v>
      </c>
      <c r="X523" s="159">
        <v>0</v>
      </c>
      <c r="Y523" s="159">
        <v>1500</v>
      </c>
      <c r="Z523" s="159">
        <v>3775</v>
      </c>
      <c r="AA523" s="159">
        <v>15184</v>
      </c>
      <c r="AB523" s="159">
        <v>6849</v>
      </c>
      <c r="AC523" s="159">
        <v>0</v>
      </c>
      <c r="AD523" s="207">
        <v>81332</v>
      </c>
      <c r="AE523" s="200">
        <v>23.357484538563018</v>
      </c>
      <c r="AF523" s="200">
        <v>22.866560319408407</v>
      </c>
      <c r="AG523" s="200">
        <v>18.060573546399944</v>
      </c>
      <c r="AH523" s="200">
        <v>0</v>
      </c>
      <c r="AI523" s="200">
        <v>0</v>
      </c>
      <c r="AJ523" s="200">
        <v>0</v>
      </c>
      <c r="AL523" s="197">
        <f t="shared" si="76"/>
        <v>93236.216463517892</v>
      </c>
      <c r="AM523" s="197" t="str">
        <f t="shared" si="77"/>
        <v>Box Medium 6</v>
      </c>
      <c r="AN523" s="3">
        <f t="shared" si="78"/>
        <v>12.629653601354198</v>
      </c>
      <c r="AO523" s="3">
        <f t="shared" si="79"/>
        <v>4.8749735587733936</v>
      </c>
      <c r="AP523" s="3">
        <f t="shared" si="80"/>
        <v>0</v>
      </c>
      <c r="AQ523" s="3">
        <f t="shared" si="72"/>
        <v>0</v>
      </c>
      <c r="AR523" s="3">
        <f t="shared" si="73"/>
        <v>4.8749735587733936</v>
      </c>
      <c r="AS523" s="81">
        <f t="shared" si="74"/>
        <v>1</v>
      </c>
      <c r="AT523" s="81">
        <f t="shared" si="75"/>
        <v>0</v>
      </c>
    </row>
    <row r="524" spans="1:46" x14ac:dyDescent="0.25">
      <c r="A524" t="s">
        <v>828</v>
      </c>
      <c r="B524">
        <v>2030</v>
      </c>
      <c r="C524" t="s">
        <v>680</v>
      </c>
      <c r="D524" t="s">
        <v>832</v>
      </c>
      <c r="E524" t="s">
        <v>1028</v>
      </c>
      <c r="F524">
        <v>6</v>
      </c>
      <c r="G524" t="s">
        <v>2259</v>
      </c>
      <c r="H524" s="460">
        <v>4497.925042908977</v>
      </c>
      <c r="I524">
        <v>2600</v>
      </c>
      <c r="J524">
        <v>150.00000001001371</v>
      </c>
      <c r="K524" s="67">
        <v>37.237500000000004</v>
      </c>
      <c r="L524" s="159">
        <v>0</v>
      </c>
      <c r="M524" s="159">
        <v>0</v>
      </c>
      <c r="N524" s="159">
        <v>0</v>
      </c>
      <c r="O524" s="159">
        <v>0</v>
      </c>
      <c r="P524" s="159">
        <v>3338</v>
      </c>
      <c r="Q524" s="159">
        <v>1500</v>
      </c>
      <c r="R524" s="159">
        <v>2000</v>
      </c>
      <c r="S524" s="159">
        <v>41373</v>
      </c>
      <c r="T524" s="159">
        <v>0</v>
      </c>
      <c r="U524" s="159">
        <v>7447</v>
      </c>
      <c r="V524" s="159">
        <v>4500</v>
      </c>
      <c r="W524" s="159">
        <v>186</v>
      </c>
      <c r="X524" s="159">
        <v>0</v>
      </c>
      <c r="Y524" s="159">
        <v>1500</v>
      </c>
      <c r="Z524" s="159">
        <v>4540</v>
      </c>
      <c r="AA524" s="159">
        <v>8976</v>
      </c>
      <c r="AB524" s="159">
        <v>5081</v>
      </c>
      <c r="AC524" s="159">
        <v>0</v>
      </c>
      <c r="AD524" s="207">
        <v>80441</v>
      </c>
      <c r="AE524" s="200">
        <v>23.22286204140514</v>
      </c>
      <c r="AF524" s="200">
        <v>21.677180500323466</v>
      </c>
      <c r="AG524" s="200">
        <v>17.323038118027174</v>
      </c>
      <c r="AH524" s="200">
        <v>0</v>
      </c>
      <c r="AI524" s="200">
        <v>0</v>
      </c>
      <c r="AJ524" s="200">
        <v>0</v>
      </c>
      <c r="AL524" s="197">
        <f t="shared" si="76"/>
        <v>92214.804610016261</v>
      </c>
      <c r="AM524" s="197" t="str">
        <f t="shared" si="77"/>
        <v>Box Medium 6</v>
      </c>
      <c r="AN524" s="3">
        <f t="shared" si="78"/>
        <v>13.160227966925911</v>
      </c>
      <c r="AO524" s="3">
        <f t="shared" si="79"/>
        <v>5.0797722084250143</v>
      </c>
      <c r="AP524" s="3">
        <f t="shared" si="80"/>
        <v>0</v>
      </c>
      <c r="AQ524" s="3">
        <f t="shared" si="72"/>
        <v>0</v>
      </c>
      <c r="AR524" s="3">
        <f t="shared" si="73"/>
        <v>5.0797722084250143</v>
      </c>
      <c r="AS524" s="81">
        <f t="shared" si="74"/>
        <v>1</v>
      </c>
      <c r="AT524" s="81">
        <f t="shared" si="75"/>
        <v>0</v>
      </c>
    </row>
    <row r="525" spans="1:46" x14ac:dyDescent="0.25">
      <c r="A525" t="s">
        <v>805</v>
      </c>
      <c r="B525">
        <v>2035</v>
      </c>
      <c r="C525" t="s">
        <v>680</v>
      </c>
      <c r="D525" t="s">
        <v>832</v>
      </c>
      <c r="E525" t="s">
        <v>1028</v>
      </c>
      <c r="F525">
        <v>6</v>
      </c>
      <c r="G525" t="s">
        <v>2260</v>
      </c>
      <c r="H525" s="460">
        <v>4492.6090329975123</v>
      </c>
      <c r="I525">
        <v>2600</v>
      </c>
      <c r="J525">
        <v>0</v>
      </c>
      <c r="K525" s="67">
        <v>0</v>
      </c>
      <c r="L525" s="159">
        <v>150</v>
      </c>
      <c r="M525" s="159">
        <v>15228</v>
      </c>
      <c r="N525" s="159">
        <v>1920</v>
      </c>
      <c r="O525" s="159">
        <v>506</v>
      </c>
      <c r="P525" s="159">
        <v>4297</v>
      </c>
      <c r="Q525" s="159">
        <v>1500</v>
      </c>
      <c r="R525" s="159">
        <v>2000</v>
      </c>
      <c r="S525" s="159">
        <v>41373</v>
      </c>
      <c r="T525" s="159">
        <v>63</v>
      </c>
      <c r="U525" s="159">
        <v>120</v>
      </c>
      <c r="V525" s="159">
        <v>0</v>
      </c>
      <c r="W525" s="159">
        <v>186</v>
      </c>
      <c r="X525" s="159">
        <v>0</v>
      </c>
      <c r="Y525" s="159">
        <v>0</v>
      </c>
      <c r="Z525" s="159">
        <v>0</v>
      </c>
      <c r="AA525" s="159">
        <v>0</v>
      </c>
      <c r="AB525" s="159">
        <v>0</v>
      </c>
      <c r="AC525" s="159">
        <v>0</v>
      </c>
      <c r="AD525" s="207">
        <v>67343</v>
      </c>
      <c r="AE525" s="200">
        <v>12.873996247501108</v>
      </c>
      <c r="AF525" s="200">
        <v>18.351901041561295</v>
      </c>
      <c r="AG525" s="200">
        <v>16.341475656013959</v>
      </c>
      <c r="AH525" s="200">
        <v>0</v>
      </c>
      <c r="AI525" s="200">
        <v>0</v>
      </c>
      <c r="AJ525" s="200">
        <v>0</v>
      </c>
      <c r="AL525" s="197">
        <f t="shared" si="76"/>
        <v>77199.706453827341</v>
      </c>
      <c r="AM525" s="197" t="str">
        <f t="shared" si="77"/>
        <v>Box Medium 6</v>
      </c>
      <c r="AN525" s="3">
        <f t="shared" si="78"/>
        <v>14.445677337740129</v>
      </c>
      <c r="AO525" s="3">
        <f t="shared" si="79"/>
        <v>5.5759482629439825</v>
      </c>
      <c r="AP525" s="3">
        <f t="shared" si="80"/>
        <v>0</v>
      </c>
      <c r="AQ525" s="3">
        <f t="shared" si="72"/>
        <v>0</v>
      </c>
      <c r="AR525" s="3">
        <f t="shared" si="73"/>
        <v>5.5759482629439825</v>
      </c>
      <c r="AS525" s="81">
        <f t="shared" si="74"/>
        <v>1</v>
      </c>
      <c r="AT525" s="81">
        <f t="shared" si="75"/>
        <v>0</v>
      </c>
    </row>
    <row r="526" spans="1:46" x14ac:dyDescent="0.25">
      <c r="A526" t="s">
        <v>805</v>
      </c>
      <c r="B526">
        <v>2035</v>
      </c>
      <c r="C526" t="s">
        <v>680</v>
      </c>
      <c r="D526" t="s">
        <v>832</v>
      </c>
      <c r="E526" t="s">
        <v>1028</v>
      </c>
      <c r="F526">
        <v>6</v>
      </c>
      <c r="G526" t="s">
        <v>2261</v>
      </c>
      <c r="H526" s="460">
        <v>4331.6968732447749</v>
      </c>
      <c r="I526">
        <v>2600</v>
      </c>
      <c r="J526">
        <v>0</v>
      </c>
      <c r="K526" s="67">
        <v>0</v>
      </c>
      <c r="L526" s="159">
        <v>150</v>
      </c>
      <c r="M526" s="159">
        <v>21577</v>
      </c>
      <c r="N526" s="159">
        <v>1920</v>
      </c>
      <c r="O526" s="159">
        <v>506</v>
      </c>
      <c r="P526" s="159">
        <v>3311</v>
      </c>
      <c r="Q526" s="159">
        <v>1500</v>
      </c>
      <c r="R526" s="159">
        <v>2000</v>
      </c>
      <c r="S526" s="159">
        <v>41373</v>
      </c>
      <c r="T526" s="159">
        <v>63</v>
      </c>
      <c r="U526" s="159">
        <v>120</v>
      </c>
      <c r="V526" s="159">
        <v>0</v>
      </c>
      <c r="W526" s="159">
        <v>186</v>
      </c>
      <c r="X526" s="159">
        <v>0</v>
      </c>
      <c r="Y526" s="159">
        <v>0</v>
      </c>
      <c r="Z526" s="159">
        <v>0</v>
      </c>
      <c r="AA526" s="159">
        <v>0</v>
      </c>
      <c r="AB526" s="159">
        <v>0</v>
      </c>
      <c r="AC526" s="159">
        <v>0</v>
      </c>
      <c r="AD526" s="207">
        <v>72706</v>
      </c>
      <c r="AE526" s="200">
        <v>9.5639663440350926</v>
      </c>
      <c r="AF526" s="200">
        <v>16.627363184909807</v>
      </c>
      <c r="AG526" s="200">
        <v>13.553332655916801</v>
      </c>
      <c r="AH526" s="200">
        <v>0</v>
      </c>
      <c r="AI526" s="200">
        <v>0</v>
      </c>
      <c r="AJ526" s="200">
        <v>0</v>
      </c>
      <c r="AL526" s="197">
        <f t="shared" si="76"/>
        <v>83347.665792019514</v>
      </c>
      <c r="AM526" s="197" t="str">
        <f t="shared" si="77"/>
        <v>Box Medium 6</v>
      </c>
      <c r="AN526" s="3">
        <f t="shared" si="78"/>
        <v>17.427970049680784</v>
      </c>
      <c r="AO526" s="3">
        <f t="shared" si="79"/>
        <v>6.7270960753966067</v>
      </c>
      <c r="AP526" s="3">
        <f t="shared" si="80"/>
        <v>0</v>
      </c>
      <c r="AQ526" s="3">
        <f t="shared" si="72"/>
        <v>0</v>
      </c>
      <c r="AR526" s="3">
        <f t="shared" si="73"/>
        <v>6.7270960753966067</v>
      </c>
      <c r="AS526" s="81">
        <f t="shared" si="74"/>
        <v>1</v>
      </c>
      <c r="AT526" s="81">
        <f t="shared" si="75"/>
        <v>0</v>
      </c>
    </row>
    <row r="527" spans="1:46" x14ac:dyDescent="0.25">
      <c r="A527" t="s">
        <v>807</v>
      </c>
      <c r="B527">
        <v>2035</v>
      </c>
      <c r="C527" t="s">
        <v>680</v>
      </c>
      <c r="D527" t="s">
        <v>832</v>
      </c>
      <c r="E527" t="s">
        <v>1028</v>
      </c>
      <c r="F527">
        <v>6</v>
      </c>
      <c r="G527" t="s">
        <v>2262</v>
      </c>
      <c r="H527" s="460">
        <v>4580.7560157662783</v>
      </c>
      <c r="I527">
        <v>2600</v>
      </c>
      <c r="J527">
        <v>0</v>
      </c>
      <c r="K527" s="67">
        <v>4.7520000000000007</v>
      </c>
      <c r="L527" s="159">
        <v>150</v>
      </c>
      <c r="M527" s="159">
        <v>15521</v>
      </c>
      <c r="N527" s="159">
        <v>220</v>
      </c>
      <c r="O527" s="159">
        <v>392</v>
      </c>
      <c r="P527" s="159">
        <v>4382</v>
      </c>
      <c r="Q527" s="159">
        <v>1500</v>
      </c>
      <c r="R527" s="159">
        <v>2000</v>
      </c>
      <c r="S527" s="159">
        <v>41373</v>
      </c>
      <c r="T527" s="159">
        <v>0</v>
      </c>
      <c r="U527" s="159">
        <v>1616</v>
      </c>
      <c r="V527" s="159">
        <v>4500</v>
      </c>
      <c r="W527" s="159">
        <v>186</v>
      </c>
      <c r="X527" s="159">
        <v>120</v>
      </c>
      <c r="Y527" s="159">
        <v>1500</v>
      </c>
      <c r="Z527" s="159">
        <v>2253</v>
      </c>
      <c r="AA527" s="159">
        <v>0</v>
      </c>
      <c r="AB527" s="159">
        <v>0</v>
      </c>
      <c r="AC527" s="159">
        <v>0</v>
      </c>
      <c r="AD527" s="207">
        <v>75713</v>
      </c>
      <c r="AE527" s="200">
        <v>15.56173841991345</v>
      </c>
      <c r="AF527" s="200">
        <v>17.458254366850532</v>
      </c>
      <c r="AG527" s="200">
        <v>15.381606239000023</v>
      </c>
      <c r="AH527" s="200">
        <v>0</v>
      </c>
      <c r="AI527" s="200">
        <v>0</v>
      </c>
      <c r="AJ527" s="200">
        <v>0</v>
      </c>
      <c r="AL527" s="197">
        <f t="shared" si="76"/>
        <v>86794.787501872939</v>
      </c>
      <c r="AM527" s="197" t="str">
        <f t="shared" si="77"/>
        <v>Box Medium 6</v>
      </c>
      <c r="AN527" s="3">
        <f t="shared" si="78"/>
        <v>15.119415957705471</v>
      </c>
      <c r="AO527" s="3">
        <f t="shared" si="79"/>
        <v>5.8360074903406343</v>
      </c>
      <c r="AP527" s="3">
        <f t="shared" si="80"/>
        <v>0</v>
      </c>
      <c r="AQ527" s="3">
        <f t="shared" si="72"/>
        <v>0</v>
      </c>
      <c r="AR527" s="3">
        <f t="shared" si="73"/>
        <v>5.8360074903406343</v>
      </c>
      <c r="AS527" s="81">
        <f t="shared" si="74"/>
        <v>1</v>
      </c>
      <c r="AT527" s="81">
        <f t="shared" si="75"/>
        <v>0</v>
      </c>
    </row>
    <row r="528" spans="1:46" x14ac:dyDescent="0.25">
      <c r="A528" t="s">
        <v>807</v>
      </c>
      <c r="B528">
        <v>2035</v>
      </c>
      <c r="C528" t="s">
        <v>680</v>
      </c>
      <c r="D528" t="s">
        <v>832</v>
      </c>
      <c r="E528" t="s">
        <v>1028</v>
      </c>
      <c r="F528">
        <v>6</v>
      </c>
      <c r="G528" t="s">
        <v>2263</v>
      </c>
      <c r="H528" s="460">
        <v>4366.1346006307267</v>
      </c>
      <c r="I528">
        <v>2600</v>
      </c>
      <c r="J528">
        <v>0</v>
      </c>
      <c r="K528" s="67">
        <v>4.5619199999999998</v>
      </c>
      <c r="L528" s="159">
        <v>150</v>
      </c>
      <c r="M528" s="159">
        <v>14065</v>
      </c>
      <c r="N528" s="159">
        <v>220</v>
      </c>
      <c r="O528" s="159">
        <v>392</v>
      </c>
      <c r="P528" s="159">
        <v>2765</v>
      </c>
      <c r="Q528" s="159">
        <v>1500</v>
      </c>
      <c r="R528" s="159">
        <v>2000</v>
      </c>
      <c r="S528" s="159">
        <v>41373</v>
      </c>
      <c r="T528" s="159">
        <v>0</v>
      </c>
      <c r="U528" s="159">
        <v>1552</v>
      </c>
      <c r="V528" s="159">
        <v>4500</v>
      </c>
      <c r="W528" s="159">
        <v>186</v>
      </c>
      <c r="X528" s="159">
        <v>120</v>
      </c>
      <c r="Y528" s="159">
        <v>1500</v>
      </c>
      <c r="Z528" s="159">
        <v>2090</v>
      </c>
      <c r="AA528" s="159">
        <v>0</v>
      </c>
      <c r="AB528" s="159">
        <v>0</v>
      </c>
      <c r="AC528" s="159">
        <v>0</v>
      </c>
      <c r="AD528" s="207">
        <v>72413</v>
      </c>
      <c r="AE528" s="200">
        <v>13.552832225536497</v>
      </c>
      <c r="AF528" s="200">
        <v>13.99799201748599</v>
      </c>
      <c r="AG528" s="200">
        <v>12.893366417803257</v>
      </c>
      <c r="AH528" s="200">
        <v>0</v>
      </c>
      <c r="AI528" s="200">
        <v>0</v>
      </c>
      <c r="AJ528" s="200">
        <v>0</v>
      </c>
      <c r="AL528" s="197">
        <f t="shared" si="76"/>
        <v>83011.780637052099</v>
      </c>
      <c r="AM528" s="197" t="str">
        <f t="shared" si="77"/>
        <v>Box Medium 6</v>
      </c>
      <c r="AN528" s="3">
        <f t="shared" si="78"/>
        <v>18.069160951347801</v>
      </c>
      <c r="AO528" s="3">
        <f t="shared" si="79"/>
        <v>6.9745920709651319</v>
      </c>
      <c r="AP528" s="3">
        <f t="shared" si="80"/>
        <v>0</v>
      </c>
      <c r="AQ528" s="3">
        <f t="shared" si="72"/>
        <v>0</v>
      </c>
      <c r="AR528" s="3">
        <f t="shared" si="73"/>
        <v>6.9745920709651319</v>
      </c>
      <c r="AS528" s="81">
        <f t="shared" si="74"/>
        <v>1</v>
      </c>
      <c r="AT528" s="81">
        <f t="shared" si="75"/>
        <v>0</v>
      </c>
    </row>
    <row r="529" spans="1:46" x14ac:dyDescent="0.25">
      <c r="A529" t="s">
        <v>808</v>
      </c>
      <c r="B529">
        <v>2035</v>
      </c>
      <c r="C529" t="s">
        <v>680</v>
      </c>
      <c r="D529" t="s">
        <v>832</v>
      </c>
      <c r="E529" t="s">
        <v>1028</v>
      </c>
      <c r="F529">
        <v>6</v>
      </c>
      <c r="G529" t="s">
        <v>2264</v>
      </c>
      <c r="H529" s="460">
        <v>5080.0482249061233</v>
      </c>
      <c r="I529">
        <v>2600</v>
      </c>
      <c r="J529">
        <v>119.99999997072871</v>
      </c>
      <c r="K529" s="67">
        <v>132.56550000000001</v>
      </c>
      <c r="L529" s="159">
        <v>0</v>
      </c>
      <c r="M529" s="159">
        <v>10915</v>
      </c>
      <c r="N529" s="159">
        <v>220</v>
      </c>
      <c r="O529" s="159">
        <v>0</v>
      </c>
      <c r="P529" s="159">
        <v>3141</v>
      </c>
      <c r="Q529" s="159">
        <v>1500</v>
      </c>
      <c r="R529" s="159">
        <v>2000</v>
      </c>
      <c r="S529" s="159">
        <v>41373</v>
      </c>
      <c r="T529" s="159">
        <v>1997</v>
      </c>
      <c r="U529" s="159">
        <v>21210</v>
      </c>
      <c r="V529" s="159">
        <v>4500</v>
      </c>
      <c r="W529" s="159">
        <v>186</v>
      </c>
      <c r="X529" s="159">
        <v>0</v>
      </c>
      <c r="Y529" s="159">
        <v>1500</v>
      </c>
      <c r="Z529" s="159">
        <v>3470</v>
      </c>
      <c r="AA529" s="159">
        <v>0</v>
      </c>
      <c r="AB529" s="159">
        <v>0</v>
      </c>
      <c r="AC529" s="159">
        <v>0</v>
      </c>
      <c r="AD529" s="207">
        <v>92012</v>
      </c>
      <c r="AE529" s="200">
        <v>16.108158732964945</v>
      </c>
      <c r="AF529" s="200">
        <v>15.609941612012484</v>
      </c>
      <c r="AG529" s="200">
        <v>13.008795420275971</v>
      </c>
      <c r="AH529" s="200">
        <v>910</v>
      </c>
      <c r="AI529" s="200">
        <v>930</v>
      </c>
      <c r="AJ529" s="200">
        <v>1159</v>
      </c>
      <c r="AL529" s="197">
        <f t="shared" si="76"/>
        <v>105479.40231693808</v>
      </c>
      <c r="AM529" s="197" t="str">
        <f t="shared" si="77"/>
        <v>Box Medium 6</v>
      </c>
      <c r="AN529" s="3">
        <f t="shared" si="78"/>
        <v>3.5272244064345721</v>
      </c>
      <c r="AO529" s="3">
        <f t="shared" si="79"/>
        <v>1.3614883083875706</v>
      </c>
      <c r="AP529" s="3">
        <f t="shared" si="80"/>
        <v>55.970273528278668</v>
      </c>
      <c r="AQ529" s="3">
        <f t="shared" si="72"/>
        <v>2.0149298470180321</v>
      </c>
      <c r="AR529" s="3">
        <f t="shared" si="73"/>
        <v>3.3764181554056028</v>
      </c>
      <c r="AS529" s="81">
        <f t="shared" si="74"/>
        <v>0.4032345064274237</v>
      </c>
      <c r="AT529" s="81">
        <f t="shared" si="75"/>
        <v>0.59676549357257624</v>
      </c>
    </row>
    <row r="530" spans="1:46" x14ac:dyDescent="0.25">
      <c r="A530" t="s">
        <v>808</v>
      </c>
      <c r="B530">
        <v>2035</v>
      </c>
      <c r="C530" t="s">
        <v>680</v>
      </c>
      <c r="D530" t="s">
        <v>832</v>
      </c>
      <c r="E530" t="s">
        <v>1028</v>
      </c>
      <c r="F530">
        <v>6</v>
      </c>
      <c r="G530" t="s">
        <v>2265</v>
      </c>
      <c r="H530" s="460">
        <v>5009.3223769378064</v>
      </c>
      <c r="I530">
        <v>2600</v>
      </c>
      <c r="J530">
        <v>119.99999997072871</v>
      </c>
      <c r="K530" s="67">
        <v>132.56550000000001</v>
      </c>
      <c r="L530" s="159">
        <v>0</v>
      </c>
      <c r="M530" s="159">
        <v>8538</v>
      </c>
      <c r="N530" s="159">
        <v>220</v>
      </c>
      <c r="O530" s="159">
        <v>0</v>
      </c>
      <c r="P530" s="159">
        <v>3141</v>
      </c>
      <c r="Q530" s="159">
        <v>1500</v>
      </c>
      <c r="R530" s="159">
        <v>2000</v>
      </c>
      <c r="S530" s="159">
        <v>41373</v>
      </c>
      <c r="T530" s="159">
        <v>1997</v>
      </c>
      <c r="U530" s="159">
        <v>21210</v>
      </c>
      <c r="V530" s="159">
        <v>4500</v>
      </c>
      <c r="W530" s="159">
        <v>186</v>
      </c>
      <c r="X530" s="159">
        <v>0</v>
      </c>
      <c r="Y530" s="159">
        <v>1500</v>
      </c>
      <c r="Z530" s="159">
        <v>3470</v>
      </c>
      <c r="AA530" s="159">
        <v>0</v>
      </c>
      <c r="AB530" s="159">
        <v>0</v>
      </c>
      <c r="AC530" s="159">
        <v>0</v>
      </c>
      <c r="AD530" s="207">
        <v>89635</v>
      </c>
      <c r="AE530" s="200">
        <v>12.88277366671203</v>
      </c>
      <c r="AF530" s="200">
        <v>12.550985483097341</v>
      </c>
      <c r="AG530" s="200">
        <v>10.502439354845551</v>
      </c>
      <c r="AH530" s="200">
        <v>906</v>
      </c>
      <c r="AI530" s="200">
        <v>927</v>
      </c>
      <c r="AJ530" s="200">
        <v>1156</v>
      </c>
      <c r="AL530" s="197">
        <f t="shared" si="76"/>
        <v>102754.49100855045</v>
      </c>
      <c r="AM530" s="197" t="str">
        <f t="shared" si="77"/>
        <v>Box Medium 6</v>
      </c>
      <c r="AN530" s="3">
        <f t="shared" si="78"/>
        <v>4.3720676946747252</v>
      </c>
      <c r="AO530" s="3">
        <f t="shared" si="79"/>
        <v>1.6875929523847981</v>
      </c>
      <c r="AP530" s="3">
        <f t="shared" si="80"/>
        <v>55.818658580536116</v>
      </c>
      <c r="AQ530" s="3">
        <f t="shared" si="72"/>
        <v>2.0094717088993002</v>
      </c>
      <c r="AR530" s="3">
        <f t="shared" si="73"/>
        <v>3.6970646612840983</v>
      </c>
      <c r="AS530" s="81">
        <f t="shared" si="74"/>
        <v>0.45646833555749816</v>
      </c>
      <c r="AT530" s="81">
        <f t="shared" si="75"/>
        <v>0.54353166444250178</v>
      </c>
    </row>
    <row r="531" spans="1:46" x14ac:dyDescent="0.25">
      <c r="A531" t="s">
        <v>230</v>
      </c>
      <c r="B531">
        <v>2035</v>
      </c>
      <c r="C531" t="s">
        <v>680</v>
      </c>
      <c r="D531" t="s">
        <v>832</v>
      </c>
      <c r="E531" t="s">
        <v>1028</v>
      </c>
      <c r="F531">
        <v>6</v>
      </c>
      <c r="G531" t="s">
        <v>2266</v>
      </c>
      <c r="H531" s="460">
        <v>4776.7775285807402</v>
      </c>
      <c r="I531">
        <v>2600</v>
      </c>
      <c r="J531">
        <v>150.00000001001371</v>
      </c>
      <c r="K531" s="67">
        <v>166.82400000000001</v>
      </c>
      <c r="L531" s="159">
        <v>0</v>
      </c>
      <c r="M531" s="159">
        <v>0</v>
      </c>
      <c r="N531" s="159">
        <v>0</v>
      </c>
      <c r="O531" s="159">
        <v>0</v>
      </c>
      <c r="P531" s="159">
        <v>2687</v>
      </c>
      <c r="Q531" s="159">
        <v>1500</v>
      </c>
      <c r="R531" s="159">
        <v>2000</v>
      </c>
      <c r="S531" s="159">
        <v>41373</v>
      </c>
      <c r="T531" s="159">
        <v>0</v>
      </c>
      <c r="U531" s="159">
        <v>26692</v>
      </c>
      <c r="V531" s="159">
        <v>4500</v>
      </c>
      <c r="W531" s="159">
        <v>186</v>
      </c>
      <c r="X531" s="159">
        <v>0</v>
      </c>
      <c r="Y531" s="159">
        <v>1500</v>
      </c>
      <c r="Z531" s="159">
        <v>2860</v>
      </c>
      <c r="AA531" s="159">
        <v>0</v>
      </c>
      <c r="AB531" s="159">
        <v>0</v>
      </c>
      <c r="AC531" s="159">
        <v>0</v>
      </c>
      <c r="AD531" s="207">
        <v>83298</v>
      </c>
      <c r="AE531" s="200">
        <v>0</v>
      </c>
      <c r="AF531" s="200">
        <v>0</v>
      </c>
      <c r="AG531" s="200">
        <v>0</v>
      </c>
      <c r="AH531" s="200">
        <v>868</v>
      </c>
      <c r="AI531" s="200">
        <v>880</v>
      </c>
      <c r="AJ531" s="200">
        <v>1076</v>
      </c>
      <c r="AL531" s="197">
        <f t="shared" si="76"/>
        <v>95489.971462377827</v>
      </c>
      <c r="AM531" s="197" t="str">
        <f t="shared" si="77"/>
        <v>Box Medium 6</v>
      </c>
      <c r="AN531" s="3">
        <f t="shared" si="78"/>
        <v>0</v>
      </c>
      <c r="AO531" s="3">
        <f t="shared" si="79"/>
        <v>0</v>
      </c>
      <c r="AP531" s="3">
        <f t="shared" si="80"/>
        <v>65.117377309953142</v>
      </c>
      <c r="AQ531" s="3">
        <f t="shared" si="72"/>
        <v>2.344225583158313</v>
      </c>
      <c r="AR531" s="3">
        <f t="shared" si="73"/>
        <v>2.344225583158313</v>
      </c>
      <c r="AS531" s="81">
        <f t="shared" si="74"/>
        <v>0</v>
      </c>
      <c r="AT531" s="81">
        <f t="shared" si="75"/>
        <v>1</v>
      </c>
    </row>
    <row r="532" spans="1:46" x14ac:dyDescent="0.25">
      <c r="A532" t="s">
        <v>496</v>
      </c>
      <c r="B532">
        <v>2035</v>
      </c>
      <c r="C532" t="s">
        <v>680</v>
      </c>
      <c r="D532" t="s">
        <v>832</v>
      </c>
      <c r="E532" t="s">
        <v>1028</v>
      </c>
      <c r="F532">
        <v>6</v>
      </c>
      <c r="G532" t="s">
        <v>2267</v>
      </c>
      <c r="H532" s="460">
        <v>4350.660904049716</v>
      </c>
      <c r="I532">
        <v>2600</v>
      </c>
      <c r="J532">
        <v>150.00000001001371</v>
      </c>
      <c r="K532" s="67">
        <v>4.5619199999999998</v>
      </c>
      <c r="L532" s="159">
        <v>0</v>
      </c>
      <c r="M532" s="159">
        <v>0</v>
      </c>
      <c r="N532" s="159">
        <v>0</v>
      </c>
      <c r="O532" s="159">
        <v>0</v>
      </c>
      <c r="P532" s="159">
        <v>2858</v>
      </c>
      <c r="Q532" s="159">
        <v>1500</v>
      </c>
      <c r="R532" s="159">
        <v>2000</v>
      </c>
      <c r="S532" s="159">
        <v>41373</v>
      </c>
      <c r="T532" s="159">
        <v>0</v>
      </c>
      <c r="U532" s="159">
        <v>1552</v>
      </c>
      <c r="V532" s="159">
        <v>4500</v>
      </c>
      <c r="W532" s="159">
        <v>186</v>
      </c>
      <c r="X532" s="159">
        <v>0</v>
      </c>
      <c r="Y532" s="159">
        <v>1500</v>
      </c>
      <c r="Z532" s="159">
        <v>3089</v>
      </c>
      <c r="AA532" s="159">
        <v>13019</v>
      </c>
      <c r="AB532" s="159">
        <v>5437</v>
      </c>
      <c r="AC532" s="159">
        <v>0</v>
      </c>
      <c r="AD532" s="207">
        <v>77014</v>
      </c>
      <c r="AE532" s="200">
        <v>24.811966315104311</v>
      </c>
      <c r="AF532" s="200">
        <v>24.971790522500555</v>
      </c>
      <c r="AG532" s="200">
        <v>19.86161153112382</v>
      </c>
      <c r="AH532" s="200">
        <v>0</v>
      </c>
      <c r="AI532" s="200">
        <v>0</v>
      </c>
      <c r="AJ532" s="200">
        <v>0</v>
      </c>
      <c r="AL532" s="197">
        <f t="shared" si="76"/>
        <v>88286.209299185648</v>
      </c>
      <c r="AM532" s="197" t="str">
        <f t="shared" si="77"/>
        <v>Box Medium 6</v>
      </c>
      <c r="AN532" s="3">
        <f t="shared" si="78"/>
        <v>11.506448848425938</v>
      </c>
      <c r="AO532" s="3">
        <f t="shared" si="79"/>
        <v>4.4414229924279507</v>
      </c>
      <c r="AP532" s="3">
        <f t="shared" si="80"/>
        <v>0</v>
      </c>
      <c r="AQ532" s="3">
        <f t="shared" si="72"/>
        <v>0</v>
      </c>
      <c r="AR532" s="3">
        <f t="shared" si="73"/>
        <v>4.4414229924279507</v>
      </c>
      <c r="AS532" s="81">
        <f t="shared" si="74"/>
        <v>1</v>
      </c>
      <c r="AT532" s="81">
        <f t="shared" si="75"/>
        <v>0</v>
      </c>
    </row>
    <row r="533" spans="1:46" x14ac:dyDescent="0.25">
      <c r="A533" t="s">
        <v>828</v>
      </c>
      <c r="B533">
        <v>2035</v>
      </c>
      <c r="C533" t="s">
        <v>680</v>
      </c>
      <c r="D533" t="s">
        <v>832</v>
      </c>
      <c r="E533" t="s">
        <v>1028</v>
      </c>
      <c r="F533">
        <v>6</v>
      </c>
      <c r="G533" t="s">
        <v>2268</v>
      </c>
      <c r="H533" s="460">
        <v>4420.7327166070208</v>
      </c>
      <c r="I533">
        <v>2600</v>
      </c>
      <c r="J533">
        <v>150.00000001001371</v>
      </c>
      <c r="K533" s="67">
        <v>39.47175</v>
      </c>
      <c r="L533" s="159">
        <v>0</v>
      </c>
      <c r="M533" s="159">
        <v>0</v>
      </c>
      <c r="N533" s="159">
        <v>0</v>
      </c>
      <c r="O533" s="159">
        <v>0</v>
      </c>
      <c r="P533" s="159">
        <v>3314</v>
      </c>
      <c r="Q533" s="159">
        <v>1500</v>
      </c>
      <c r="R533" s="159">
        <v>2000</v>
      </c>
      <c r="S533" s="159">
        <v>41373</v>
      </c>
      <c r="T533" s="159">
        <v>0</v>
      </c>
      <c r="U533" s="159">
        <v>6315</v>
      </c>
      <c r="V533" s="159">
        <v>4500</v>
      </c>
      <c r="W533" s="159">
        <v>186</v>
      </c>
      <c r="X533" s="159">
        <v>0</v>
      </c>
      <c r="Y533" s="159">
        <v>1500</v>
      </c>
      <c r="Z533" s="159">
        <v>3704</v>
      </c>
      <c r="AA533" s="159">
        <v>7146</v>
      </c>
      <c r="AB533" s="159">
        <v>3789</v>
      </c>
      <c r="AC533" s="159">
        <v>0</v>
      </c>
      <c r="AD533" s="207">
        <v>75327</v>
      </c>
      <c r="AE533" s="200">
        <v>24.749603087820859</v>
      </c>
      <c r="AF533" s="200">
        <v>23.562814370554754</v>
      </c>
      <c r="AG533" s="200">
        <v>18.92981204513066</v>
      </c>
      <c r="AH533" s="200">
        <v>0</v>
      </c>
      <c r="AI533" s="200">
        <v>0</v>
      </c>
      <c r="AJ533" s="200">
        <v>0</v>
      </c>
      <c r="AL533" s="197">
        <f t="shared" si="76"/>
        <v>86352.290335260564</v>
      </c>
      <c r="AM533" s="197" t="str">
        <f t="shared" si="77"/>
        <v>Box Medium 6</v>
      </c>
      <c r="AN533" s="3">
        <f t="shared" si="78"/>
        <v>12.059666566712041</v>
      </c>
      <c r="AO533" s="3">
        <f t="shared" si="79"/>
        <v>4.654961845829324</v>
      </c>
      <c r="AP533" s="3">
        <f t="shared" si="80"/>
        <v>0</v>
      </c>
      <c r="AQ533" s="3">
        <f t="shared" si="72"/>
        <v>0</v>
      </c>
      <c r="AR533" s="3">
        <f t="shared" si="73"/>
        <v>4.654961845829324</v>
      </c>
      <c r="AS533" s="81">
        <f t="shared" si="74"/>
        <v>1</v>
      </c>
      <c r="AT533" s="81">
        <f t="shared" si="75"/>
        <v>0</v>
      </c>
    </row>
    <row r="534" spans="1:46" x14ac:dyDescent="0.25">
      <c r="A534" t="s">
        <v>805</v>
      </c>
      <c r="B534">
        <v>2050</v>
      </c>
      <c r="C534" t="s">
        <v>680</v>
      </c>
      <c r="D534" t="s">
        <v>832</v>
      </c>
      <c r="E534" t="s">
        <v>1028</v>
      </c>
      <c r="F534">
        <v>6</v>
      </c>
      <c r="G534" t="s">
        <v>2269</v>
      </c>
      <c r="H534" s="460">
        <v>4466.5679971135978</v>
      </c>
      <c r="I534">
        <v>2600</v>
      </c>
      <c r="J534">
        <v>0</v>
      </c>
      <c r="K534" s="67">
        <v>0</v>
      </c>
      <c r="L534" s="159">
        <v>150</v>
      </c>
      <c r="M534" s="159">
        <v>15257</v>
      </c>
      <c r="N534" s="159">
        <v>1920</v>
      </c>
      <c r="O534" s="159">
        <v>506</v>
      </c>
      <c r="P534" s="159">
        <v>4258</v>
      </c>
      <c r="Q534" s="159">
        <v>1500</v>
      </c>
      <c r="R534" s="159">
        <v>2000</v>
      </c>
      <c r="S534" s="159">
        <v>41482</v>
      </c>
      <c r="T534" s="159">
        <v>44</v>
      </c>
      <c r="U534" s="159">
        <v>120</v>
      </c>
      <c r="V534" s="159">
        <v>0</v>
      </c>
      <c r="W534" s="159">
        <v>186</v>
      </c>
      <c r="X534" s="159">
        <v>0</v>
      </c>
      <c r="Y534" s="159">
        <v>0</v>
      </c>
      <c r="Z534" s="159">
        <v>0</v>
      </c>
      <c r="AA534" s="159">
        <v>0</v>
      </c>
      <c r="AB534" s="159">
        <v>0</v>
      </c>
      <c r="AC534" s="159">
        <v>0</v>
      </c>
      <c r="AD534" s="207">
        <v>67423</v>
      </c>
      <c r="AE534" s="200">
        <v>13.704431381398837</v>
      </c>
      <c r="AF534" s="200">
        <v>20.270836079902363</v>
      </c>
      <c r="AG534" s="200">
        <v>18.265646357095484</v>
      </c>
      <c r="AH534" s="200">
        <v>0</v>
      </c>
      <c r="AI534" s="200">
        <v>0</v>
      </c>
      <c r="AJ534" s="200">
        <v>0</v>
      </c>
      <c r="AL534" s="197">
        <f t="shared" si="76"/>
        <v>77291.415711156325</v>
      </c>
      <c r="AM534" s="197" t="str">
        <f t="shared" si="77"/>
        <v>Box Medium 6</v>
      </c>
      <c r="AN534" s="3">
        <f t="shared" si="78"/>
        <v>12.977112813782316</v>
      </c>
      <c r="AO534" s="3">
        <f t="shared" si="79"/>
        <v>5.0090908138307828</v>
      </c>
      <c r="AP534" s="3">
        <f t="shared" si="80"/>
        <v>0</v>
      </c>
      <c r="AQ534" s="3">
        <f t="shared" si="72"/>
        <v>0</v>
      </c>
      <c r="AR534" s="3">
        <f t="shared" si="73"/>
        <v>5.0090908138307828</v>
      </c>
      <c r="AS534" s="81">
        <f t="shared" si="74"/>
        <v>1</v>
      </c>
      <c r="AT534" s="81">
        <f t="shared" si="75"/>
        <v>0</v>
      </c>
    </row>
    <row r="535" spans="1:46" x14ac:dyDescent="0.25">
      <c r="A535" t="s">
        <v>805</v>
      </c>
      <c r="B535">
        <v>2050</v>
      </c>
      <c r="C535" t="s">
        <v>680</v>
      </c>
      <c r="D535" t="s">
        <v>832</v>
      </c>
      <c r="E535" t="s">
        <v>1028</v>
      </c>
      <c r="F535">
        <v>6</v>
      </c>
      <c r="G535" t="s">
        <v>2270</v>
      </c>
      <c r="H535" s="460">
        <v>4308.4684896122753</v>
      </c>
      <c r="I535">
        <v>2600</v>
      </c>
      <c r="J535">
        <v>0</v>
      </c>
      <c r="K535" s="67">
        <v>0</v>
      </c>
      <c r="L535" s="159">
        <v>150</v>
      </c>
      <c r="M535" s="159">
        <v>21639</v>
      </c>
      <c r="N535" s="159">
        <v>1920</v>
      </c>
      <c r="O535" s="159">
        <v>506</v>
      </c>
      <c r="P535" s="159">
        <v>3292</v>
      </c>
      <c r="Q535" s="159">
        <v>1500</v>
      </c>
      <c r="R535" s="159">
        <v>2000</v>
      </c>
      <c r="S535" s="159">
        <v>41482</v>
      </c>
      <c r="T535" s="159">
        <v>44</v>
      </c>
      <c r="U535" s="159">
        <v>120</v>
      </c>
      <c r="V535" s="159">
        <v>0</v>
      </c>
      <c r="W535" s="159">
        <v>186</v>
      </c>
      <c r="X535" s="159">
        <v>0</v>
      </c>
      <c r="Y535" s="159">
        <v>0</v>
      </c>
      <c r="Z535" s="159">
        <v>0</v>
      </c>
      <c r="AA535" s="159">
        <v>0</v>
      </c>
      <c r="AB535" s="159">
        <v>0</v>
      </c>
      <c r="AC535" s="159">
        <v>0</v>
      </c>
      <c r="AD535" s="207">
        <v>72839</v>
      </c>
      <c r="AE535" s="200">
        <v>10.188540612970208</v>
      </c>
      <c r="AF535" s="200">
        <v>18.422676194346547</v>
      </c>
      <c r="AG535" s="200">
        <v>15.100419466465477</v>
      </c>
      <c r="AH535" s="200">
        <v>0</v>
      </c>
      <c r="AI535" s="200">
        <v>0</v>
      </c>
      <c r="AJ535" s="200">
        <v>0</v>
      </c>
      <c r="AL535" s="197">
        <f t="shared" si="76"/>
        <v>83500.132432328959</v>
      </c>
      <c r="AM535" s="197" t="str">
        <f t="shared" si="77"/>
        <v>Box Medium 6</v>
      </c>
      <c r="AN535" s="3">
        <f t="shared" si="78"/>
        <v>15.699390370580787</v>
      </c>
      <c r="AO535" s="3">
        <f t="shared" si="79"/>
        <v>6.059874273767627</v>
      </c>
      <c r="AP535" s="3">
        <f t="shared" si="80"/>
        <v>0</v>
      </c>
      <c r="AQ535" s="3">
        <f t="shared" si="72"/>
        <v>0</v>
      </c>
      <c r="AR535" s="3">
        <f t="shared" si="73"/>
        <v>6.059874273767627</v>
      </c>
      <c r="AS535" s="81">
        <f t="shared" si="74"/>
        <v>1</v>
      </c>
      <c r="AT535" s="81">
        <f t="shared" si="75"/>
        <v>0</v>
      </c>
    </row>
    <row r="536" spans="1:46" x14ac:dyDescent="0.25">
      <c r="A536" t="s">
        <v>807</v>
      </c>
      <c r="B536">
        <v>2050</v>
      </c>
      <c r="C536" t="s">
        <v>680</v>
      </c>
      <c r="D536" t="s">
        <v>832</v>
      </c>
      <c r="E536" t="s">
        <v>1028</v>
      </c>
      <c r="F536">
        <v>6</v>
      </c>
      <c r="G536" t="s">
        <v>2271</v>
      </c>
      <c r="H536" s="460">
        <v>4542.540473611748</v>
      </c>
      <c r="I536">
        <v>2600</v>
      </c>
      <c r="J536">
        <v>0</v>
      </c>
      <c r="K536" s="67">
        <v>4.4352000000000009</v>
      </c>
      <c r="L536" s="159">
        <v>150</v>
      </c>
      <c r="M536" s="159">
        <v>15301</v>
      </c>
      <c r="N536" s="159">
        <v>220</v>
      </c>
      <c r="O536" s="159">
        <v>392</v>
      </c>
      <c r="P536" s="159">
        <v>4271</v>
      </c>
      <c r="Q536" s="159">
        <v>1500</v>
      </c>
      <c r="R536" s="159">
        <v>2000</v>
      </c>
      <c r="S536" s="159">
        <v>41482</v>
      </c>
      <c r="T536" s="159">
        <v>0</v>
      </c>
      <c r="U536" s="159">
        <v>1425</v>
      </c>
      <c r="V536" s="159">
        <v>4500</v>
      </c>
      <c r="W536" s="159">
        <v>186</v>
      </c>
      <c r="X536" s="159">
        <v>120</v>
      </c>
      <c r="Y536" s="159">
        <v>1500</v>
      </c>
      <c r="Z536" s="159">
        <v>1621</v>
      </c>
      <c r="AA536" s="159">
        <v>0</v>
      </c>
      <c r="AB536" s="159">
        <v>0</v>
      </c>
      <c r="AC536" s="159">
        <v>0</v>
      </c>
      <c r="AD536" s="207">
        <v>74668</v>
      </c>
      <c r="AE536" s="200">
        <v>17.998658215992641</v>
      </c>
      <c r="AF536" s="200">
        <v>19.791011050859161</v>
      </c>
      <c r="AG536" s="200">
        <v>17.393305459104667</v>
      </c>
      <c r="AH536" s="200">
        <v>0</v>
      </c>
      <c r="AI536" s="200">
        <v>0</v>
      </c>
      <c r="AJ536" s="200">
        <v>0</v>
      </c>
      <c r="AL536" s="197">
        <f t="shared" si="76"/>
        <v>85596.83532801301</v>
      </c>
      <c r="AM536" s="197" t="str">
        <f t="shared" si="77"/>
        <v>Box Medium 6</v>
      </c>
      <c r="AN536" s="3">
        <f t="shared" si="78"/>
        <v>13.353118725738614</v>
      </c>
      <c r="AO536" s="3">
        <f t="shared" si="79"/>
        <v>5.154226930511995</v>
      </c>
      <c r="AP536" s="3">
        <f t="shared" si="80"/>
        <v>0</v>
      </c>
      <c r="AQ536" s="3">
        <f t="shared" si="72"/>
        <v>0</v>
      </c>
      <c r="AR536" s="3">
        <f t="shared" si="73"/>
        <v>5.154226930511995</v>
      </c>
      <c r="AS536" s="81">
        <f t="shared" si="74"/>
        <v>1</v>
      </c>
      <c r="AT536" s="81">
        <f t="shared" si="75"/>
        <v>0</v>
      </c>
    </row>
    <row r="537" spans="1:46" x14ac:dyDescent="0.25">
      <c r="A537" t="s">
        <v>807</v>
      </c>
      <c r="B537">
        <v>2050</v>
      </c>
      <c r="C537" t="s">
        <v>680</v>
      </c>
      <c r="D537" t="s">
        <v>832</v>
      </c>
      <c r="E537" t="s">
        <v>1028</v>
      </c>
      <c r="F537">
        <v>6</v>
      </c>
      <c r="G537" t="s">
        <v>2272</v>
      </c>
      <c r="H537" s="460">
        <v>4339.1662924533775</v>
      </c>
      <c r="I537">
        <v>2600</v>
      </c>
      <c r="J537">
        <v>0</v>
      </c>
      <c r="K537" s="67">
        <v>4.815360000000001</v>
      </c>
      <c r="L537" s="159">
        <v>150</v>
      </c>
      <c r="M537" s="159">
        <v>14155</v>
      </c>
      <c r="N537" s="159">
        <v>220</v>
      </c>
      <c r="O537" s="159">
        <v>392</v>
      </c>
      <c r="P537" s="159">
        <v>2719</v>
      </c>
      <c r="Q537" s="159">
        <v>1500</v>
      </c>
      <c r="R537" s="159">
        <v>2000</v>
      </c>
      <c r="S537" s="159">
        <v>41482</v>
      </c>
      <c r="T537" s="159">
        <v>0</v>
      </c>
      <c r="U537" s="159">
        <v>1547</v>
      </c>
      <c r="V537" s="159">
        <v>4500</v>
      </c>
      <c r="W537" s="159">
        <v>186</v>
      </c>
      <c r="X537" s="159">
        <v>120</v>
      </c>
      <c r="Y537" s="159">
        <v>1500</v>
      </c>
      <c r="Z537" s="159">
        <v>1500</v>
      </c>
      <c r="AA537" s="159">
        <v>0</v>
      </c>
      <c r="AB537" s="159">
        <v>0</v>
      </c>
      <c r="AC537" s="159">
        <v>0</v>
      </c>
      <c r="AD537" s="207">
        <v>71971</v>
      </c>
      <c r="AE537" s="200">
        <v>15.269205556028881</v>
      </c>
      <c r="AF537" s="200">
        <v>18.283531760753092</v>
      </c>
      <c r="AG537" s="200">
        <v>14.743157647708161</v>
      </c>
      <c r="AH537" s="200">
        <v>0</v>
      </c>
      <c r="AI537" s="200">
        <v>0</v>
      </c>
      <c r="AJ537" s="200">
        <v>0</v>
      </c>
      <c r="AL537" s="197">
        <f t="shared" si="76"/>
        <v>82505.086990309428</v>
      </c>
      <c r="AM537" s="197" t="str">
        <f t="shared" si="77"/>
        <v>Box Medium 6</v>
      </c>
      <c r="AN537" s="3">
        <f t="shared" si="78"/>
        <v>15.648667001551003</v>
      </c>
      <c r="AO537" s="3">
        <f t="shared" si="79"/>
        <v>6.0402953454266628</v>
      </c>
      <c r="AP537" s="3">
        <f t="shared" si="80"/>
        <v>0</v>
      </c>
      <c r="AQ537" s="3">
        <f t="shared" si="72"/>
        <v>0</v>
      </c>
      <c r="AR537" s="3">
        <f t="shared" si="73"/>
        <v>6.0402953454266628</v>
      </c>
      <c r="AS537" s="81">
        <f t="shared" si="74"/>
        <v>1</v>
      </c>
      <c r="AT537" s="81">
        <f t="shared" si="75"/>
        <v>0</v>
      </c>
    </row>
    <row r="538" spans="1:46" x14ac:dyDescent="0.25">
      <c r="A538" t="s">
        <v>808</v>
      </c>
      <c r="B538">
        <v>2050</v>
      </c>
      <c r="C538" t="s">
        <v>680</v>
      </c>
      <c r="D538" t="s">
        <v>832</v>
      </c>
      <c r="E538" t="s">
        <v>1028</v>
      </c>
      <c r="F538">
        <v>6</v>
      </c>
      <c r="G538" t="s">
        <v>2273</v>
      </c>
      <c r="H538" s="460">
        <v>4762.1126051718493</v>
      </c>
      <c r="I538">
        <v>2600</v>
      </c>
      <c r="J538">
        <v>119.99999997072871</v>
      </c>
      <c r="K538" s="67">
        <v>117.91875</v>
      </c>
      <c r="L538" s="159">
        <v>0</v>
      </c>
      <c r="M538" s="159">
        <v>10764</v>
      </c>
      <c r="N538" s="159">
        <v>220</v>
      </c>
      <c r="O538" s="159">
        <v>0</v>
      </c>
      <c r="P538" s="159">
        <v>3115</v>
      </c>
      <c r="Q538" s="159">
        <v>1500</v>
      </c>
      <c r="R538" s="159">
        <v>2000</v>
      </c>
      <c r="S538" s="159">
        <v>41482</v>
      </c>
      <c r="T538" s="159">
        <v>1289</v>
      </c>
      <c r="U538" s="159">
        <v>10613</v>
      </c>
      <c r="V538" s="159">
        <v>4500</v>
      </c>
      <c r="W538" s="159">
        <v>186</v>
      </c>
      <c r="X538" s="159">
        <v>0</v>
      </c>
      <c r="Y538" s="159">
        <v>1500</v>
      </c>
      <c r="Z538" s="159">
        <v>2506</v>
      </c>
      <c r="AA538" s="159">
        <v>0</v>
      </c>
      <c r="AB538" s="159">
        <v>0</v>
      </c>
      <c r="AC538" s="159">
        <v>0</v>
      </c>
      <c r="AD538" s="207">
        <v>79675</v>
      </c>
      <c r="AE538" s="200">
        <v>19.042151728001222</v>
      </c>
      <c r="AF538" s="200">
        <v>18.181508225970386</v>
      </c>
      <c r="AG538" s="200">
        <v>14.966194897091649</v>
      </c>
      <c r="AH538" s="200">
        <v>806</v>
      </c>
      <c r="AI538" s="200">
        <v>834</v>
      </c>
      <c r="AJ538" s="200">
        <v>1045</v>
      </c>
      <c r="AL538" s="197">
        <f t="shared" si="76"/>
        <v>91336.688471091184</v>
      </c>
      <c r="AM538" s="197" t="str">
        <f t="shared" si="77"/>
        <v>Box Medium 6</v>
      </c>
      <c r="AN538" s="3">
        <f t="shared" si="78"/>
        <v>3.0596158860882636</v>
      </c>
      <c r="AO538" s="3">
        <f t="shared" si="79"/>
        <v>1.1809941123867413</v>
      </c>
      <c r="AP538" s="3">
        <f t="shared" si="80"/>
        <v>50.408738986168245</v>
      </c>
      <c r="AQ538" s="3">
        <f t="shared" si="72"/>
        <v>1.8147146035020569</v>
      </c>
      <c r="AR538" s="3">
        <f t="shared" si="73"/>
        <v>2.9957087158887985</v>
      </c>
      <c r="AS538" s="81">
        <f t="shared" si="74"/>
        <v>0.39422861979968954</v>
      </c>
      <c r="AT538" s="81">
        <f t="shared" si="75"/>
        <v>0.60577138020031041</v>
      </c>
    </row>
    <row r="539" spans="1:46" x14ac:dyDescent="0.25">
      <c r="A539" t="s">
        <v>808</v>
      </c>
      <c r="B539">
        <v>2050</v>
      </c>
      <c r="C539" t="s">
        <v>680</v>
      </c>
      <c r="D539" t="s">
        <v>832</v>
      </c>
      <c r="E539" t="s">
        <v>1028</v>
      </c>
      <c r="F539">
        <v>6</v>
      </c>
      <c r="G539" t="s">
        <v>2274</v>
      </c>
      <c r="H539" s="460">
        <v>4697.6021351624649</v>
      </c>
      <c r="I539">
        <v>2600</v>
      </c>
      <c r="J539">
        <v>119.99999997072871</v>
      </c>
      <c r="K539" s="67">
        <v>117.91875</v>
      </c>
      <c r="L539" s="159">
        <v>0</v>
      </c>
      <c r="M539" s="159">
        <v>8644</v>
      </c>
      <c r="N539" s="159">
        <v>220</v>
      </c>
      <c r="O539" s="159">
        <v>0</v>
      </c>
      <c r="P539" s="159">
        <v>3115</v>
      </c>
      <c r="Q539" s="159">
        <v>1500</v>
      </c>
      <c r="R539" s="159">
        <v>2000</v>
      </c>
      <c r="S539" s="159">
        <v>41482</v>
      </c>
      <c r="T539" s="159">
        <v>1289</v>
      </c>
      <c r="U539" s="159">
        <v>10613</v>
      </c>
      <c r="V539" s="159">
        <v>4500</v>
      </c>
      <c r="W539" s="159">
        <v>186</v>
      </c>
      <c r="X539" s="159">
        <v>0</v>
      </c>
      <c r="Y539" s="159">
        <v>1500</v>
      </c>
      <c r="Z539" s="159">
        <v>2506</v>
      </c>
      <c r="AA539" s="159">
        <v>0</v>
      </c>
      <c r="AB539" s="159">
        <v>0</v>
      </c>
      <c r="AC539" s="159">
        <v>0</v>
      </c>
      <c r="AD539" s="207">
        <v>77555</v>
      </c>
      <c r="AE539" s="200">
        <v>15.313478931859359</v>
      </c>
      <c r="AF539" s="200">
        <v>14.675794262366372</v>
      </c>
      <c r="AG539" s="200">
        <v>12.108131078945084</v>
      </c>
      <c r="AH539" s="200">
        <v>802</v>
      </c>
      <c r="AI539" s="200">
        <v>832</v>
      </c>
      <c r="AJ539" s="200">
        <v>1043</v>
      </c>
      <c r="AL539" s="197">
        <f t="shared" si="76"/>
        <v>88906.393151872937</v>
      </c>
      <c r="AM539" s="197" t="str">
        <f t="shared" si="77"/>
        <v>Box Medium 6</v>
      </c>
      <c r="AN539" s="3">
        <f t="shared" si="78"/>
        <v>3.7834020503171133</v>
      </c>
      <c r="AO539" s="3">
        <f t="shared" si="79"/>
        <v>1.4603714036564976</v>
      </c>
      <c r="AP539" s="3">
        <f t="shared" si="80"/>
        <v>50.304348366411077</v>
      </c>
      <c r="AQ539" s="3">
        <f t="shared" si="72"/>
        <v>1.8109565411907989</v>
      </c>
      <c r="AR539" s="3">
        <f t="shared" si="73"/>
        <v>3.2713279448472967</v>
      </c>
      <c r="AS539" s="81">
        <f t="shared" si="74"/>
        <v>0.44641547049929498</v>
      </c>
      <c r="AT539" s="81">
        <f t="shared" si="75"/>
        <v>0.55358452950070491</v>
      </c>
    </row>
    <row r="540" spans="1:46" x14ac:dyDescent="0.25">
      <c r="A540" t="s">
        <v>230</v>
      </c>
      <c r="B540">
        <v>2050</v>
      </c>
      <c r="C540" t="s">
        <v>680</v>
      </c>
      <c r="D540" t="s">
        <v>832</v>
      </c>
      <c r="E540" t="s">
        <v>1028</v>
      </c>
      <c r="F540">
        <v>6</v>
      </c>
      <c r="G540" t="s">
        <v>2275</v>
      </c>
      <c r="H540" s="460">
        <v>4457.7918508871735</v>
      </c>
      <c r="I540">
        <v>2600</v>
      </c>
      <c r="J540">
        <v>150.00000001001371</v>
      </c>
      <c r="K540" s="67">
        <v>158.13525000000001</v>
      </c>
      <c r="L540" s="159">
        <v>0</v>
      </c>
      <c r="M540" s="159">
        <v>0</v>
      </c>
      <c r="N540" s="159">
        <v>0</v>
      </c>
      <c r="O540" s="159">
        <v>0</v>
      </c>
      <c r="P540" s="159">
        <v>2657</v>
      </c>
      <c r="Q540" s="159">
        <v>1500</v>
      </c>
      <c r="R540" s="159">
        <v>2000</v>
      </c>
      <c r="S540" s="159">
        <v>41482</v>
      </c>
      <c r="T540" s="159">
        <v>0</v>
      </c>
      <c r="U540" s="159">
        <v>14232</v>
      </c>
      <c r="V540" s="159">
        <v>4500</v>
      </c>
      <c r="W540" s="159">
        <v>186</v>
      </c>
      <c r="X540" s="159">
        <v>0</v>
      </c>
      <c r="Y540" s="159">
        <v>1500</v>
      </c>
      <c r="Z540" s="159">
        <v>2053</v>
      </c>
      <c r="AA540" s="159">
        <v>0</v>
      </c>
      <c r="AB540" s="159">
        <v>0</v>
      </c>
      <c r="AC540" s="159">
        <v>0</v>
      </c>
      <c r="AD540" s="207">
        <v>70110</v>
      </c>
      <c r="AE540" s="200">
        <v>0</v>
      </c>
      <c r="AF540" s="200">
        <v>0</v>
      </c>
      <c r="AG540" s="200">
        <v>0</v>
      </c>
      <c r="AH540" s="200">
        <v>764</v>
      </c>
      <c r="AI540" s="200">
        <v>787</v>
      </c>
      <c r="AJ540" s="200">
        <v>965</v>
      </c>
      <c r="AL540" s="197">
        <f t="shared" si="76"/>
        <v>80371.700391693783</v>
      </c>
      <c r="AM540" s="197" t="str">
        <f t="shared" si="77"/>
        <v>Box Medium 6</v>
      </c>
      <c r="AN540" s="3">
        <f t="shared" si="78"/>
        <v>0</v>
      </c>
      <c r="AO540" s="3">
        <f t="shared" si="79"/>
        <v>0</v>
      </c>
      <c r="AP540" s="3">
        <f t="shared" si="80"/>
        <v>58.342550362260305</v>
      </c>
      <c r="AQ540" s="3">
        <f t="shared" si="72"/>
        <v>2.1003318130413708</v>
      </c>
      <c r="AR540" s="3">
        <f t="shared" si="73"/>
        <v>2.1003318130413708</v>
      </c>
      <c r="AS540" s="81">
        <f t="shared" si="74"/>
        <v>0</v>
      </c>
      <c r="AT540" s="81">
        <f t="shared" si="75"/>
        <v>1</v>
      </c>
    </row>
    <row r="541" spans="1:46" x14ac:dyDescent="0.25">
      <c r="A541" t="s">
        <v>496</v>
      </c>
      <c r="B541">
        <v>2050</v>
      </c>
      <c r="C541" t="s">
        <v>680</v>
      </c>
      <c r="D541" t="s">
        <v>832</v>
      </c>
      <c r="E541" t="s">
        <v>1028</v>
      </c>
      <c r="F541">
        <v>6</v>
      </c>
      <c r="G541" t="s">
        <v>2276</v>
      </c>
      <c r="H541" s="460">
        <v>4232.5177179469993</v>
      </c>
      <c r="I541">
        <v>2600</v>
      </c>
      <c r="J541">
        <v>150.00000001001371</v>
      </c>
      <c r="K541" s="67">
        <v>4.5144000000000011</v>
      </c>
      <c r="L541" s="159">
        <v>0</v>
      </c>
      <c r="M541" s="159">
        <v>0</v>
      </c>
      <c r="N541" s="159">
        <v>0</v>
      </c>
      <c r="O541" s="159">
        <v>0</v>
      </c>
      <c r="P541" s="159">
        <v>2832</v>
      </c>
      <c r="Q541" s="159">
        <v>1500</v>
      </c>
      <c r="R541" s="159">
        <v>2000</v>
      </c>
      <c r="S541" s="159">
        <v>41482</v>
      </c>
      <c r="T541" s="159">
        <v>0</v>
      </c>
      <c r="U541" s="159">
        <v>1450</v>
      </c>
      <c r="V541" s="159">
        <v>4500</v>
      </c>
      <c r="W541" s="159">
        <v>186</v>
      </c>
      <c r="X541" s="159">
        <v>0</v>
      </c>
      <c r="Y541" s="159">
        <v>1500</v>
      </c>
      <c r="Z541" s="159">
        <v>2226</v>
      </c>
      <c r="AA541" s="159">
        <v>10821</v>
      </c>
      <c r="AB541" s="159">
        <v>3226</v>
      </c>
      <c r="AC541" s="159">
        <v>0</v>
      </c>
      <c r="AD541" s="207">
        <v>71723</v>
      </c>
      <c r="AE541" s="200">
        <v>27.959599450802553</v>
      </c>
      <c r="AF541" s="200">
        <v>28.267949610038407</v>
      </c>
      <c r="AG541" s="200">
        <v>22.488268244498371</v>
      </c>
      <c r="AH541" s="200">
        <v>0</v>
      </c>
      <c r="AI541" s="200">
        <v>0</v>
      </c>
      <c r="AJ541" s="200">
        <v>0</v>
      </c>
      <c r="AL541" s="197">
        <f t="shared" si="76"/>
        <v>82220.788292589554</v>
      </c>
      <c r="AM541" s="197" t="str">
        <f t="shared" si="77"/>
        <v>Box Medium 6</v>
      </c>
      <c r="AN541" s="3">
        <f t="shared" si="78"/>
        <v>10.164650718617674</v>
      </c>
      <c r="AO541" s="3">
        <f t="shared" si="79"/>
        <v>3.9234966414371759</v>
      </c>
      <c r="AP541" s="3">
        <f t="shared" si="80"/>
        <v>0</v>
      </c>
      <c r="AQ541" s="3">
        <f t="shared" si="72"/>
        <v>0</v>
      </c>
      <c r="AR541" s="3">
        <f t="shared" si="73"/>
        <v>3.9234966414371759</v>
      </c>
      <c r="AS541" s="81">
        <f t="shared" si="74"/>
        <v>1</v>
      </c>
      <c r="AT541" s="81">
        <f t="shared" si="75"/>
        <v>0</v>
      </c>
    </row>
    <row r="542" spans="1:46" x14ac:dyDescent="0.25">
      <c r="A542" t="s">
        <v>828</v>
      </c>
      <c r="B542">
        <v>2050</v>
      </c>
      <c r="C542" t="s">
        <v>680</v>
      </c>
      <c r="D542" t="s">
        <v>832</v>
      </c>
      <c r="E542" t="s">
        <v>1028</v>
      </c>
      <c r="F542">
        <v>6</v>
      </c>
      <c r="G542" t="s">
        <v>2277</v>
      </c>
      <c r="H542" s="460">
        <v>4248.6700357853233</v>
      </c>
      <c r="I542">
        <v>2600</v>
      </c>
      <c r="J542">
        <v>150.00000001001371</v>
      </c>
      <c r="K542" s="67">
        <v>39.47175</v>
      </c>
      <c r="L542" s="159">
        <v>0</v>
      </c>
      <c r="M542" s="159">
        <v>0</v>
      </c>
      <c r="N542" s="159">
        <v>0</v>
      </c>
      <c r="O542" s="159">
        <v>0</v>
      </c>
      <c r="P542" s="159">
        <v>3282</v>
      </c>
      <c r="Q542" s="159">
        <v>1500</v>
      </c>
      <c r="R542" s="159">
        <v>2000</v>
      </c>
      <c r="S542" s="159">
        <v>41482</v>
      </c>
      <c r="T542" s="159">
        <v>0</v>
      </c>
      <c r="U542" s="159">
        <v>3552</v>
      </c>
      <c r="V542" s="159">
        <v>4500</v>
      </c>
      <c r="W542" s="159">
        <v>186</v>
      </c>
      <c r="X542" s="159">
        <v>0</v>
      </c>
      <c r="Y542" s="159">
        <v>1500</v>
      </c>
      <c r="Z542" s="159">
        <v>2671</v>
      </c>
      <c r="AA542" s="159">
        <v>5455</v>
      </c>
      <c r="AB542" s="159">
        <v>2122</v>
      </c>
      <c r="AC542" s="159">
        <v>0</v>
      </c>
      <c r="AD542" s="207">
        <v>68250</v>
      </c>
      <c r="AE542" s="200">
        <v>28.05257036132539</v>
      </c>
      <c r="AF542" s="200">
        <v>26.566789532428757</v>
      </c>
      <c r="AG542" s="200">
        <v>21.316857927113002</v>
      </c>
      <c r="AH542" s="200">
        <v>0</v>
      </c>
      <c r="AI542" s="200">
        <v>0</v>
      </c>
      <c r="AJ542" s="200">
        <v>0</v>
      </c>
      <c r="AL542" s="197">
        <f t="shared" si="76"/>
        <v>78239.460158794769</v>
      </c>
      <c r="AM542" s="197" t="str">
        <f t="shared" si="77"/>
        <v>Box Medium 6</v>
      </c>
      <c r="AN542" s="3">
        <f t="shared" si="78"/>
        <v>10.705513401424561</v>
      </c>
      <c r="AO542" s="3">
        <f t="shared" si="79"/>
        <v>4.1322665222934569</v>
      </c>
      <c r="AP542" s="3">
        <f t="shared" si="80"/>
        <v>0</v>
      </c>
      <c r="AQ542" s="3">
        <f t="shared" si="72"/>
        <v>0</v>
      </c>
      <c r="AR542" s="3">
        <f t="shared" si="73"/>
        <v>4.1322665222934569</v>
      </c>
      <c r="AS542" s="81">
        <f t="shared" si="74"/>
        <v>1</v>
      </c>
      <c r="AT542" s="81">
        <f t="shared" si="75"/>
        <v>0</v>
      </c>
    </row>
    <row r="543" spans="1:46" x14ac:dyDescent="0.25">
      <c r="A543" t="s">
        <v>805</v>
      </c>
      <c r="B543">
        <v>2023</v>
      </c>
      <c r="C543" t="s">
        <v>680</v>
      </c>
      <c r="D543" t="s">
        <v>833</v>
      </c>
      <c r="E543" t="s">
        <v>2278</v>
      </c>
      <c r="F543">
        <v>7</v>
      </c>
      <c r="G543" t="s">
        <v>2279</v>
      </c>
      <c r="H543" s="460">
        <v>9721.9536661529382</v>
      </c>
      <c r="I543">
        <v>4204</v>
      </c>
      <c r="J543">
        <v>0</v>
      </c>
      <c r="K543" s="67">
        <v>0</v>
      </c>
      <c r="L543" s="159">
        <v>150</v>
      </c>
      <c r="M543" s="159">
        <v>19166</v>
      </c>
      <c r="N543" s="159">
        <v>1920</v>
      </c>
      <c r="O543" s="159">
        <v>392</v>
      </c>
      <c r="P543" s="159">
        <v>7300</v>
      </c>
      <c r="Q543" s="159">
        <v>1500</v>
      </c>
      <c r="R543" s="159">
        <v>2000</v>
      </c>
      <c r="S543" s="159">
        <v>62000</v>
      </c>
      <c r="T543" s="159">
        <v>246</v>
      </c>
      <c r="U543" s="159">
        <v>120</v>
      </c>
      <c r="V543" s="159">
        <v>0</v>
      </c>
      <c r="W543" s="159">
        <v>186</v>
      </c>
      <c r="X543" s="159">
        <v>0</v>
      </c>
      <c r="Y543" s="159">
        <v>0</v>
      </c>
      <c r="Z543" s="159">
        <v>0</v>
      </c>
      <c r="AA543" s="159">
        <v>0</v>
      </c>
      <c r="AB543" s="159">
        <v>0</v>
      </c>
      <c r="AC543" s="159">
        <v>1500</v>
      </c>
      <c r="AD543" s="207">
        <v>96480</v>
      </c>
      <c r="AE543" s="200">
        <v>7.5243025397433243</v>
      </c>
      <c r="AF543" s="200">
        <v>9.626417069453904</v>
      </c>
      <c r="AG543" s="200">
        <v>8.1500905601171763</v>
      </c>
      <c r="AH543" s="200">
        <v>0</v>
      </c>
      <c r="AI543" s="200">
        <v>0</v>
      </c>
      <c r="AJ543" s="200">
        <v>0</v>
      </c>
      <c r="AL543" s="197">
        <f t="shared" si="76"/>
        <v>110601.36433876219</v>
      </c>
      <c r="AM543" s="197" t="str">
        <f t="shared" si="77"/>
        <v>Regional DayCab 8</v>
      </c>
      <c r="AN543" s="3">
        <f t="shared" si="78"/>
        <v>28.56404949739083</v>
      </c>
      <c r="AO543" s="3">
        <f t="shared" si="79"/>
        <v>11.025558612022735</v>
      </c>
      <c r="AP543" s="3">
        <f t="shared" si="80"/>
        <v>0</v>
      </c>
      <c r="AQ543" s="3">
        <f t="shared" si="72"/>
        <v>0</v>
      </c>
      <c r="AR543" s="3">
        <f t="shared" si="73"/>
        <v>11.025558612022735</v>
      </c>
      <c r="AS543" s="81">
        <f t="shared" si="74"/>
        <v>1</v>
      </c>
      <c r="AT543" s="81">
        <f t="shared" si="75"/>
        <v>0</v>
      </c>
    </row>
    <row r="544" spans="1:46" x14ac:dyDescent="0.25">
      <c r="A544" t="s">
        <v>807</v>
      </c>
      <c r="B544">
        <v>2023</v>
      </c>
      <c r="C544" t="s">
        <v>680</v>
      </c>
      <c r="D544" t="s">
        <v>833</v>
      </c>
      <c r="E544" t="s">
        <v>2278</v>
      </c>
      <c r="F544">
        <v>7</v>
      </c>
      <c r="G544" t="s">
        <v>2280</v>
      </c>
      <c r="H544" s="460">
        <v>9794.9797843812194</v>
      </c>
      <c r="I544">
        <v>4204</v>
      </c>
      <c r="J544">
        <v>0</v>
      </c>
      <c r="K544" s="67">
        <v>2.9779200000000006</v>
      </c>
      <c r="L544" s="159">
        <v>150</v>
      </c>
      <c r="M544" s="159">
        <v>19440</v>
      </c>
      <c r="N544" s="159">
        <v>220</v>
      </c>
      <c r="O544" s="159">
        <v>392</v>
      </c>
      <c r="P544" s="159">
        <v>7347</v>
      </c>
      <c r="Q544" s="159">
        <v>1500</v>
      </c>
      <c r="R544" s="159">
        <v>2000</v>
      </c>
      <c r="S544" s="159">
        <v>62000</v>
      </c>
      <c r="T544" s="159">
        <v>0</v>
      </c>
      <c r="U544" s="159">
        <v>2085</v>
      </c>
      <c r="V544" s="159">
        <v>4500</v>
      </c>
      <c r="W544" s="159">
        <v>186</v>
      </c>
      <c r="X544" s="159">
        <v>120</v>
      </c>
      <c r="Y544" s="159">
        <v>1500</v>
      </c>
      <c r="Z544" s="159">
        <v>3984</v>
      </c>
      <c r="AA544" s="159">
        <v>0</v>
      </c>
      <c r="AB544" s="159">
        <v>0</v>
      </c>
      <c r="AC544" s="159">
        <v>1500</v>
      </c>
      <c r="AD544" s="207">
        <v>106924</v>
      </c>
      <c r="AE544" s="200">
        <v>9.261632996169018</v>
      </c>
      <c r="AF544" s="200">
        <v>9.6461034113306514</v>
      </c>
      <c r="AG544" s="200">
        <v>7.67730551565987</v>
      </c>
      <c r="AH544" s="200">
        <v>0</v>
      </c>
      <c r="AI544" s="200">
        <v>0</v>
      </c>
      <c r="AJ544" s="200">
        <v>0</v>
      </c>
      <c r="AL544" s="197">
        <f t="shared" si="76"/>
        <v>122574.00788306186</v>
      </c>
      <c r="AM544" s="197" t="str">
        <f t="shared" si="77"/>
        <v>Regional DayCab 8</v>
      </c>
      <c r="AN544" s="3">
        <f t="shared" si="78"/>
        <v>28.578876436675024</v>
      </c>
      <c r="AO544" s="3">
        <f t="shared" si="79"/>
        <v>11.031281725201406</v>
      </c>
      <c r="AP544" s="3">
        <f t="shared" si="80"/>
        <v>0</v>
      </c>
      <c r="AQ544" s="3">
        <f t="shared" si="72"/>
        <v>0</v>
      </c>
      <c r="AR544" s="3">
        <f t="shared" si="73"/>
        <v>11.031281725201406</v>
      </c>
      <c r="AS544" s="81">
        <f t="shared" si="74"/>
        <v>1</v>
      </c>
      <c r="AT544" s="81">
        <f t="shared" si="75"/>
        <v>0</v>
      </c>
    </row>
    <row r="545" spans="1:46" x14ac:dyDescent="0.25">
      <c r="A545" t="s">
        <v>808</v>
      </c>
      <c r="B545">
        <v>2023</v>
      </c>
      <c r="C545" t="s">
        <v>680</v>
      </c>
      <c r="D545" t="s">
        <v>833</v>
      </c>
      <c r="E545" t="s">
        <v>2278</v>
      </c>
      <c r="F545">
        <v>7</v>
      </c>
      <c r="G545" t="s">
        <v>2281</v>
      </c>
      <c r="H545" s="460">
        <v>12632.232388215303</v>
      </c>
      <c r="I545">
        <v>4204</v>
      </c>
      <c r="J545">
        <v>200.00000001335161</v>
      </c>
      <c r="K545" s="67">
        <v>351.89437500000003</v>
      </c>
      <c r="L545" s="159">
        <v>0</v>
      </c>
      <c r="M545" s="159">
        <v>17795</v>
      </c>
      <c r="N545" s="159">
        <v>220</v>
      </c>
      <c r="O545" s="159">
        <v>0</v>
      </c>
      <c r="P545" s="159">
        <v>4674</v>
      </c>
      <c r="Q545" s="159">
        <v>1500</v>
      </c>
      <c r="R545" s="159">
        <v>2000</v>
      </c>
      <c r="S545" s="159">
        <v>62000</v>
      </c>
      <c r="T545" s="159">
        <v>7678</v>
      </c>
      <c r="U545" s="159">
        <v>123163</v>
      </c>
      <c r="V545" s="159">
        <v>4500</v>
      </c>
      <c r="W545" s="159">
        <v>186</v>
      </c>
      <c r="X545" s="159">
        <v>0</v>
      </c>
      <c r="Y545" s="159">
        <v>1500</v>
      </c>
      <c r="Z545" s="159">
        <v>10068</v>
      </c>
      <c r="AA545" s="159">
        <v>0</v>
      </c>
      <c r="AB545" s="159">
        <v>0</v>
      </c>
      <c r="AC545" s="159">
        <v>1500</v>
      </c>
      <c r="AD545" s="207">
        <v>236784</v>
      </c>
      <c r="AE545" s="200">
        <v>8.4277311497740559</v>
      </c>
      <c r="AF545" s="200">
        <v>6.7964890275496721</v>
      </c>
      <c r="AG545" s="200">
        <v>6.1234175193939153</v>
      </c>
      <c r="AH545" s="200">
        <v>1716</v>
      </c>
      <c r="AI545" s="200">
        <v>2092</v>
      </c>
      <c r="AJ545" s="200">
        <v>2603</v>
      </c>
      <c r="AL545" s="197">
        <f t="shared" si="76"/>
        <v>271441.05984234519</v>
      </c>
      <c r="AM545" s="197" t="str">
        <f t="shared" si="77"/>
        <v>Regional DayCab 8</v>
      </c>
      <c r="AN545" s="3">
        <f t="shared" si="78"/>
        <v>7.1540365407144799</v>
      </c>
      <c r="AO545" s="3">
        <f t="shared" si="79"/>
        <v>2.7614169062199978</v>
      </c>
      <c r="AP545" s="3">
        <f t="shared" si="80"/>
        <v>116.69877092472689</v>
      </c>
      <c r="AQ545" s="3">
        <f t="shared" si="72"/>
        <v>4.201155753290168</v>
      </c>
      <c r="AR545" s="3">
        <f t="shared" si="73"/>
        <v>6.9625726595101654</v>
      </c>
      <c r="AS545" s="81">
        <f t="shared" si="74"/>
        <v>0.39660870216531002</v>
      </c>
      <c r="AT545" s="81">
        <f t="shared" si="75"/>
        <v>0.60339129783469003</v>
      </c>
    </row>
    <row r="546" spans="1:46" x14ac:dyDescent="0.25">
      <c r="A546" t="s">
        <v>230</v>
      </c>
      <c r="B546">
        <v>2023</v>
      </c>
      <c r="C546" t="s">
        <v>680</v>
      </c>
      <c r="D546" t="s">
        <v>833</v>
      </c>
      <c r="E546" t="s">
        <v>2278</v>
      </c>
      <c r="F546">
        <v>7</v>
      </c>
      <c r="G546" t="s">
        <v>2282</v>
      </c>
      <c r="H546" s="460">
        <v>12078.670782775749</v>
      </c>
      <c r="I546">
        <v>4204</v>
      </c>
      <c r="J546">
        <v>250.00000001668948</v>
      </c>
      <c r="K546" s="67">
        <v>486.57</v>
      </c>
      <c r="L546" s="159">
        <v>0</v>
      </c>
      <c r="M546" s="159">
        <v>0</v>
      </c>
      <c r="N546" s="159">
        <v>0</v>
      </c>
      <c r="O546" s="159">
        <v>0</v>
      </c>
      <c r="P546" s="159">
        <v>3035</v>
      </c>
      <c r="Q546" s="159">
        <v>1500</v>
      </c>
      <c r="R546" s="159">
        <v>2000</v>
      </c>
      <c r="S546" s="159">
        <v>62000</v>
      </c>
      <c r="T546" s="159">
        <v>0</v>
      </c>
      <c r="U546" s="159">
        <v>170300</v>
      </c>
      <c r="V546" s="159">
        <v>4500</v>
      </c>
      <c r="W546" s="159">
        <v>186</v>
      </c>
      <c r="X546" s="159">
        <v>0</v>
      </c>
      <c r="Y546" s="159">
        <v>1500</v>
      </c>
      <c r="Z546" s="159">
        <v>6095</v>
      </c>
      <c r="AA546" s="159">
        <v>0</v>
      </c>
      <c r="AB546" s="159">
        <v>0</v>
      </c>
      <c r="AC546" s="159">
        <v>1500</v>
      </c>
      <c r="AD546" s="207">
        <v>252616</v>
      </c>
      <c r="AE546" s="200">
        <v>0</v>
      </c>
      <c r="AF546" s="200">
        <v>0</v>
      </c>
      <c r="AG546" s="200">
        <v>0</v>
      </c>
      <c r="AH546" s="200">
        <v>1611</v>
      </c>
      <c r="AI546" s="200">
        <v>1860</v>
      </c>
      <c r="AJ546" s="200">
        <v>2324</v>
      </c>
      <c r="AL546" s="197">
        <f t="shared" si="76"/>
        <v>289590.32186775235</v>
      </c>
      <c r="AM546" s="197" t="str">
        <f t="shared" si="77"/>
        <v>Regional DayCab 8</v>
      </c>
      <c r="AN546" s="3">
        <f t="shared" si="78"/>
        <v>0</v>
      </c>
      <c r="AO546" s="3">
        <f t="shared" si="79"/>
        <v>0</v>
      </c>
      <c r="AP546" s="3">
        <f t="shared" si="80"/>
        <v>131.08789938732644</v>
      </c>
      <c r="AQ546" s="3">
        <f t="shared" si="72"/>
        <v>4.719164377943752</v>
      </c>
      <c r="AR546" s="3">
        <f t="shared" si="73"/>
        <v>4.719164377943752</v>
      </c>
      <c r="AS546" s="81">
        <f t="shared" si="74"/>
        <v>0</v>
      </c>
      <c r="AT546" s="81">
        <f t="shared" si="75"/>
        <v>1</v>
      </c>
    </row>
    <row r="547" spans="1:46" x14ac:dyDescent="0.25">
      <c r="A547" t="s">
        <v>496</v>
      </c>
      <c r="B547">
        <v>2023</v>
      </c>
      <c r="C547" t="s">
        <v>680</v>
      </c>
      <c r="D547" t="s">
        <v>833</v>
      </c>
      <c r="E547" t="s">
        <v>2278</v>
      </c>
      <c r="F547">
        <v>7</v>
      </c>
      <c r="G547" t="s">
        <v>2283</v>
      </c>
      <c r="H547" s="460">
        <v>9826.807528047706</v>
      </c>
      <c r="I547">
        <v>4204</v>
      </c>
      <c r="J547">
        <v>250.00000001668948</v>
      </c>
      <c r="K547" s="67">
        <v>7.128000000000001</v>
      </c>
      <c r="L547" s="159">
        <v>0</v>
      </c>
      <c r="M547" s="159">
        <v>0</v>
      </c>
      <c r="N547" s="159">
        <v>0</v>
      </c>
      <c r="O547" s="159">
        <v>0</v>
      </c>
      <c r="P547" s="159">
        <v>3296</v>
      </c>
      <c r="Q547" s="159">
        <v>1500</v>
      </c>
      <c r="R547" s="159">
        <v>2000</v>
      </c>
      <c r="S547" s="159">
        <v>62000</v>
      </c>
      <c r="T547" s="159">
        <v>0</v>
      </c>
      <c r="U547" s="159">
        <v>4990</v>
      </c>
      <c r="V547" s="159">
        <v>4500</v>
      </c>
      <c r="W547" s="159">
        <v>186</v>
      </c>
      <c r="X547" s="159">
        <v>0</v>
      </c>
      <c r="Y547" s="159">
        <v>1500</v>
      </c>
      <c r="Z547" s="159">
        <v>6727</v>
      </c>
      <c r="AA547" s="159">
        <v>54036</v>
      </c>
      <c r="AB547" s="159">
        <v>30214</v>
      </c>
      <c r="AC547" s="159">
        <v>1500</v>
      </c>
      <c r="AD547" s="207">
        <v>172449</v>
      </c>
      <c r="AE547" s="200">
        <v>12.207626825580093</v>
      </c>
      <c r="AF547" s="200">
        <v>10.423094699623388</v>
      </c>
      <c r="AG547" s="200">
        <v>7.9934870096530046</v>
      </c>
      <c r="AH547" s="200">
        <v>0</v>
      </c>
      <c r="AI547" s="200">
        <v>0</v>
      </c>
      <c r="AJ547" s="200">
        <v>0</v>
      </c>
      <c r="AL547" s="197">
        <f t="shared" si="76"/>
        <v>197689.62146408789</v>
      </c>
      <c r="AM547" s="197" t="str">
        <f t="shared" si="77"/>
        <v>Regional DayCab 8</v>
      </c>
      <c r="AN547" s="3">
        <f t="shared" si="78"/>
        <v>26.329782606324329</v>
      </c>
      <c r="AO547" s="3">
        <f t="shared" si="79"/>
        <v>10.163144458714195</v>
      </c>
      <c r="AP547" s="3">
        <f t="shared" si="80"/>
        <v>0</v>
      </c>
      <c r="AQ547" s="3">
        <f t="shared" si="72"/>
        <v>0</v>
      </c>
      <c r="AR547" s="3">
        <f t="shared" si="73"/>
        <v>10.163144458714195</v>
      </c>
      <c r="AS547" s="81">
        <f t="shared" si="74"/>
        <v>1</v>
      </c>
      <c r="AT547" s="81">
        <f t="shared" si="75"/>
        <v>0</v>
      </c>
    </row>
    <row r="548" spans="1:46" x14ac:dyDescent="0.25">
      <c r="A548" t="s">
        <v>828</v>
      </c>
      <c r="B548">
        <v>2023</v>
      </c>
      <c r="C548" t="s">
        <v>680</v>
      </c>
      <c r="D548" t="s">
        <v>833</v>
      </c>
      <c r="E548" t="s">
        <v>2278</v>
      </c>
      <c r="F548">
        <v>7</v>
      </c>
      <c r="G548" t="s">
        <v>2284</v>
      </c>
      <c r="H548" s="460">
        <v>9902.0294841593077</v>
      </c>
      <c r="I548">
        <v>4204</v>
      </c>
      <c r="J548">
        <v>250.00000001668948</v>
      </c>
      <c r="K548" s="67">
        <v>21.846</v>
      </c>
      <c r="L548" s="159">
        <v>0</v>
      </c>
      <c r="M548" s="159">
        <v>0</v>
      </c>
      <c r="N548" s="159">
        <v>0</v>
      </c>
      <c r="O548" s="159">
        <v>0</v>
      </c>
      <c r="P548" s="159">
        <v>3725</v>
      </c>
      <c r="Q548" s="159">
        <v>1500</v>
      </c>
      <c r="R548" s="159">
        <v>2000</v>
      </c>
      <c r="S548" s="159">
        <v>62000</v>
      </c>
      <c r="T548" s="159">
        <v>0</v>
      </c>
      <c r="U548" s="159">
        <v>7646</v>
      </c>
      <c r="V548" s="159">
        <v>4500</v>
      </c>
      <c r="W548" s="159">
        <v>186</v>
      </c>
      <c r="X548" s="159">
        <v>0</v>
      </c>
      <c r="Y548" s="159">
        <v>1500</v>
      </c>
      <c r="Z548" s="159">
        <v>7768</v>
      </c>
      <c r="AA548" s="159">
        <v>51757</v>
      </c>
      <c r="AB548" s="159">
        <v>26991</v>
      </c>
      <c r="AC548" s="159">
        <v>1500</v>
      </c>
      <c r="AD548" s="207">
        <v>171073</v>
      </c>
      <c r="AE548" s="200">
        <v>12.257820270299161</v>
      </c>
      <c r="AF548" s="200">
        <v>10.426116730806472</v>
      </c>
      <c r="AG548" s="200">
        <v>8.0339174646266613</v>
      </c>
      <c r="AH548" s="200">
        <v>0</v>
      </c>
      <c r="AI548" s="200">
        <v>0</v>
      </c>
      <c r="AJ548" s="200">
        <v>0</v>
      </c>
      <c r="AL548" s="197">
        <f t="shared" si="76"/>
        <v>196112.22223802927</v>
      </c>
      <c r="AM548" s="197" t="str">
        <f t="shared" si="77"/>
        <v>Regional DayCab 8</v>
      </c>
      <c r="AN548" s="3">
        <f t="shared" si="78"/>
        <v>26.218905738755154</v>
      </c>
      <c r="AO548" s="3">
        <f t="shared" si="79"/>
        <v>10.120346626347567</v>
      </c>
      <c r="AP548" s="3">
        <f t="shared" si="80"/>
        <v>0</v>
      </c>
      <c r="AQ548" s="3">
        <f t="shared" si="72"/>
        <v>0</v>
      </c>
      <c r="AR548" s="3">
        <f t="shared" si="73"/>
        <v>10.120346626347567</v>
      </c>
      <c r="AS548" s="81">
        <f t="shared" si="74"/>
        <v>1</v>
      </c>
      <c r="AT548" s="81">
        <f t="shared" si="75"/>
        <v>0</v>
      </c>
    </row>
    <row r="549" spans="1:46" x14ac:dyDescent="0.25">
      <c r="A549" t="s">
        <v>805</v>
      </c>
      <c r="B549">
        <v>2025</v>
      </c>
      <c r="C549" t="s">
        <v>680</v>
      </c>
      <c r="D549" t="s">
        <v>833</v>
      </c>
      <c r="E549" t="s">
        <v>2278</v>
      </c>
      <c r="F549">
        <v>7</v>
      </c>
      <c r="G549" t="s">
        <v>2285</v>
      </c>
      <c r="H549" s="460">
        <v>9608.7087255630395</v>
      </c>
      <c r="I549">
        <v>4204</v>
      </c>
      <c r="J549">
        <v>0</v>
      </c>
      <c r="K549" s="67">
        <v>0</v>
      </c>
      <c r="L549" s="159">
        <v>150</v>
      </c>
      <c r="M549" s="159">
        <v>18333</v>
      </c>
      <c r="N549" s="159">
        <v>1920</v>
      </c>
      <c r="O549" s="159">
        <v>392</v>
      </c>
      <c r="P549" s="159">
        <v>6991</v>
      </c>
      <c r="Q549" s="159">
        <v>1500</v>
      </c>
      <c r="R549" s="159">
        <v>2000</v>
      </c>
      <c r="S549" s="159">
        <v>62372</v>
      </c>
      <c r="T549" s="159">
        <v>230</v>
      </c>
      <c r="U549" s="159">
        <v>120</v>
      </c>
      <c r="V549" s="159">
        <v>0</v>
      </c>
      <c r="W549" s="159">
        <v>186</v>
      </c>
      <c r="X549" s="159">
        <v>0</v>
      </c>
      <c r="Y549" s="159">
        <v>0</v>
      </c>
      <c r="Z549" s="159">
        <v>0</v>
      </c>
      <c r="AA549" s="159">
        <v>0</v>
      </c>
      <c r="AB549" s="159">
        <v>0</v>
      </c>
      <c r="AC549" s="159">
        <v>1500</v>
      </c>
      <c r="AD549" s="207">
        <v>95694</v>
      </c>
      <c r="AE549" s="200">
        <v>8.0040276661995442</v>
      </c>
      <c r="AF549" s="200">
        <v>10.766551156670699</v>
      </c>
      <c r="AG549" s="200">
        <v>9.1423770191018061</v>
      </c>
      <c r="AH549" s="200">
        <v>0</v>
      </c>
      <c r="AI549" s="200">
        <v>0</v>
      </c>
      <c r="AJ549" s="200">
        <v>0</v>
      </c>
      <c r="AL549" s="197">
        <f t="shared" si="76"/>
        <v>109700.32088550486</v>
      </c>
      <c r="AM549" s="197" t="str">
        <f t="shared" si="77"/>
        <v>Regional DayCab 8</v>
      </c>
      <c r="AN549" s="3">
        <f t="shared" si="78"/>
        <v>25.763433809854074</v>
      </c>
      <c r="AO549" s="3">
        <f t="shared" si="79"/>
        <v>9.9445370847526817</v>
      </c>
      <c r="AP549" s="3">
        <f t="shared" si="80"/>
        <v>0</v>
      </c>
      <c r="AQ549" s="3">
        <f t="shared" si="72"/>
        <v>0</v>
      </c>
      <c r="AR549" s="3">
        <f t="shared" si="73"/>
        <v>9.9445370847526817</v>
      </c>
      <c r="AS549" s="81">
        <f t="shared" si="74"/>
        <v>1</v>
      </c>
      <c r="AT549" s="81">
        <f t="shared" si="75"/>
        <v>0</v>
      </c>
    </row>
    <row r="550" spans="1:46" x14ac:dyDescent="0.25">
      <c r="A550" t="s">
        <v>807</v>
      </c>
      <c r="B550">
        <v>2025</v>
      </c>
      <c r="C550" t="s">
        <v>680</v>
      </c>
      <c r="D550" t="s">
        <v>833</v>
      </c>
      <c r="E550" t="s">
        <v>2278</v>
      </c>
      <c r="F550">
        <v>7</v>
      </c>
      <c r="G550" t="s">
        <v>2286</v>
      </c>
      <c r="H550" s="460">
        <v>9663.7878573297567</v>
      </c>
      <c r="I550">
        <v>4204</v>
      </c>
      <c r="J550">
        <v>0</v>
      </c>
      <c r="K550" s="67">
        <v>2.9304000000000001</v>
      </c>
      <c r="L550" s="159">
        <v>150</v>
      </c>
      <c r="M550" s="159">
        <v>18142</v>
      </c>
      <c r="N550" s="159">
        <v>220</v>
      </c>
      <c r="O550" s="159">
        <v>392</v>
      </c>
      <c r="P550" s="159">
        <v>6910</v>
      </c>
      <c r="Q550" s="159">
        <v>1500</v>
      </c>
      <c r="R550" s="159">
        <v>2000</v>
      </c>
      <c r="S550" s="159">
        <v>62372</v>
      </c>
      <c r="T550" s="159">
        <v>0</v>
      </c>
      <c r="U550" s="159">
        <v>1384</v>
      </c>
      <c r="V550" s="159">
        <v>4500</v>
      </c>
      <c r="W550" s="159">
        <v>186</v>
      </c>
      <c r="X550" s="159">
        <v>120</v>
      </c>
      <c r="Y550" s="159">
        <v>1500</v>
      </c>
      <c r="Z550" s="159">
        <v>3309</v>
      </c>
      <c r="AA550" s="159">
        <v>0</v>
      </c>
      <c r="AB550" s="159">
        <v>0</v>
      </c>
      <c r="AC550" s="159">
        <v>1500</v>
      </c>
      <c r="AD550" s="207">
        <v>104185</v>
      </c>
      <c r="AE550" s="200">
        <v>10.131684084601105</v>
      </c>
      <c r="AF550" s="200">
        <v>10.845778679679212</v>
      </c>
      <c r="AG550" s="200">
        <v>8.6758730239125281</v>
      </c>
      <c r="AH550" s="200">
        <v>0</v>
      </c>
      <c r="AI550" s="200">
        <v>0</v>
      </c>
      <c r="AJ550" s="200">
        <v>0</v>
      </c>
      <c r="AL550" s="197">
        <f t="shared" si="76"/>
        <v>119434.11218526056</v>
      </c>
      <c r="AM550" s="197" t="str">
        <f t="shared" si="77"/>
        <v>Regional DayCab 8</v>
      </c>
      <c r="AN550" s="3">
        <f t="shared" si="78"/>
        <v>25.449134067159669</v>
      </c>
      <c r="AO550" s="3">
        <f t="shared" si="79"/>
        <v>9.8232191940545377</v>
      </c>
      <c r="AP550" s="3">
        <f t="shared" si="80"/>
        <v>0</v>
      </c>
      <c r="AQ550" s="3">
        <f t="shared" si="72"/>
        <v>0</v>
      </c>
      <c r="AR550" s="3">
        <f t="shared" si="73"/>
        <v>9.8232191940545377</v>
      </c>
      <c r="AS550" s="81">
        <f t="shared" si="74"/>
        <v>1</v>
      </c>
      <c r="AT550" s="81">
        <f t="shared" si="75"/>
        <v>0</v>
      </c>
    </row>
    <row r="551" spans="1:46" x14ac:dyDescent="0.25">
      <c r="A551" t="s">
        <v>808</v>
      </c>
      <c r="B551">
        <v>2025</v>
      </c>
      <c r="C551" t="s">
        <v>680</v>
      </c>
      <c r="D551" t="s">
        <v>833</v>
      </c>
      <c r="E551" t="s">
        <v>2278</v>
      </c>
      <c r="F551">
        <v>7</v>
      </c>
      <c r="G551" t="s">
        <v>2287</v>
      </c>
      <c r="H551" s="460">
        <v>12015.014798013002</v>
      </c>
      <c r="I551">
        <v>4204</v>
      </c>
      <c r="J551">
        <v>200.00000001335161</v>
      </c>
      <c r="K551" s="67">
        <v>333.64800000000002</v>
      </c>
      <c r="L551" s="159">
        <v>0</v>
      </c>
      <c r="M551" s="159">
        <v>17060</v>
      </c>
      <c r="N551" s="159">
        <v>220</v>
      </c>
      <c r="O551" s="159">
        <v>0</v>
      </c>
      <c r="P551" s="159">
        <v>4472</v>
      </c>
      <c r="Q551" s="159">
        <v>1500</v>
      </c>
      <c r="R551" s="159">
        <v>2000</v>
      </c>
      <c r="S551" s="159">
        <v>62372</v>
      </c>
      <c r="T551" s="159">
        <v>6644</v>
      </c>
      <c r="U551" s="159">
        <v>93421</v>
      </c>
      <c r="V551" s="159">
        <v>4500</v>
      </c>
      <c r="W551" s="159">
        <v>186</v>
      </c>
      <c r="X551" s="159">
        <v>0</v>
      </c>
      <c r="Y551" s="159">
        <v>1500</v>
      </c>
      <c r="Z551" s="159">
        <v>8087</v>
      </c>
      <c r="AA551" s="159">
        <v>0</v>
      </c>
      <c r="AB551" s="159">
        <v>0</v>
      </c>
      <c r="AC551" s="159">
        <v>1500</v>
      </c>
      <c r="AD551" s="207">
        <v>203462</v>
      </c>
      <c r="AE551" s="200">
        <v>9.5704932009789019</v>
      </c>
      <c r="AF551" s="200">
        <v>7.7835246989783231</v>
      </c>
      <c r="AG551" s="200">
        <v>6.9430453700780657</v>
      </c>
      <c r="AH551" s="200">
        <v>1568</v>
      </c>
      <c r="AI551" s="200">
        <v>1892</v>
      </c>
      <c r="AJ551" s="200">
        <v>2353</v>
      </c>
      <c r="AL551" s="197">
        <f t="shared" si="76"/>
        <v>233241.86143338756</v>
      </c>
      <c r="AM551" s="197" t="str">
        <f t="shared" si="77"/>
        <v>Regional DayCab 8</v>
      </c>
      <c r="AN551" s="3">
        <f t="shared" si="78"/>
        <v>6.2977560162945441</v>
      </c>
      <c r="AO551" s="3">
        <f t="shared" si="79"/>
        <v>2.4308975549218585</v>
      </c>
      <c r="AP551" s="3">
        <f t="shared" si="80"/>
        <v>105.65722594355448</v>
      </c>
      <c r="AQ551" s="3">
        <f t="shared" si="72"/>
        <v>3.803660133967961</v>
      </c>
      <c r="AR551" s="3">
        <f t="shared" si="73"/>
        <v>6.2345576888898195</v>
      </c>
      <c r="AS551" s="81">
        <f t="shared" si="74"/>
        <v>0.3899069791677115</v>
      </c>
      <c r="AT551" s="81">
        <f t="shared" si="75"/>
        <v>0.61009302083228845</v>
      </c>
    </row>
    <row r="552" spans="1:46" x14ac:dyDescent="0.25">
      <c r="A552" t="s">
        <v>230</v>
      </c>
      <c r="B552">
        <v>2025</v>
      </c>
      <c r="C552" t="s">
        <v>680</v>
      </c>
      <c r="D552" t="s">
        <v>833</v>
      </c>
      <c r="E552" t="s">
        <v>2278</v>
      </c>
      <c r="F552">
        <v>7</v>
      </c>
      <c r="G552" t="s">
        <v>2288</v>
      </c>
      <c r="H552" s="460">
        <v>11409.802499671961</v>
      </c>
      <c r="I552">
        <v>4204</v>
      </c>
      <c r="J552">
        <v>250.00000001668948</v>
      </c>
      <c r="K552" s="67">
        <v>446.85</v>
      </c>
      <c r="L552" s="159">
        <v>0</v>
      </c>
      <c r="M552" s="159">
        <v>0</v>
      </c>
      <c r="N552" s="159">
        <v>0</v>
      </c>
      <c r="O552" s="159">
        <v>0</v>
      </c>
      <c r="P552" s="159">
        <v>3033</v>
      </c>
      <c r="Q552" s="159">
        <v>1500</v>
      </c>
      <c r="R552" s="159">
        <v>2000</v>
      </c>
      <c r="S552" s="159">
        <v>62372</v>
      </c>
      <c r="T552" s="159">
        <v>0</v>
      </c>
      <c r="U552" s="159">
        <v>125118</v>
      </c>
      <c r="V552" s="159">
        <v>4500</v>
      </c>
      <c r="W552" s="159">
        <v>186</v>
      </c>
      <c r="X552" s="159">
        <v>0</v>
      </c>
      <c r="Y552" s="159">
        <v>1500</v>
      </c>
      <c r="Z552" s="159">
        <v>5115</v>
      </c>
      <c r="AA552" s="159">
        <v>0</v>
      </c>
      <c r="AB552" s="159">
        <v>0</v>
      </c>
      <c r="AC552" s="159">
        <v>1500</v>
      </c>
      <c r="AD552" s="207">
        <v>206824</v>
      </c>
      <c r="AE552" s="200">
        <v>0</v>
      </c>
      <c r="AF552" s="200">
        <v>0</v>
      </c>
      <c r="AG552" s="200">
        <v>0</v>
      </c>
      <c r="AH552" s="200">
        <v>1458</v>
      </c>
      <c r="AI552" s="200">
        <v>1673</v>
      </c>
      <c r="AJ552" s="200">
        <v>2090</v>
      </c>
      <c r="AL552" s="197">
        <f t="shared" si="76"/>
        <v>237095.94297263835</v>
      </c>
      <c r="AM552" s="197" t="str">
        <f t="shared" si="77"/>
        <v>Regional DayCab 8</v>
      </c>
      <c r="AN552" s="3">
        <f t="shared" si="78"/>
        <v>0</v>
      </c>
      <c r="AO552" s="3">
        <f t="shared" si="79"/>
        <v>0</v>
      </c>
      <c r="AP552" s="3">
        <f t="shared" si="80"/>
        <v>118.00054680800824</v>
      </c>
      <c r="AQ552" s="3">
        <f t="shared" si="72"/>
        <v>4.2480196850882965</v>
      </c>
      <c r="AR552" s="3">
        <f t="shared" si="73"/>
        <v>4.2480196850882965</v>
      </c>
      <c r="AS552" s="81">
        <f t="shared" si="74"/>
        <v>0</v>
      </c>
      <c r="AT552" s="81">
        <f t="shared" si="75"/>
        <v>1</v>
      </c>
    </row>
    <row r="553" spans="1:46" x14ac:dyDescent="0.25">
      <c r="A553" t="s">
        <v>496</v>
      </c>
      <c r="B553">
        <v>2025</v>
      </c>
      <c r="C553" t="s">
        <v>680</v>
      </c>
      <c r="D553" t="s">
        <v>833</v>
      </c>
      <c r="E553" t="s">
        <v>2278</v>
      </c>
      <c r="F553">
        <v>7</v>
      </c>
      <c r="G553" t="s">
        <v>2289</v>
      </c>
      <c r="H553" s="460">
        <v>9515.190427552232</v>
      </c>
      <c r="I553">
        <v>4204</v>
      </c>
      <c r="J553">
        <v>250.00000001668948</v>
      </c>
      <c r="K553" s="67">
        <v>7.1438400000000009</v>
      </c>
      <c r="L553" s="159">
        <v>0</v>
      </c>
      <c r="M553" s="159">
        <v>0</v>
      </c>
      <c r="N553" s="159">
        <v>0</v>
      </c>
      <c r="O553" s="159">
        <v>0</v>
      </c>
      <c r="P553" s="159">
        <v>3246</v>
      </c>
      <c r="Q553" s="159">
        <v>1500</v>
      </c>
      <c r="R553" s="159">
        <v>2000</v>
      </c>
      <c r="S553" s="159">
        <v>62372</v>
      </c>
      <c r="T553" s="159">
        <v>0</v>
      </c>
      <c r="U553" s="159">
        <v>3375</v>
      </c>
      <c r="V553" s="159">
        <v>4500</v>
      </c>
      <c r="W553" s="159">
        <v>186</v>
      </c>
      <c r="X553" s="159">
        <v>0</v>
      </c>
      <c r="Y553" s="159">
        <v>1500</v>
      </c>
      <c r="Z553" s="159">
        <v>5557</v>
      </c>
      <c r="AA553" s="159">
        <v>45070</v>
      </c>
      <c r="AB553" s="159">
        <v>21230</v>
      </c>
      <c r="AC553" s="159">
        <v>1500</v>
      </c>
      <c r="AD553" s="207">
        <v>152036</v>
      </c>
      <c r="AE553" s="200">
        <v>13.63839724299287</v>
      </c>
      <c r="AF553" s="200">
        <v>11.966613773741118</v>
      </c>
      <c r="AG553" s="200">
        <v>9.1795442454310834</v>
      </c>
      <c r="AH553" s="200">
        <v>0</v>
      </c>
      <c r="AI553" s="200">
        <v>0</v>
      </c>
      <c r="AJ553" s="200">
        <v>0</v>
      </c>
      <c r="AL553" s="197">
        <f t="shared" si="76"/>
        <v>174288.85809087942</v>
      </c>
      <c r="AM553" s="197" t="str">
        <f t="shared" si="77"/>
        <v>Regional DayCab 8</v>
      </c>
      <c r="AN553" s="3">
        <f t="shared" si="78"/>
        <v>23.017606725382326</v>
      </c>
      <c r="AO553" s="3">
        <f t="shared" si="79"/>
        <v>8.8846636427504126</v>
      </c>
      <c r="AP553" s="3">
        <f t="shared" si="80"/>
        <v>0</v>
      </c>
      <c r="AQ553" s="3">
        <f t="shared" si="72"/>
        <v>0</v>
      </c>
      <c r="AR553" s="3">
        <f t="shared" si="73"/>
        <v>8.8846636427504126</v>
      </c>
      <c r="AS553" s="81">
        <f t="shared" si="74"/>
        <v>1</v>
      </c>
      <c r="AT553" s="81">
        <f t="shared" si="75"/>
        <v>0</v>
      </c>
    </row>
    <row r="554" spans="1:46" x14ac:dyDescent="0.25">
      <c r="A554" t="s">
        <v>828</v>
      </c>
      <c r="B554">
        <v>2025</v>
      </c>
      <c r="C554" t="s">
        <v>680</v>
      </c>
      <c r="D554" t="s">
        <v>833</v>
      </c>
      <c r="E554" t="s">
        <v>2278</v>
      </c>
      <c r="F554">
        <v>7</v>
      </c>
      <c r="G554" t="s">
        <v>2290</v>
      </c>
      <c r="H554" s="460">
        <v>9559.4775520240637</v>
      </c>
      <c r="I554">
        <v>4204</v>
      </c>
      <c r="J554">
        <v>250.00000001668948</v>
      </c>
      <c r="K554" s="67">
        <v>25.569749999999999</v>
      </c>
      <c r="L554" s="159">
        <v>0</v>
      </c>
      <c r="M554" s="159">
        <v>0</v>
      </c>
      <c r="N554" s="159">
        <v>0</v>
      </c>
      <c r="O554" s="159">
        <v>0</v>
      </c>
      <c r="P554" s="159">
        <v>3570</v>
      </c>
      <c r="Q554" s="159">
        <v>1500</v>
      </c>
      <c r="R554" s="159">
        <v>2000</v>
      </c>
      <c r="S554" s="159">
        <v>62372</v>
      </c>
      <c r="T554" s="159">
        <v>0</v>
      </c>
      <c r="U554" s="159">
        <v>7160</v>
      </c>
      <c r="V554" s="159">
        <v>4500</v>
      </c>
      <c r="W554" s="159">
        <v>186</v>
      </c>
      <c r="X554" s="159">
        <v>0</v>
      </c>
      <c r="Y554" s="159">
        <v>1500</v>
      </c>
      <c r="Z554" s="159">
        <v>6225</v>
      </c>
      <c r="AA554" s="159">
        <v>40526</v>
      </c>
      <c r="AB554" s="159">
        <v>18531</v>
      </c>
      <c r="AC554" s="159">
        <v>1500</v>
      </c>
      <c r="AD554" s="207">
        <v>149570</v>
      </c>
      <c r="AE554" s="200">
        <v>13.733797205325777</v>
      </c>
      <c r="AF554" s="200">
        <v>11.900668530886554</v>
      </c>
      <c r="AG554" s="200">
        <v>9.2036651866736019</v>
      </c>
      <c r="AH554" s="200">
        <v>0</v>
      </c>
      <c r="AI554" s="200">
        <v>0</v>
      </c>
      <c r="AJ554" s="200">
        <v>0</v>
      </c>
      <c r="AL554" s="197">
        <f t="shared" si="76"/>
        <v>171461.92023371332</v>
      </c>
      <c r="AM554" s="197" t="str">
        <f t="shared" si="77"/>
        <v>Regional DayCab 8</v>
      </c>
      <c r="AN554" s="3">
        <f t="shared" si="78"/>
        <v>22.970381798949774</v>
      </c>
      <c r="AO554" s="3">
        <f t="shared" si="79"/>
        <v>8.8664350931052347</v>
      </c>
      <c r="AP554" s="3">
        <f t="shared" si="80"/>
        <v>0</v>
      </c>
      <c r="AQ554" s="3">
        <f t="shared" si="72"/>
        <v>0</v>
      </c>
      <c r="AR554" s="3">
        <f t="shared" si="73"/>
        <v>8.8664350931052347</v>
      </c>
      <c r="AS554" s="81">
        <f t="shared" si="74"/>
        <v>1</v>
      </c>
      <c r="AT554" s="81">
        <f t="shared" si="75"/>
        <v>0</v>
      </c>
    </row>
    <row r="555" spans="1:46" x14ac:dyDescent="0.25">
      <c r="A555" t="s">
        <v>805</v>
      </c>
      <c r="B555">
        <v>2030</v>
      </c>
      <c r="C555" t="s">
        <v>680</v>
      </c>
      <c r="D555" t="s">
        <v>833</v>
      </c>
      <c r="E555" t="s">
        <v>2278</v>
      </c>
      <c r="F555">
        <v>7</v>
      </c>
      <c r="G555" t="s">
        <v>2291</v>
      </c>
      <c r="H555" s="460">
        <v>9493.1028889142435</v>
      </c>
      <c r="I555">
        <v>4204</v>
      </c>
      <c r="J555">
        <v>0</v>
      </c>
      <c r="K555" s="67">
        <v>0</v>
      </c>
      <c r="L555" s="159">
        <v>150</v>
      </c>
      <c r="M555" s="159">
        <v>17660</v>
      </c>
      <c r="N555" s="159">
        <v>1920</v>
      </c>
      <c r="O555" s="159">
        <v>392</v>
      </c>
      <c r="P555" s="159">
        <v>6731</v>
      </c>
      <c r="Q555" s="159">
        <v>1500</v>
      </c>
      <c r="R555" s="159">
        <v>2000</v>
      </c>
      <c r="S555" s="159">
        <v>62788</v>
      </c>
      <c r="T555" s="159">
        <v>183</v>
      </c>
      <c r="U555" s="159">
        <v>120</v>
      </c>
      <c r="V555" s="159">
        <v>0</v>
      </c>
      <c r="W555" s="159">
        <v>186</v>
      </c>
      <c r="X555" s="159">
        <v>0</v>
      </c>
      <c r="Y555" s="159">
        <v>0</v>
      </c>
      <c r="Z555" s="159">
        <v>0</v>
      </c>
      <c r="AA555" s="159">
        <v>0</v>
      </c>
      <c r="AB555" s="159">
        <v>0</v>
      </c>
      <c r="AC555" s="159">
        <v>1500</v>
      </c>
      <c r="AD555" s="207">
        <v>95130</v>
      </c>
      <c r="AE555" s="200">
        <v>8.4404855908313259</v>
      </c>
      <c r="AF555" s="200">
        <v>11.943516902167168</v>
      </c>
      <c r="AG555" s="200">
        <v>10.217533895217079</v>
      </c>
      <c r="AH555" s="200">
        <v>0</v>
      </c>
      <c r="AI555" s="200">
        <v>0</v>
      </c>
      <c r="AJ555" s="200">
        <v>0</v>
      </c>
      <c r="AL555" s="197">
        <f t="shared" si="76"/>
        <v>109053.77062133547</v>
      </c>
      <c r="AM555" s="197" t="str">
        <f t="shared" si="77"/>
        <v>Regional DayCab 8</v>
      </c>
      <c r="AN555" s="3">
        <f t="shared" si="78"/>
        <v>23.376064392928118</v>
      </c>
      <c r="AO555" s="3">
        <f t="shared" si="79"/>
        <v>9.023026238145583</v>
      </c>
      <c r="AP555" s="3">
        <f t="shared" si="80"/>
        <v>0</v>
      </c>
      <c r="AQ555" s="3">
        <f t="shared" si="72"/>
        <v>0</v>
      </c>
      <c r="AR555" s="3">
        <f t="shared" si="73"/>
        <v>9.023026238145583</v>
      </c>
      <c r="AS555" s="81">
        <f t="shared" si="74"/>
        <v>1</v>
      </c>
      <c r="AT555" s="81">
        <f t="shared" si="75"/>
        <v>0</v>
      </c>
    </row>
    <row r="556" spans="1:46" x14ac:dyDescent="0.25">
      <c r="A556" t="s">
        <v>807</v>
      </c>
      <c r="B556">
        <v>2030</v>
      </c>
      <c r="C556" t="s">
        <v>680</v>
      </c>
      <c r="D556" t="s">
        <v>833</v>
      </c>
      <c r="E556" t="s">
        <v>2278</v>
      </c>
      <c r="F556">
        <v>7</v>
      </c>
      <c r="G556" t="s">
        <v>2292</v>
      </c>
      <c r="H556" s="460">
        <v>9531.5224166314802</v>
      </c>
      <c r="I556">
        <v>4204</v>
      </c>
      <c r="J556">
        <v>0</v>
      </c>
      <c r="K556" s="67">
        <v>2.9937600000000004</v>
      </c>
      <c r="L556" s="159">
        <v>150</v>
      </c>
      <c r="M556" s="159">
        <v>17227</v>
      </c>
      <c r="N556" s="159">
        <v>220</v>
      </c>
      <c r="O556" s="159">
        <v>392</v>
      </c>
      <c r="P556" s="159">
        <v>6548</v>
      </c>
      <c r="Q556" s="159">
        <v>1500</v>
      </c>
      <c r="R556" s="159">
        <v>2000</v>
      </c>
      <c r="S556" s="159">
        <v>62788</v>
      </c>
      <c r="T556" s="159">
        <v>0</v>
      </c>
      <c r="U556" s="159">
        <v>1075</v>
      </c>
      <c r="V556" s="159">
        <v>4500</v>
      </c>
      <c r="W556" s="159">
        <v>186</v>
      </c>
      <c r="X556" s="159">
        <v>120</v>
      </c>
      <c r="Y556" s="159">
        <v>1500</v>
      </c>
      <c r="Z556" s="159">
        <v>2587</v>
      </c>
      <c r="AA556" s="159">
        <v>0</v>
      </c>
      <c r="AB556" s="159">
        <v>0</v>
      </c>
      <c r="AC556" s="159">
        <v>1500</v>
      </c>
      <c r="AD556" s="207">
        <v>102293</v>
      </c>
      <c r="AE556" s="200">
        <v>10.973120105729755</v>
      </c>
      <c r="AF556" s="200">
        <v>12.073243401968307</v>
      </c>
      <c r="AG556" s="200">
        <v>9.6601254175521376</v>
      </c>
      <c r="AH556" s="200">
        <v>0</v>
      </c>
      <c r="AI556" s="200">
        <v>0</v>
      </c>
      <c r="AJ556" s="200">
        <v>0</v>
      </c>
      <c r="AL556" s="197">
        <f t="shared" si="76"/>
        <v>117265.18824942994</v>
      </c>
      <c r="AM556" s="197" t="str">
        <f t="shared" si="77"/>
        <v>Regional DayCab 8</v>
      </c>
      <c r="AN556" s="3">
        <f t="shared" si="78"/>
        <v>22.968165986293812</v>
      </c>
      <c r="AO556" s="3">
        <f t="shared" si="79"/>
        <v>8.8655798021804024</v>
      </c>
      <c r="AP556" s="3">
        <f t="shared" si="80"/>
        <v>0</v>
      </c>
      <c r="AQ556" s="3">
        <f t="shared" si="72"/>
        <v>0</v>
      </c>
      <c r="AR556" s="3">
        <f t="shared" si="73"/>
        <v>8.8655798021804024</v>
      </c>
      <c r="AS556" s="81">
        <f t="shared" si="74"/>
        <v>1</v>
      </c>
      <c r="AT556" s="81">
        <f t="shared" si="75"/>
        <v>0</v>
      </c>
    </row>
    <row r="557" spans="1:46" x14ac:dyDescent="0.25">
      <c r="A557" t="s">
        <v>808</v>
      </c>
      <c r="B557">
        <v>2030</v>
      </c>
      <c r="C557" t="s">
        <v>680</v>
      </c>
      <c r="D557" t="s">
        <v>833</v>
      </c>
      <c r="E557" t="s">
        <v>2278</v>
      </c>
      <c r="F557">
        <v>7</v>
      </c>
      <c r="G557" t="s">
        <v>2293</v>
      </c>
      <c r="H557" s="460">
        <v>11379.166738476768</v>
      </c>
      <c r="I557">
        <v>4204</v>
      </c>
      <c r="J557">
        <v>200.00000001335161</v>
      </c>
      <c r="K557" s="67">
        <v>316.27050000000003</v>
      </c>
      <c r="L557" s="159">
        <v>0</v>
      </c>
      <c r="M557" s="159">
        <v>15645</v>
      </c>
      <c r="N557" s="159">
        <v>220</v>
      </c>
      <c r="O557" s="159">
        <v>0</v>
      </c>
      <c r="P557" s="159">
        <v>4210</v>
      </c>
      <c r="Q557" s="159">
        <v>1500</v>
      </c>
      <c r="R557" s="159">
        <v>2000</v>
      </c>
      <c r="S557" s="159">
        <v>62788</v>
      </c>
      <c r="T557" s="159">
        <v>4754</v>
      </c>
      <c r="U557" s="159">
        <v>63254</v>
      </c>
      <c r="V557" s="159">
        <v>4500</v>
      </c>
      <c r="W557" s="159">
        <v>186</v>
      </c>
      <c r="X557" s="159">
        <v>0</v>
      </c>
      <c r="Y557" s="159">
        <v>1500</v>
      </c>
      <c r="Z557" s="159">
        <v>5972</v>
      </c>
      <c r="AA557" s="159">
        <v>0</v>
      </c>
      <c r="AB557" s="159">
        <v>0</v>
      </c>
      <c r="AC557" s="159">
        <v>1500</v>
      </c>
      <c r="AD557" s="207">
        <v>168029</v>
      </c>
      <c r="AE557" s="200">
        <v>10.594051888325268</v>
      </c>
      <c r="AF557" s="200">
        <v>8.776700594603648</v>
      </c>
      <c r="AG557" s="200">
        <v>7.8535345978208664</v>
      </c>
      <c r="AH557" s="200">
        <v>1448</v>
      </c>
      <c r="AI557" s="200">
        <v>1713</v>
      </c>
      <c r="AJ557" s="200">
        <v>2129</v>
      </c>
      <c r="AL557" s="197">
        <f t="shared" si="76"/>
        <v>192622.68499666118</v>
      </c>
      <c r="AM557" s="197" t="str">
        <f t="shared" si="77"/>
        <v>Regional DayCab 8</v>
      </c>
      <c r="AN557" s="3">
        <f t="shared" si="78"/>
        <v>5.5885243309539474</v>
      </c>
      <c r="AO557" s="3">
        <f t="shared" si="79"/>
        <v>2.1571382086869799</v>
      </c>
      <c r="AP557" s="3">
        <f t="shared" si="80"/>
        <v>95.884772639715663</v>
      </c>
      <c r="AQ557" s="3">
        <f t="shared" si="72"/>
        <v>3.4518518150297637</v>
      </c>
      <c r="AR557" s="3">
        <f t="shared" si="73"/>
        <v>5.6089900237167436</v>
      </c>
      <c r="AS557" s="81">
        <f t="shared" si="74"/>
        <v>0.38458585227747882</v>
      </c>
      <c r="AT557" s="81">
        <f t="shared" si="75"/>
        <v>0.61541414772252123</v>
      </c>
    </row>
    <row r="558" spans="1:46" x14ac:dyDescent="0.25">
      <c r="A558" t="s">
        <v>230</v>
      </c>
      <c r="B558">
        <v>2030</v>
      </c>
      <c r="C558" t="s">
        <v>680</v>
      </c>
      <c r="D558" t="s">
        <v>833</v>
      </c>
      <c r="E558" t="s">
        <v>2278</v>
      </c>
      <c r="F558">
        <v>7</v>
      </c>
      <c r="G558" t="s">
        <v>2294</v>
      </c>
      <c r="H558" s="460">
        <v>10694.732473212824</v>
      </c>
      <c r="I558">
        <v>4204</v>
      </c>
      <c r="J558">
        <v>250.00000001668948</v>
      </c>
      <c r="K558" s="67">
        <v>409.36425000000003</v>
      </c>
      <c r="L558" s="159">
        <v>0</v>
      </c>
      <c r="M558" s="159">
        <v>0</v>
      </c>
      <c r="N558" s="159">
        <v>0</v>
      </c>
      <c r="O558" s="159">
        <v>0</v>
      </c>
      <c r="P558" s="159">
        <v>2979</v>
      </c>
      <c r="Q558" s="159">
        <v>1500</v>
      </c>
      <c r="R558" s="159">
        <v>2000</v>
      </c>
      <c r="S558" s="159">
        <v>62788</v>
      </c>
      <c r="T558" s="159">
        <v>0</v>
      </c>
      <c r="U558" s="159">
        <v>81873</v>
      </c>
      <c r="V558" s="159">
        <v>4500</v>
      </c>
      <c r="W558" s="159">
        <v>186</v>
      </c>
      <c r="X558" s="159">
        <v>0</v>
      </c>
      <c r="Y558" s="159">
        <v>1500</v>
      </c>
      <c r="Z558" s="159">
        <v>3950</v>
      </c>
      <c r="AA558" s="159">
        <v>0</v>
      </c>
      <c r="AB558" s="159">
        <v>0</v>
      </c>
      <c r="AC558" s="159">
        <v>1500</v>
      </c>
      <c r="AD558" s="207">
        <v>162776</v>
      </c>
      <c r="AE558" s="200">
        <v>0</v>
      </c>
      <c r="AF558" s="200">
        <v>0</v>
      </c>
      <c r="AG558" s="200">
        <v>0</v>
      </c>
      <c r="AH558" s="200">
        <v>1340</v>
      </c>
      <c r="AI558" s="200">
        <v>1508</v>
      </c>
      <c r="AJ558" s="200">
        <v>1883</v>
      </c>
      <c r="AL558" s="197">
        <f t="shared" si="76"/>
        <v>186600.82588729635</v>
      </c>
      <c r="AM558" s="197" t="str">
        <f t="shared" si="77"/>
        <v>Regional DayCab 8</v>
      </c>
      <c r="AN558" s="3">
        <f t="shared" si="78"/>
        <v>0</v>
      </c>
      <c r="AO558" s="3">
        <f t="shared" si="79"/>
        <v>0</v>
      </c>
      <c r="AP558" s="3">
        <f t="shared" si="80"/>
        <v>106.63253259100004</v>
      </c>
      <c r="AQ558" s="3">
        <f t="shared" si="72"/>
        <v>3.8387711732760015</v>
      </c>
      <c r="AR558" s="3">
        <f t="shared" si="73"/>
        <v>3.8387711732760015</v>
      </c>
      <c r="AS558" s="81">
        <f t="shared" si="74"/>
        <v>0</v>
      </c>
      <c r="AT558" s="81">
        <f t="shared" si="75"/>
        <v>1</v>
      </c>
    </row>
    <row r="559" spans="1:46" x14ac:dyDescent="0.25">
      <c r="A559" t="s">
        <v>496</v>
      </c>
      <c r="B559">
        <v>2030</v>
      </c>
      <c r="C559" t="s">
        <v>680</v>
      </c>
      <c r="D559" t="s">
        <v>833</v>
      </c>
      <c r="E559" t="s">
        <v>2278</v>
      </c>
      <c r="F559">
        <v>7</v>
      </c>
      <c r="G559" t="s">
        <v>2295</v>
      </c>
      <c r="H559" s="460">
        <v>9243.1318313515294</v>
      </c>
      <c r="I559">
        <v>4204</v>
      </c>
      <c r="J559">
        <v>250.00000001668948</v>
      </c>
      <c r="K559" s="67">
        <v>6.8745600000000007</v>
      </c>
      <c r="L559" s="159">
        <v>0</v>
      </c>
      <c r="M559" s="159">
        <v>0</v>
      </c>
      <c r="N559" s="159">
        <v>0</v>
      </c>
      <c r="O559" s="159">
        <v>0</v>
      </c>
      <c r="P559" s="159">
        <v>3139</v>
      </c>
      <c r="Q559" s="159">
        <v>1500</v>
      </c>
      <c r="R559" s="159">
        <v>2000</v>
      </c>
      <c r="S559" s="159">
        <v>62788</v>
      </c>
      <c r="T559" s="159">
        <v>0</v>
      </c>
      <c r="U559" s="159">
        <v>2468</v>
      </c>
      <c r="V559" s="159">
        <v>4500</v>
      </c>
      <c r="W559" s="159">
        <v>186</v>
      </c>
      <c r="X559" s="159">
        <v>0</v>
      </c>
      <c r="Y559" s="159">
        <v>1500</v>
      </c>
      <c r="Z559" s="159">
        <v>4212</v>
      </c>
      <c r="AA559" s="159">
        <v>35516</v>
      </c>
      <c r="AB559" s="159">
        <v>16420</v>
      </c>
      <c r="AC559" s="159">
        <v>1500</v>
      </c>
      <c r="AD559" s="207">
        <v>135729</v>
      </c>
      <c r="AE559" s="200">
        <v>14.988079092583513</v>
      </c>
      <c r="AF559" s="200">
        <v>13.612642228543955</v>
      </c>
      <c r="AG559" s="200">
        <v>10.483956463975824</v>
      </c>
      <c r="AH559" s="200">
        <v>0</v>
      </c>
      <c r="AI559" s="200">
        <v>0</v>
      </c>
      <c r="AJ559" s="200">
        <v>0</v>
      </c>
      <c r="AL559" s="197">
        <f t="shared" si="76"/>
        <v>155595.07235008138</v>
      </c>
      <c r="AM559" s="197" t="str">
        <f t="shared" si="77"/>
        <v>Regional DayCab 8</v>
      </c>
      <c r="AN559" s="3">
        <f t="shared" si="78"/>
        <v>20.278080857057688</v>
      </c>
      <c r="AO559" s="3">
        <f t="shared" si="79"/>
        <v>7.8272224338936365</v>
      </c>
      <c r="AP559" s="3">
        <f t="shared" si="80"/>
        <v>0</v>
      </c>
      <c r="AQ559" s="3">
        <f t="shared" ref="AQ559:AQ622" si="81">AP559*3.6/100</f>
        <v>0</v>
      </c>
      <c r="AR559" s="3">
        <f t="shared" ref="AR559:AR622" si="82">AO559+AQ559</f>
        <v>7.8272224338936365</v>
      </c>
      <c r="AS559" s="81">
        <f t="shared" ref="AS559:AS622" si="83">AO559/AR559</f>
        <v>1</v>
      </c>
      <c r="AT559" s="81">
        <f t="shared" ref="AT559:AT622" si="84">AQ559/AR559</f>
        <v>0</v>
      </c>
    </row>
    <row r="560" spans="1:46" x14ac:dyDescent="0.25">
      <c r="A560" t="s">
        <v>828</v>
      </c>
      <c r="B560">
        <v>2030</v>
      </c>
      <c r="C560" t="s">
        <v>680</v>
      </c>
      <c r="D560" t="s">
        <v>833</v>
      </c>
      <c r="E560" t="s">
        <v>2278</v>
      </c>
      <c r="F560">
        <v>7</v>
      </c>
      <c r="G560" t="s">
        <v>2296</v>
      </c>
      <c r="H560" s="460">
        <v>9259.5007772933968</v>
      </c>
      <c r="I560">
        <v>4204</v>
      </c>
      <c r="J560">
        <v>250.00000001668948</v>
      </c>
      <c r="K560" s="67">
        <v>22.466625000000001</v>
      </c>
      <c r="L560" s="159">
        <v>0</v>
      </c>
      <c r="M560" s="159">
        <v>0</v>
      </c>
      <c r="N560" s="159">
        <v>0</v>
      </c>
      <c r="O560" s="159">
        <v>0</v>
      </c>
      <c r="P560" s="159">
        <v>3474</v>
      </c>
      <c r="Q560" s="159">
        <v>1500</v>
      </c>
      <c r="R560" s="159">
        <v>2000</v>
      </c>
      <c r="S560" s="159">
        <v>62788</v>
      </c>
      <c r="T560" s="159">
        <v>0</v>
      </c>
      <c r="U560" s="159">
        <v>4493</v>
      </c>
      <c r="V560" s="159">
        <v>4500</v>
      </c>
      <c r="W560" s="159">
        <v>186</v>
      </c>
      <c r="X560" s="159">
        <v>0</v>
      </c>
      <c r="Y560" s="159">
        <v>1500</v>
      </c>
      <c r="Z560" s="159">
        <v>4764</v>
      </c>
      <c r="AA560" s="159">
        <v>30278</v>
      </c>
      <c r="AB560" s="159">
        <v>14423</v>
      </c>
      <c r="AC560" s="159">
        <v>1500</v>
      </c>
      <c r="AD560" s="207">
        <v>131406</v>
      </c>
      <c r="AE560" s="200">
        <v>15.099704808138274</v>
      </c>
      <c r="AF560" s="200">
        <v>13.481674360835264</v>
      </c>
      <c r="AG560" s="200">
        <v>10.464107121034051</v>
      </c>
      <c r="AH560" s="200">
        <v>0</v>
      </c>
      <c r="AI560" s="200">
        <v>0</v>
      </c>
      <c r="AJ560" s="200">
        <v>0</v>
      </c>
      <c r="AL560" s="197">
        <f t="shared" si="76"/>
        <v>150639.33335716609</v>
      </c>
      <c r="AM560" s="197" t="str">
        <f t="shared" si="77"/>
        <v>Regional DayCab 8</v>
      </c>
      <c r="AN560" s="3">
        <f t="shared" si="78"/>
        <v>20.311811225293066</v>
      </c>
      <c r="AO560" s="3">
        <f t="shared" si="79"/>
        <v>7.8402421617868487</v>
      </c>
      <c r="AP560" s="3">
        <f t="shared" si="80"/>
        <v>0</v>
      </c>
      <c r="AQ560" s="3">
        <f t="shared" si="81"/>
        <v>0</v>
      </c>
      <c r="AR560" s="3">
        <f t="shared" si="82"/>
        <v>7.8402421617868487</v>
      </c>
      <c r="AS560" s="81">
        <f t="shared" si="83"/>
        <v>1</v>
      </c>
      <c r="AT560" s="81">
        <f t="shared" si="84"/>
        <v>0</v>
      </c>
    </row>
    <row r="561" spans="1:46" x14ac:dyDescent="0.25">
      <c r="A561" t="s">
        <v>805</v>
      </c>
      <c r="B561">
        <v>2035</v>
      </c>
      <c r="C561" t="s">
        <v>680</v>
      </c>
      <c r="D561" t="s">
        <v>833</v>
      </c>
      <c r="E561" t="s">
        <v>2278</v>
      </c>
      <c r="F561">
        <v>7</v>
      </c>
      <c r="G561" t="s">
        <v>2297</v>
      </c>
      <c r="H561" s="460">
        <v>9469.622490221429</v>
      </c>
      <c r="I561">
        <v>4204</v>
      </c>
      <c r="J561">
        <v>0</v>
      </c>
      <c r="K561" s="67">
        <v>0</v>
      </c>
      <c r="L561" s="159">
        <v>150</v>
      </c>
      <c r="M561" s="159">
        <v>17176</v>
      </c>
      <c r="N561" s="159">
        <v>1920</v>
      </c>
      <c r="O561" s="159">
        <v>392</v>
      </c>
      <c r="P561" s="159">
        <v>6540</v>
      </c>
      <c r="Q561" s="159">
        <v>1500</v>
      </c>
      <c r="R561" s="159">
        <v>2000</v>
      </c>
      <c r="S561" s="159">
        <v>62788</v>
      </c>
      <c r="T561" s="159">
        <v>156</v>
      </c>
      <c r="U561" s="159">
        <v>120</v>
      </c>
      <c r="V561" s="159">
        <v>0</v>
      </c>
      <c r="W561" s="159">
        <v>186</v>
      </c>
      <c r="X561" s="159">
        <v>0</v>
      </c>
      <c r="Y561" s="159">
        <v>0</v>
      </c>
      <c r="Z561" s="159">
        <v>0</v>
      </c>
      <c r="AA561" s="159">
        <v>0</v>
      </c>
      <c r="AB561" s="159">
        <v>0</v>
      </c>
      <c r="AC561" s="159">
        <v>1500</v>
      </c>
      <c r="AD561" s="207">
        <v>94428</v>
      </c>
      <c r="AE561" s="200">
        <v>8.7379236028962595</v>
      </c>
      <c r="AF561" s="200">
        <v>13.147705111617</v>
      </c>
      <c r="AG561" s="200">
        <v>11.330844480708953</v>
      </c>
      <c r="AH561" s="200">
        <v>0</v>
      </c>
      <c r="AI561" s="200">
        <v>0</v>
      </c>
      <c r="AJ561" s="200">
        <v>0</v>
      </c>
      <c r="AL561" s="197">
        <f t="shared" si="76"/>
        <v>108249.02188827358</v>
      </c>
      <c r="AM561" s="197" t="str">
        <f t="shared" si="77"/>
        <v>Regional DayCab 8</v>
      </c>
      <c r="AN561" s="3">
        <f t="shared" si="78"/>
        <v>21.441575572352832</v>
      </c>
      <c r="AO561" s="3">
        <f t="shared" si="79"/>
        <v>8.2763246936918176</v>
      </c>
      <c r="AP561" s="3">
        <f t="shared" si="80"/>
        <v>0</v>
      </c>
      <c r="AQ561" s="3">
        <f t="shared" si="81"/>
        <v>0</v>
      </c>
      <c r="AR561" s="3">
        <f t="shared" si="82"/>
        <v>8.2763246936918176</v>
      </c>
      <c r="AS561" s="81">
        <f t="shared" si="83"/>
        <v>1</v>
      </c>
      <c r="AT561" s="81">
        <f t="shared" si="84"/>
        <v>0</v>
      </c>
    </row>
    <row r="562" spans="1:46" x14ac:dyDescent="0.25">
      <c r="A562" t="s">
        <v>807</v>
      </c>
      <c r="B562">
        <v>2035</v>
      </c>
      <c r="C562" t="s">
        <v>680</v>
      </c>
      <c r="D562" t="s">
        <v>833</v>
      </c>
      <c r="E562" t="s">
        <v>2278</v>
      </c>
      <c r="F562">
        <v>7</v>
      </c>
      <c r="G562" t="s">
        <v>2298</v>
      </c>
      <c r="H562" s="460">
        <v>9519.853428612334</v>
      </c>
      <c r="I562">
        <v>4204</v>
      </c>
      <c r="J562">
        <v>0</v>
      </c>
      <c r="K562" s="67">
        <v>2.9145600000000003</v>
      </c>
      <c r="L562" s="159">
        <v>150</v>
      </c>
      <c r="M562" s="159">
        <v>16998</v>
      </c>
      <c r="N562" s="159">
        <v>220</v>
      </c>
      <c r="O562" s="159">
        <v>392</v>
      </c>
      <c r="P562" s="159">
        <v>6464</v>
      </c>
      <c r="Q562" s="159">
        <v>1500</v>
      </c>
      <c r="R562" s="159">
        <v>2000</v>
      </c>
      <c r="S562" s="159">
        <v>62788</v>
      </c>
      <c r="T562" s="159">
        <v>0</v>
      </c>
      <c r="U562" s="159">
        <v>991</v>
      </c>
      <c r="V562" s="159">
        <v>4500</v>
      </c>
      <c r="W562" s="159">
        <v>186</v>
      </c>
      <c r="X562" s="159">
        <v>120</v>
      </c>
      <c r="Y562" s="159">
        <v>1500</v>
      </c>
      <c r="Z562" s="159">
        <v>2152</v>
      </c>
      <c r="AA562" s="159">
        <v>0</v>
      </c>
      <c r="AB562" s="159">
        <v>0</v>
      </c>
      <c r="AC562" s="159">
        <v>1500</v>
      </c>
      <c r="AD562" s="207">
        <v>101461</v>
      </c>
      <c r="AE562" s="200">
        <v>11.636261610330752</v>
      </c>
      <c r="AF562" s="200">
        <v>13.351147556214357</v>
      </c>
      <c r="AG562" s="200">
        <v>10.793287773818895</v>
      </c>
      <c r="AH562" s="200">
        <v>0</v>
      </c>
      <c r="AI562" s="200">
        <v>0</v>
      </c>
      <c r="AJ562" s="200">
        <v>0</v>
      </c>
      <c r="AL562" s="197">
        <f t="shared" si="76"/>
        <v>116311.41197320844</v>
      </c>
      <c r="AM562" s="197" t="str">
        <f t="shared" si="77"/>
        <v>Regional DayCab 8</v>
      </c>
      <c r="AN562" s="3">
        <f t="shared" si="78"/>
        <v>20.782988845104239</v>
      </c>
      <c r="AO562" s="3">
        <f t="shared" si="79"/>
        <v>8.0221140096274706</v>
      </c>
      <c r="AP562" s="3">
        <f t="shared" si="80"/>
        <v>0</v>
      </c>
      <c r="AQ562" s="3">
        <f t="shared" si="81"/>
        <v>0</v>
      </c>
      <c r="AR562" s="3">
        <f t="shared" si="82"/>
        <v>8.0221140096274706</v>
      </c>
      <c r="AS562" s="81">
        <f t="shared" si="83"/>
        <v>1</v>
      </c>
      <c r="AT562" s="81">
        <f t="shared" si="84"/>
        <v>0</v>
      </c>
    </row>
    <row r="563" spans="1:46" x14ac:dyDescent="0.25">
      <c r="A563" t="s">
        <v>808</v>
      </c>
      <c r="B563">
        <v>2035</v>
      </c>
      <c r="C563" t="s">
        <v>680</v>
      </c>
      <c r="D563" t="s">
        <v>833</v>
      </c>
      <c r="E563" t="s">
        <v>2278</v>
      </c>
      <c r="F563">
        <v>7</v>
      </c>
      <c r="G563" t="s">
        <v>2299</v>
      </c>
      <c r="H563" s="460">
        <v>10885.657472625029</v>
      </c>
      <c r="I563">
        <v>4204</v>
      </c>
      <c r="J563">
        <v>200.00000001335161</v>
      </c>
      <c r="K563" s="67">
        <v>285.98399999999998</v>
      </c>
      <c r="L563" s="159">
        <v>0</v>
      </c>
      <c r="M563" s="159">
        <v>14640</v>
      </c>
      <c r="N563" s="159">
        <v>220</v>
      </c>
      <c r="O563" s="159">
        <v>0</v>
      </c>
      <c r="P563" s="159">
        <v>4017</v>
      </c>
      <c r="Q563" s="159">
        <v>1500</v>
      </c>
      <c r="R563" s="159">
        <v>2000</v>
      </c>
      <c r="S563" s="159">
        <v>62788</v>
      </c>
      <c r="T563" s="159">
        <v>3701</v>
      </c>
      <c r="U563" s="159">
        <v>45757</v>
      </c>
      <c r="V563" s="159">
        <v>4500</v>
      </c>
      <c r="W563" s="159">
        <v>186</v>
      </c>
      <c r="X563" s="159">
        <v>0</v>
      </c>
      <c r="Y563" s="159">
        <v>1500</v>
      </c>
      <c r="Z563" s="159">
        <v>4649</v>
      </c>
      <c r="AA563" s="159">
        <v>0</v>
      </c>
      <c r="AB563" s="159">
        <v>0</v>
      </c>
      <c r="AC563" s="159">
        <v>1500</v>
      </c>
      <c r="AD563" s="207">
        <v>146958</v>
      </c>
      <c r="AE563" s="200">
        <v>11.668352734726454</v>
      </c>
      <c r="AF563" s="200">
        <v>9.8854020919260979</v>
      </c>
      <c r="AG563" s="200">
        <v>8.8188961679485409</v>
      </c>
      <c r="AH563" s="200">
        <v>1327</v>
      </c>
      <c r="AI563" s="200">
        <v>1537</v>
      </c>
      <c r="AJ563" s="200">
        <v>1906</v>
      </c>
      <c r="AL563" s="197">
        <f t="shared" si="76"/>
        <v>168467.61298192179</v>
      </c>
      <c r="AM563" s="197" t="str">
        <f t="shared" si="77"/>
        <v>Regional DayCab 8</v>
      </c>
      <c r="AN563" s="3">
        <f t="shared" si="78"/>
        <v>4.9890009581669004</v>
      </c>
      <c r="AO563" s="3">
        <f t="shared" si="79"/>
        <v>1.9257256393121462</v>
      </c>
      <c r="AP563" s="3">
        <f t="shared" si="80"/>
        <v>86.160040762051523</v>
      </c>
      <c r="AQ563" s="3">
        <f t="shared" si="81"/>
        <v>3.1017614674338549</v>
      </c>
      <c r="AR563" s="3">
        <f t="shared" si="82"/>
        <v>5.0274871067460012</v>
      </c>
      <c r="AS563" s="81">
        <f t="shared" si="83"/>
        <v>0.38303939889336802</v>
      </c>
      <c r="AT563" s="81">
        <f t="shared" si="84"/>
        <v>0.61696060110663198</v>
      </c>
    </row>
    <row r="564" spans="1:46" x14ac:dyDescent="0.25">
      <c r="A564" t="s">
        <v>230</v>
      </c>
      <c r="B564">
        <v>2035</v>
      </c>
      <c r="C564" t="s">
        <v>680</v>
      </c>
      <c r="D564" t="s">
        <v>833</v>
      </c>
      <c r="E564" t="s">
        <v>2278</v>
      </c>
      <c r="F564">
        <v>7</v>
      </c>
      <c r="G564" t="s">
        <v>2300</v>
      </c>
      <c r="H564" s="460">
        <v>10123.190062800277</v>
      </c>
      <c r="I564">
        <v>4204</v>
      </c>
      <c r="J564">
        <v>250.00000001668948</v>
      </c>
      <c r="K564" s="67">
        <v>363.06562500000001</v>
      </c>
      <c r="L564" s="159">
        <v>0</v>
      </c>
      <c r="M564" s="159">
        <v>0</v>
      </c>
      <c r="N564" s="159">
        <v>0</v>
      </c>
      <c r="O564" s="159">
        <v>0</v>
      </c>
      <c r="P564" s="159">
        <v>2878</v>
      </c>
      <c r="Q564" s="159">
        <v>1500</v>
      </c>
      <c r="R564" s="159">
        <v>2000</v>
      </c>
      <c r="S564" s="159">
        <v>62788</v>
      </c>
      <c r="T564" s="159">
        <v>0</v>
      </c>
      <c r="U564" s="159">
        <v>58091</v>
      </c>
      <c r="V564" s="159">
        <v>4500</v>
      </c>
      <c r="W564" s="159">
        <v>186</v>
      </c>
      <c r="X564" s="159">
        <v>0</v>
      </c>
      <c r="Y564" s="159">
        <v>1500</v>
      </c>
      <c r="Z564" s="159">
        <v>3116</v>
      </c>
      <c r="AA564" s="159">
        <v>0</v>
      </c>
      <c r="AB564" s="159">
        <v>0</v>
      </c>
      <c r="AC564" s="159">
        <v>1500</v>
      </c>
      <c r="AD564" s="207">
        <v>138059</v>
      </c>
      <c r="AE564" s="200">
        <v>0</v>
      </c>
      <c r="AF564" s="200">
        <v>0</v>
      </c>
      <c r="AG564" s="200">
        <v>0</v>
      </c>
      <c r="AH564" s="200">
        <v>1223</v>
      </c>
      <c r="AI564" s="200">
        <v>1345</v>
      </c>
      <c r="AJ564" s="200">
        <v>1677</v>
      </c>
      <c r="AL564" s="197">
        <f t="shared" si="76"/>
        <v>158266.10446978823</v>
      </c>
      <c r="AM564" s="197" t="str">
        <f t="shared" si="77"/>
        <v>Regional DayCab 8</v>
      </c>
      <c r="AN564" s="3">
        <f t="shared" si="78"/>
        <v>0</v>
      </c>
      <c r="AO564" s="3">
        <f t="shared" si="79"/>
        <v>0</v>
      </c>
      <c r="AP564" s="3">
        <f t="shared" si="80"/>
        <v>95.337218984179842</v>
      </c>
      <c r="AQ564" s="3">
        <f t="shared" si="81"/>
        <v>3.4321398834304744</v>
      </c>
      <c r="AR564" s="3">
        <f t="shared" si="82"/>
        <v>3.4321398834304744</v>
      </c>
      <c r="AS564" s="81">
        <f t="shared" si="83"/>
        <v>0</v>
      </c>
      <c r="AT564" s="81">
        <f t="shared" si="84"/>
        <v>1</v>
      </c>
    </row>
    <row r="565" spans="1:46" x14ac:dyDescent="0.25">
      <c r="A565" t="s">
        <v>496</v>
      </c>
      <c r="B565">
        <v>2035</v>
      </c>
      <c r="C565" t="s">
        <v>680</v>
      </c>
      <c r="D565" t="s">
        <v>833</v>
      </c>
      <c r="E565" t="s">
        <v>2278</v>
      </c>
      <c r="F565">
        <v>7</v>
      </c>
      <c r="G565" t="s">
        <v>2301</v>
      </c>
      <c r="H565" s="460">
        <v>9138.9253191929347</v>
      </c>
      <c r="I565">
        <v>4204</v>
      </c>
      <c r="J565">
        <v>250.00000001668948</v>
      </c>
      <c r="K565" s="67">
        <v>6.7320000000000011</v>
      </c>
      <c r="L565" s="159">
        <v>0</v>
      </c>
      <c r="M565" s="159">
        <v>0</v>
      </c>
      <c r="N565" s="159">
        <v>0</v>
      </c>
      <c r="O565" s="159">
        <v>0</v>
      </c>
      <c r="P565" s="159">
        <v>3115</v>
      </c>
      <c r="Q565" s="159">
        <v>1500</v>
      </c>
      <c r="R565" s="159">
        <v>2000</v>
      </c>
      <c r="S565" s="159">
        <v>62788</v>
      </c>
      <c r="T565" s="159">
        <v>0</v>
      </c>
      <c r="U565" s="159">
        <v>2290</v>
      </c>
      <c r="V565" s="159">
        <v>4500</v>
      </c>
      <c r="W565" s="159">
        <v>186</v>
      </c>
      <c r="X565" s="159">
        <v>0</v>
      </c>
      <c r="Y565" s="159">
        <v>1500</v>
      </c>
      <c r="Z565" s="159">
        <v>3435</v>
      </c>
      <c r="AA565" s="159">
        <v>30966</v>
      </c>
      <c r="AB565" s="159">
        <v>12468</v>
      </c>
      <c r="AC565" s="159">
        <v>1500</v>
      </c>
      <c r="AD565" s="207">
        <v>126248</v>
      </c>
      <c r="AE565" s="200">
        <v>16.29017618614699</v>
      </c>
      <c r="AF565" s="200">
        <v>15.445911909935482</v>
      </c>
      <c r="AG565" s="200">
        <v>11.972264201591306</v>
      </c>
      <c r="AH565" s="200">
        <v>0</v>
      </c>
      <c r="AI565" s="200">
        <v>0</v>
      </c>
      <c r="AJ565" s="200">
        <v>0</v>
      </c>
      <c r="AL565" s="197">
        <f t="shared" si="76"/>
        <v>144726.37899087943</v>
      </c>
      <c r="AM565" s="197" t="str">
        <f t="shared" si="77"/>
        <v>Regional DayCab 8</v>
      </c>
      <c r="AN565" s="3">
        <f t="shared" si="78"/>
        <v>17.90610583627943</v>
      </c>
      <c r="AO565" s="3">
        <f t="shared" si="79"/>
        <v>6.9116537355466665</v>
      </c>
      <c r="AP565" s="3">
        <f t="shared" si="80"/>
        <v>0</v>
      </c>
      <c r="AQ565" s="3">
        <f t="shared" si="81"/>
        <v>0</v>
      </c>
      <c r="AR565" s="3">
        <f t="shared" si="82"/>
        <v>6.9116537355466665</v>
      </c>
      <c r="AS565" s="81">
        <f t="shared" si="83"/>
        <v>1</v>
      </c>
      <c r="AT565" s="81">
        <f t="shared" si="84"/>
        <v>0</v>
      </c>
    </row>
    <row r="566" spans="1:46" x14ac:dyDescent="0.25">
      <c r="A566" t="s">
        <v>828</v>
      </c>
      <c r="B566">
        <v>2035</v>
      </c>
      <c r="C566" t="s">
        <v>680</v>
      </c>
      <c r="D566" t="s">
        <v>833</v>
      </c>
      <c r="E566" t="s">
        <v>2278</v>
      </c>
      <c r="F566">
        <v>7</v>
      </c>
      <c r="G566" t="s">
        <v>2302</v>
      </c>
      <c r="H566" s="460">
        <v>9131.4205807517938</v>
      </c>
      <c r="I566">
        <v>4204</v>
      </c>
      <c r="J566">
        <v>250.00000001668948</v>
      </c>
      <c r="K566" s="67">
        <v>25.569749999999999</v>
      </c>
      <c r="L566" s="159">
        <v>0</v>
      </c>
      <c r="M566" s="159">
        <v>0</v>
      </c>
      <c r="N566" s="159">
        <v>0</v>
      </c>
      <c r="O566" s="159">
        <v>0</v>
      </c>
      <c r="P566" s="159">
        <v>3444</v>
      </c>
      <c r="Q566" s="159">
        <v>1500</v>
      </c>
      <c r="R566" s="159">
        <v>2000</v>
      </c>
      <c r="S566" s="159">
        <v>62788</v>
      </c>
      <c r="T566" s="159">
        <v>0</v>
      </c>
      <c r="U566" s="159">
        <v>4091</v>
      </c>
      <c r="V566" s="159">
        <v>4500</v>
      </c>
      <c r="W566" s="159">
        <v>186</v>
      </c>
      <c r="X566" s="159">
        <v>0</v>
      </c>
      <c r="Y566" s="159">
        <v>1500</v>
      </c>
      <c r="Z566" s="159">
        <v>3878</v>
      </c>
      <c r="AA566" s="159">
        <v>24094</v>
      </c>
      <c r="AB566" s="159">
        <v>10574</v>
      </c>
      <c r="AC566" s="159">
        <v>1500</v>
      </c>
      <c r="AD566" s="207">
        <v>120055</v>
      </c>
      <c r="AE566" s="200">
        <v>16.491299386800115</v>
      </c>
      <c r="AF566" s="200">
        <v>15.203263737922381</v>
      </c>
      <c r="AG566" s="200">
        <v>11.880320123622184</v>
      </c>
      <c r="AH566" s="200">
        <v>0</v>
      </c>
      <c r="AI566" s="200">
        <v>0</v>
      </c>
      <c r="AJ566" s="200">
        <v>0</v>
      </c>
      <c r="AL566" s="197">
        <f t="shared" si="76"/>
        <v>137626.93610789898</v>
      </c>
      <c r="AM566" s="197" t="str">
        <f t="shared" si="77"/>
        <v>Regional DayCab 8</v>
      </c>
      <c r="AN566" s="3">
        <f t="shared" si="78"/>
        <v>18.011277533133352</v>
      </c>
      <c r="AO566" s="3">
        <f t="shared" si="79"/>
        <v>6.9522494048720107</v>
      </c>
      <c r="AP566" s="3">
        <f t="shared" si="80"/>
        <v>0</v>
      </c>
      <c r="AQ566" s="3">
        <f t="shared" si="81"/>
        <v>0</v>
      </c>
      <c r="AR566" s="3">
        <f t="shared" si="82"/>
        <v>6.9522494048720107</v>
      </c>
      <c r="AS566" s="81">
        <f t="shared" si="83"/>
        <v>1</v>
      </c>
      <c r="AT566" s="81">
        <f t="shared" si="84"/>
        <v>0</v>
      </c>
    </row>
    <row r="567" spans="1:46" x14ac:dyDescent="0.25">
      <c r="A567" t="s">
        <v>805</v>
      </c>
      <c r="B567">
        <v>2050</v>
      </c>
      <c r="C567" t="s">
        <v>680</v>
      </c>
      <c r="D567" t="s">
        <v>833</v>
      </c>
      <c r="E567" t="s">
        <v>2278</v>
      </c>
      <c r="F567">
        <v>7</v>
      </c>
      <c r="G567" t="s">
        <v>2303</v>
      </c>
      <c r="H567" s="460">
        <v>9400.8056401136109</v>
      </c>
      <c r="I567">
        <v>4204</v>
      </c>
      <c r="J567">
        <v>0</v>
      </c>
      <c r="K567" s="67">
        <v>0</v>
      </c>
      <c r="L567" s="159">
        <v>150</v>
      </c>
      <c r="M567" s="159">
        <v>16667</v>
      </c>
      <c r="N567" s="159">
        <v>1920</v>
      </c>
      <c r="O567" s="159">
        <v>392</v>
      </c>
      <c r="P567" s="159">
        <v>6350</v>
      </c>
      <c r="Q567" s="159">
        <v>1500</v>
      </c>
      <c r="R567" s="159">
        <v>2000</v>
      </c>
      <c r="S567" s="159">
        <v>63020</v>
      </c>
      <c r="T567" s="159">
        <v>110</v>
      </c>
      <c r="U567" s="159">
        <v>120</v>
      </c>
      <c r="V567" s="159">
        <v>0</v>
      </c>
      <c r="W567" s="159">
        <v>186</v>
      </c>
      <c r="X567" s="159">
        <v>0</v>
      </c>
      <c r="Y567" s="159">
        <v>0</v>
      </c>
      <c r="Z567" s="159">
        <v>0</v>
      </c>
      <c r="AA567" s="159">
        <v>0</v>
      </c>
      <c r="AB567" s="159">
        <v>0</v>
      </c>
      <c r="AC567" s="159">
        <v>1500</v>
      </c>
      <c r="AD567" s="207">
        <v>93915</v>
      </c>
      <c r="AE567" s="200">
        <v>9.2199716347756109</v>
      </c>
      <c r="AF567" s="200">
        <v>14.529589363453688</v>
      </c>
      <c r="AG567" s="200">
        <v>12.563132724314654</v>
      </c>
      <c r="AH567" s="200">
        <v>0</v>
      </c>
      <c r="AI567" s="200">
        <v>0</v>
      </c>
      <c r="AJ567" s="200">
        <v>0</v>
      </c>
      <c r="AL567" s="197">
        <f t="shared" si="76"/>
        <v>107660.93627565143</v>
      </c>
      <c r="AM567" s="197" t="str">
        <f t="shared" si="77"/>
        <v>Regional DayCab 8</v>
      </c>
      <c r="AN567" s="3">
        <f t="shared" si="78"/>
        <v>19.581754728506695</v>
      </c>
      <c r="AO567" s="3">
        <f t="shared" si="79"/>
        <v>7.5584445582593318</v>
      </c>
      <c r="AP567" s="3">
        <f t="shared" si="80"/>
        <v>0</v>
      </c>
      <c r="AQ567" s="3">
        <f t="shared" si="81"/>
        <v>0</v>
      </c>
      <c r="AR567" s="3">
        <f t="shared" si="82"/>
        <v>7.5584445582593318</v>
      </c>
      <c r="AS567" s="81">
        <f t="shared" si="83"/>
        <v>1</v>
      </c>
      <c r="AT567" s="81">
        <f t="shared" si="84"/>
        <v>0</v>
      </c>
    </row>
    <row r="568" spans="1:46" x14ac:dyDescent="0.25">
      <c r="A568" t="s">
        <v>807</v>
      </c>
      <c r="B568">
        <v>2050</v>
      </c>
      <c r="C568" t="s">
        <v>680</v>
      </c>
      <c r="D568" t="s">
        <v>833</v>
      </c>
      <c r="E568" t="s">
        <v>2278</v>
      </c>
      <c r="F568">
        <v>7</v>
      </c>
      <c r="G568" t="s">
        <v>2304</v>
      </c>
      <c r="H568" s="460">
        <v>9461.9429571773817</v>
      </c>
      <c r="I568">
        <v>4204</v>
      </c>
      <c r="J568">
        <v>0</v>
      </c>
      <c r="K568" s="67">
        <v>3.0096000000000003</v>
      </c>
      <c r="L568" s="159">
        <v>150</v>
      </c>
      <c r="M568" s="159">
        <v>16758</v>
      </c>
      <c r="N568" s="159">
        <v>220</v>
      </c>
      <c r="O568" s="159">
        <v>392</v>
      </c>
      <c r="P568" s="159">
        <v>6389</v>
      </c>
      <c r="Q568" s="159">
        <v>1500</v>
      </c>
      <c r="R568" s="159">
        <v>2000</v>
      </c>
      <c r="S568" s="159">
        <v>63020</v>
      </c>
      <c r="T568" s="159">
        <v>0</v>
      </c>
      <c r="U568" s="159">
        <v>967</v>
      </c>
      <c r="V568" s="159">
        <v>4500</v>
      </c>
      <c r="W568" s="159">
        <v>186</v>
      </c>
      <c r="X568" s="159">
        <v>120</v>
      </c>
      <c r="Y568" s="159">
        <v>1500</v>
      </c>
      <c r="Z568" s="159">
        <v>1535</v>
      </c>
      <c r="AA568" s="159">
        <v>0</v>
      </c>
      <c r="AB568" s="159">
        <v>0</v>
      </c>
      <c r="AC568" s="159">
        <v>1500</v>
      </c>
      <c r="AD568" s="207">
        <v>100737</v>
      </c>
      <c r="AE568" s="200">
        <v>12.862164457543258</v>
      </c>
      <c r="AF568" s="200">
        <v>14.877572319986092</v>
      </c>
      <c r="AG568" s="200">
        <v>12.144651253985955</v>
      </c>
      <c r="AH568" s="200">
        <v>0</v>
      </c>
      <c r="AI568" s="200">
        <v>0</v>
      </c>
      <c r="AJ568" s="200">
        <v>0</v>
      </c>
      <c r="AL568" s="197">
        <f t="shared" si="76"/>
        <v>115481.44319438108</v>
      </c>
      <c r="AM568" s="197" t="str">
        <f t="shared" si="77"/>
        <v>Regional DayCab 8</v>
      </c>
      <c r="AN568" s="3">
        <f t="shared" si="78"/>
        <v>18.557696679527098</v>
      </c>
      <c r="AO568" s="3">
        <f t="shared" si="79"/>
        <v>7.1631640486743873</v>
      </c>
      <c r="AP568" s="3">
        <f t="shared" si="80"/>
        <v>0</v>
      </c>
      <c r="AQ568" s="3">
        <f t="shared" si="81"/>
        <v>0</v>
      </c>
      <c r="AR568" s="3">
        <f t="shared" si="82"/>
        <v>7.1631640486743873</v>
      </c>
      <c r="AS568" s="81">
        <f t="shared" si="83"/>
        <v>1</v>
      </c>
      <c r="AT568" s="81">
        <f t="shared" si="84"/>
        <v>0</v>
      </c>
    </row>
    <row r="569" spans="1:46" x14ac:dyDescent="0.25">
      <c r="A569" t="s">
        <v>808</v>
      </c>
      <c r="B569">
        <v>2050</v>
      </c>
      <c r="C569" t="s">
        <v>680</v>
      </c>
      <c r="D569" t="s">
        <v>833</v>
      </c>
      <c r="E569" t="s">
        <v>2278</v>
      </c>
      <c r="F569">
        <v>7</v>
      </c>
      <c r="G569" t="s">
        <v>2305</v>
      </c>
      <c r="H569" s="460">
        <v>10226.840580682776</v>
      </c>
      <c r="I569">
        <v>4204</v>
      </c>
      <c r="J569">
        <v>200.00000001335161</v>
      </c>
      <c r="K569" s="67">
        <v>258.05587500000001</v>
      </c>
      <c r="L569" s="159">
        <v>0</v>
      </c>
      <c r="M569" s="159">
        <v>13895</v>
      </c>
      <c r="N569" s="159">
        <v>220</v>
      </c>
      <c r="O569" s="159">
        <v>0</v>
      </c>
      <c r="P569" s="159">
        <v>3858</v>
      </c>
      <c r="Q569" s="159">
        <v>1500</v>
      </c>
      <c r="R569" s="159">
        <v>2000</v>
      </c>
      <c r="S569" s="159">
        <v>63020</v>
      </c>
      <c r="T569" s="159">
        <v>2352</v>
      </c>
      <c r="U569" s="159">
        <v>23225</v>
      </c>
      <c r="V569" s="159">
        <v>4500</v>
      </c>
      <c r="W569" s="159">
        <v>186</v>
      </c>
      <c r="X569" s="159">
        <v>0</v>
      </c>
      <c r="Y569" s="159">
        <v>1500</v>
      </c>
      <c r="Z569" s="159">
        <v>3240</v>
      </c>
      <c r="AA569" s="159">
        <v>0</v>
      </c>
      <c r="AB569" s="159">
        <v>0</v>
      </c>
      <c r="AC569" s="159">
        <v>1500</v>
      </c>
      <c r="AD569" s="207">
        <v>120996</v>
      </c>
      <c r="AE569" s="200">
        <v>13.570877048719389</v>
      </c>
      <c r="AF569" s="200">
        <v>11.327804227517735</v>
      </c>
      <c r="AG569" s="200">
        <v>10.007928490074368</v>
      </c>
      <c r="AH569" s="200">
        <v>1166</v>
      </c>
      <c r="AI569" s="200">
        <v>1372</v>
      </c>
      <c r="AJ569" s="200">
        <v>1706</v>
      </c>
      <c r="AL569" s="197">
        <f t="shared" si="76"/>
        <v>138705.66624723122</v>
      </c>
      <c r="AM569" s="197" t="str">
        <f t="shared" si="77"/>
        <v>Regional DayCab 8</v>
      </c>
      <c r="AN569" s="3">
        <f t="shared" si="78"/>
        <v>4.3729872275274069</v>
      </c>
      <c r="AO569" s="3">
        <f t="shared" si="79"/>
        <v>1.6879478867705493</v>
      </c>
      <c r="AP569" s="3">
        <f t="shared" si="80"/>
        <v>76.882200156585924</v>
      </c>
      <c r="AQ569" s="3">
        <f t="shared" si="81"/>
        <v>2.7677592056370934</v>
      </c>
      <c r="AR569" s="3">
        <f t="shared" si="82"/>
        <v>4.4557070924076427</v>
      </c>
      <c r="AS569" s="81">
        <f t="shared" si="83"/>
        <v>0.37882828735460394</v>
      </c>
      <c r="AT569" s="81">
        <f t="shared" si="84"/>
        <v>0.62117171264539606</v>
      </c>
    </row>
    <row r="570" spans="1:46" x14ac:dyDescent="0.25">
      <c r="A570" t="s">
        <v>230</v>
      </c>
      <c r="B570">
        <v>2050</v>
      </c>
      <c r="C570" t="s">
        <v>680</v>
      </c>
      <c r="D570" t="s">
        <v>833</v>
      </c>
      <c r="E570" t="s">
        <v>2278</v>
      </c>
      <c r="F570">
        <v>7</v>
      </c>
      <c r="G570" t="s">
        <v>2306</v>
      </c>
      <c r="H570" s="460">
        <v>9407.4663676737127</v>
      </c>
      <c r="I570">
        <v>4204</v>
      </c>
      <c r="J570">
        <v>250.00000001668948</v>
      </c>
      <c r="K570" s="67">
        <v>324.95925</v>
      </c>
      <c r="L570" s="159">
        <v>0</v>
      </c>
      <c r="M570" s="159">
        <v>0</v>
      </c>
      <c r="N570" s="159">
        <v>0</v>
      </c>
      <c r="O570" s="159">
        <v>0</v>
      </c>
      <c r="P570" s="159">
        <v>2872</v>
      </c>
      <c r="Q570" s="159">
        <v>1500</v>
      </c>
      <c r="R570" s="159">
        <v>2000</v>
      </c>
      <c r="S570" s="159">
        <v>63020</v>
      </c>
      <c r="T570" s="159">
        <v>0</v>
      </c>
      <c r="U570" s="159">
        <v>29246</v>
      </c>
      <c r="V570" s="159">
        <v>4500</v>
      </c>
      <c r="W570" s="159">
        <v>186</v>
      </c>
      <c r="X570" s="159">
        <v>0</v>
      </c>
      <c r="Y570" s="159">
        <v>1500</v>
      </c>
      <c r="Z570" s="159">
        <v>2266</v>
      </c>
      <c r="AA570" s="159">
        <v>0</v>
      </c>
      <c r="AB570" s="159">
        <v>0</v>
      </c>
      <c r="AC570" s="159">
        <v>1500</v>
      </c>
      <c r="AD570" s="207">
        <v>108590</v>
      </c>
      <c r="AE570" s="200">
        <v>0</v>
      </c>
      <c r="AF570" s="200">
        <v>0</v>
      </c>
      <c r="AG570" s="200">
        <v>0</v>
      </c>
      <c r="AH570" s="200">
        <v>1063</v>
      </c>
      <c r="AI570" s="200">
        <v>1191</v>
      </c>
      <c r="AJ570" s="200">
        <v>1491</v>
      </c>
      <c r="AL570" s="197">
        <f t="shared" si="76"/>
        <v>124483.85316693808</v>
      </c>
      <c r="AM570" s="197" t="str">
        <f t="shared" si="77"/>
        <v>Regional DayCab 8</v>
      </c>
      <c r="AN570" s="3">
        <f t="shared" si="78"/>
        <v>0</v>
      </c>
      <c r="AO570" s="3">
        <f t="shared" si="79"/>
        <v>0</v>
      </c>
      <c r="AP570" s="3">
        <f t="shared" si="80"/>
        <v>84.42467098313594</v>
      </c>
      <c r="AQ570" s="3">
        <f t="shared" si="81"/>
        <v>3.0392881553928941</v>
      </c>
      <c r="AR570" s="3">
        <f t="shared" si="82"/>
        <v>3.0392881553928941</v>
      </c>
      <c r="AS570" s="81">
        <f t="shared" si="83"/>
        <v>0</v>
      </c>
      <c r="AT570" s="81">
        <f t="shared" si="84"/>
        <v>1</v>
      </c>
    </row>
    <row r="571" spans="1:46" x14ac:dyDescent="0.25">
      <c r="A571" t="s">
        <v>496</v>
      </c>
      <c r="B571">
        <v>2050</v>
      </c>
      <c r="C571" t="s">
        <v>680</v>
      </c>
      <c r="D571" t="s">
        <v>833</v>
      </c>
      <c r="E571" t="s">
        <v>2278</v>
      </c>
      <c r="F571">
        <v>7</v>
      </c>
      <c r="G571" t="s">
        <v>2307</v>
      </c>
      <c r="H571" s="460">
        <v>8942.945218378627</v>
      </c>
      <c r="I571">
        <v>4204</v>
      </c>
      <c r="J571">
        <v>250.00000001668948</v>
      </c>
      <c r="K571" s="67">
        <v>6.3201600000000013</v>
      </c>
      <c r="L571" s="159">
        <v>0</v>
      </c>
      <c r="M571" s="159">
        <v>0</v>
      </c>
      <c r="N571" s="159">
        <v>0</v>
      </c>
      <c r="O571" s="159">
        <v>0</v>
      </c>
      <c r="P571" s="159">
        <v>3092</v>
      </c>
      <c r="Q571" s="159">
        <v>1500</v>
      </c>
      <c r="R571" s="159">
        <v>2000</v>
      </c>
      <c r="S571" s="159">
        <v>63020</v>
      </c>
      <c r="T571" s="159">
        <v>0</v>
      </c>
      <c r="U571" s="159">
        <v>2030</v>
      </c>
      <c r="V571" s="159">
        <v>4500</v>
      </c>
      <c r="W571" s="159">
        <v>186</v>
      </c>
      <c r="X571" s="159">
        <v>0</v>
      </c>
      <c r="Y571" s="159">
        <v>1500</v>
      </c>
      <c r="Z571" s="159">
        <v>2483</v>
      </c>
      <c r="AA571" s="159">
        <v>22986</v>
      </c>
      <c r="AB571" s="159">
        <v>7108</v>
      </c>
      <c r="AC571" s="159">
        <v>1500</v>
      </c>
      <c r="AD571" s="207">
        <v>111905</v>
      </c>
      <c r="AE571" s="200">
        <v>18.76227631716263</v>
      </c>
      <c r="AF571" s="200">
        <v>18.125019228053858</v>
      </c>
      <c r="AG571" s="200">
        <v>14.064807564801107</v>
      </c>
      <c r="AH571" s="200">
        <v>0</v>
      </c>
      <c r="AI571" s="200">
        <v>0</v>
      </c>
      <c r="AJ571" s="200">
        <v>0</v>
      </c>
      <c r="AL571" s="197">
        <f t="shared" si="76"/>
        <v>128284.05551750811</v>
      </c>
      <c r="AM571" s="197" t="str">
        <f t="shared" si="77"/>
        <v>Regional DayCab 8</v>
      </c>
      <c r="AN571" s="3">
        <f t="shared" si="78"/>
        <v>15.291252026369879</v>
      </c>
      <c r="AO571" s="3">
        <f t="shared" si="79"/>
        <v>5.9023352232796231</v>
      </c>
      <c r="AP571" s="3">
        <f t="shared" si="80"/>
        <v>0</v>
      </c>
      <c r="AQ571" s="3">
        <f t="shared" si="81"/>
        <v>0</v>
      </c>
      <c r="AR571" s="3">
        <f t="shared" si="82"/>
        <v>5.9023352232796231</v>
      </c>
      <c r="AS571" s="81">
        <f t="shared" si="83"/>
        <v>1</v>
      </c>
      <c r="AT571" s="81">
        <f t="shared" si="84"/>
        <v>0</v>
      </c>
    </row>
    <row r="572" spans="1:46" x14ac:dyDescent="0.25">
      <c r="A572" t="s">
        <v>828</v>
      </c>
      <c r="B572">
        <v>2050</v>
      </c>
      <c r="C572" t="s">
        <v>680</v>
      </c>
      <c r="D572" t="s">
        <v>833</v>
      </c>
      <c r="E572" t="s">
        <v>2278</v>
      </c>
      <c r="F572">
        <v>7</v>
      </c>
      <c r="G572" t="s">
        <v>2308</v>
      </c>
      <c r="H572" s="460">
        <v>8894.0085259653351</v>
      </c>
      <c r="I572">
        <v>4204</v>
      </c>
      <c r="J572">
        <v>250.00000001668948</v>
      </c>
      <c r="K572" s="67">
        <v>28.797000000000001</v>
      </c>
      <c r="L572" s="159">
        <v>0</v>
      </c>
      <c r="M572" s="159">
        <v>0</v>
      </c>
      <c r="N572" s="159">
        <v>0</v>
      </c>
      <c r="O572" s="159">
        <v>0</v>
      </c>
      <c r="P572" s="159">
        <v>3415</v>
      </c>
      <c r="Q572" s="159">
        <v>1500</v>
      </c>
      <c r="R572" s="159">
        <v>2000</v>
      </c>
      <c r="S572" s="159">
        <v>63020</v>
      </c>
      <c r="T572" s="159">
        <v>0</v>
      </c>
      <c r="U572" s="159">
        <v>2592</v>
      </c>
      <c r="V572" s="159">
        <v>4500</v>
      </c>
      <c r="W572" s="159">
        <v>186</v>
      </c>
      <c r="X572" s="159">
        <v>0</v>
      </c>
      <c r="Y572" s="159">
        <v>1500</v>
      </c>
      <c r="Z572" s="159">
        <v>2801</v>
      </c>
      <c r="AA572" s="159">
        <v>15996</v>
      </c>
      <c r="AB572" s="159">
        <v>5779</v>
      </c>
      <c r="AC572" s="159">
        <v>1500</v>
      </c>
      <c r="AD572" s="207">
        <v>104789</v>
      </c>
      <c r="AE572" s="200">
        <v>19.217555803473505</v>
      </c>
      <c r="AF572" s="200">
        <v>17.715609707872542</v>
      </c>
      <c r="AG572" s="200">
        <v>13.857621914886401</v>
      </c>
      <c r="AH572" s="200">
        <v>0</v>
      </c>
      <c r="AI572" s="200">
        <v>0</v>
      </c>
      <c r="AJ572" s="200">
        <v>0</v>
      </c>
      <c r="AL572" s="197">
        <f t="shared" si="76"/>
        <v>120126.51707809443</v>
      </c>
      <c r="AM572" s="197" t="str">
        <f t="shared" si="77"/>
        <v>Regional DayCab 8</v>
      </c>
      <c r="AN572" s="3">
        <f t="shared" si="78"/>
        <v>15.445829024281563</v>
      </c>
      <c r="AO572" s="3">
        <f t="shared" si="79"/>
        <v>5.9620010542991873</v>
      </c>
      <c r="AP572" s="3">
        <f t="shared" si="80"/>
        <v>0</v>
      </c>
      <c r="AQ572" s="3">
        <f t="shared" si="81"/>
        <v>0</v>
      </c>
      <c r="AR572" s="3">
        <f t="shared" si="82"/>
        <v>5.9620010542991873</v>
      </c>
      <c r="AS572" s="81">
        <f t="shared" si="83"/>
        <v>1</v>
      </c>
      <c r="AT572" s="81">
        <f t="shared" si="84"/>
        <v>0</v>
      </c>
    </row>
    <row r="573" spans="1:46" x14ac:dyDescent="0.25">
      <c r="A573" t="s">
        <v>805</v>
      </c>
      <c r="B573">
        <v>2023</v>
      </c>
      <c r="C573" t="s">
        <v>680</v>
      </c>
      <c r="D573" t="s">
        <v>834</v>
      </c>
      <c r="E573" t="s">
        <v>1028</v>
      </c>
      <c r="F573">
        <v>7</v>
      </c>
      <c r="G573" t="s">
        <v>2309</v>
      </c>
      <c r="H573" s="460">
        <v>8802.9615271902367</v>
      </c>
      <c r="I573">
        <v>4200</v>
      </c>
      <c r="J573">
        <v>0</v>
      </c>
      <c r="K573" s="67">
        <v>0</v>
      </c>
      <c r="L573" s="159">
        <v>150</v>
      </c>
      <c r="M573" s="159">
        <v>14830</v>
      </c>
      <c r="N573" s="159">
        <v>1920</v>
      </c>
      <c r="O573" s="159">
        <v>506</v>
      </c>
      <c r="P573" s="159">
        <v>4460</v>
      </c>
      <c r="Q573" s="159">
        <v>1500</v>
      </c>
      <c r="R573" s="159">
        <v>2000</v>
      </c>
      <c r="S573" s="159">
        <v>56000</v>
      </c>
      <c r="T573" s="159">
        <v>98</v>
      </c>
      <c r="U573" s="159">
        <v>120</v>
      </c>
      <c r="V573" s="159">
        <v>0</v>
      </c>
      <c r="W573" s="159">
        <v>186</v>
      </c>
      <c r="X573" s="159">
        <v>0</v>
      </c>
      <c r="Y573" s="159">
        <v>0</v>
      </c>
      <c r="Z573" s="159">
        <v>0</v>
      </c>
      <c r="AA573" s="159">
        <v>0</v>
      </c>
      <c r="AB573" s="159">
        <v>0</v>
      </c>
      <c r="AC573" s="159">
        <v>0</v>
      </c>
      <c r="AD573" s="207">
        <v>81770</v>
      </c>
      <c r="AE573" s="200">
        <v>7.6154422999916775</v>
      </c>
      <c r="AF573" s="200">
        <v>9.4625265411312842</v>
      </c>
      <c r="AG573" s="200">
        <v>7.8275827730953091</v>
      </c>
      <c r="AH573" s="200">
        <v>0</v>
      </c>
      <c r="AI573" s="200">
        <v>0</v>
      </c>
      <c r="AJ573" s="200">
        <v>0</v>
      </c>
      <c r="AL573" s="197">
        <f t="shared" si="76"/>
        <v>93738.324647394111</v>
      </c>
      <c r="AM573" s="197" t="str">
        <f t="shared" si="77"/>
        <v>Box Medium 6</v>
      </c>
      <c r="AN573" s="3">
        <f t="shared" si="78"/>
        <v>29.624097227349761</v>
      </c>
      <c r="AO573" s="3">
        <f t="shared" si="79"/>
        <v>11.434730931209181</v>
      </c>
      <c r="AP573" s="3">
        <f t="shared" si="80"/>
        <v>0</v>
      </c>
      <c r="AQ573" s="3">
        <f t="shared" si="81"/>
        <v>0</v>
      </c>
      <c r="AR573" s="3">
        <f t="shared" si="82"/>
        <v>11.434730931209181</v>
      </c>
      <c r="AS573" s="81">
        <f t="shared" si="83"/>
        <v>1</v>
      </c>
      <c r="AT573" s="81">
        <f t="shared" si="84"/>
        <v>0</v>
      </c>
    </row>
    <row r="574" spans="1:46" x14ac:dyDescent="0.25">
      <c r="A574" t="s">
        <v>807</v>
      </c>
      <c r="B574">
        <v>2023</v>
      </c>
      <c r="C574" t="s">
        <v>680</v>
      </c>
      <c r="D574" t="s">
        <v>834</v>
      </c>
      <c r="E574" t="s">
        <v>1028</v>
      </c>
      <c r="F574">
        <v>7</v>
      </c>
      <c r="G574" t="s">
        <v>2310</v>
      </c>
      <c r="H574" s="460">
        <v>8864.6071285907728</v>
      </c>
      <c r="I574">
        <v>4200</v>
      </c>
      <c r="J574">
        <v>0</v>
      </c>
      <c r="K574" s="67">
        <v>3.1680000000000006</v>
      </c>
      <c r="L574" s="159">
        <v>150</v>
      </c>
      <c r="M574" s="159">
        <v>14181</v>
      </c>
      <c r="N574" s="159">
        <v>220</v>
      </c>
      <c r="O574" s="159">
        <v>392</v>
      </c>
      <c r="P574" s="159">
        <v>4271</v>
      </c>
      <c r="Q574" s="159">
        <v>1500</v>
      </c>
      <c r="R574" s="159">
        <v>2000</v>
      </c>
      <c r="S574" s="159">
        <v>56000</v>
      </c>
      <c r="T574" s="159">
        <v>0</v>
      </c>
      <c r="U574" s="159">
        <v>2218</v>
      </c>
      <c r="V574" s="159">
        <v>4500</v>
      </c>
      <c r="W574" s="159">
        <v>186</v>
      </c>
      <c r="X574" s="159">
        <v>120</v>
      </c>
      <c r="Y574" s="159">
        <v>1500</v>
      </c>
      <c r="Z574" s="159">
        <v>4236</v>
      </c>
      <c r="AA574" s="159">
        <v>0</v>
      </c>
      <c r="AB574" s="159">
        <v>0</v>
      </c>
      <c r="AC574" s="159">
        <v>0</v>
      </c>
      <c r="AD574" s="207">
        <v>91474</v>
      </c>
      <c r="AE574" s="200">
        <v>8.1643445916431077</v>
      </c>
      <c r="AF574" s="200">
        <v>8.8270980576647933</v>
      </c>
      <c r="AG574" s="200">
        <v>7.3391368947307738</v>
      </c>
      <c r="AH574" s="200">
        <v>0</v>
      </c>
      <c r="AI574" s="200">
        <v>0</v>
      </c>
      <c r="AJ574" s="200">
        <v>0</v>
      </c>
      <c r="AL574" s="197">
        <f t="shared" si="76"/>
        <v>104862.65756140061</v>
      </c>
      <c r="AM574" s="197" t="str">
        <f t="shared" si="77"/>
        <v>Box Medium 6</v>
      </c>
      <c r="AN574" s="3">
        <f t="shared" si="78"/>
        <v>31.401232123059426</v>
      </c>
      <c r="AO574" s="3">
        <f t="shared" si="79"/>
        <v>12.120694766830864</v>
      </c>
      <c r="AP574" s="3">
        <f t="shared" si="80"/>
        <v>0</v>
      </c>
      <c r="AQ574" s="3">
        <f t="shared" si="81"/>
        <v>0</v>
      </c>
      <c r="AR574" s="3">
        <f t="shared" si="82"/>
        <v>12.120694766830864</v>
      </c>
      <c r="AS574" s="81">
        <f t="shared" si="83"/>
        <v>1</v>
      </c>
      <c r="AT574" s="81">
        <f t="shared" si="84"/>
        <v>0</v>
      </c>
    </row>
    <row r="575" spans="1:46" x14ac:dyDescent="0.25">
      <c r="A575" t="s">
        <v>808</v>
      </c>
      <c r="B575">
        <v>2023</v>
      </c>
      <c r="C575" t="s">
        <v>680</v>
      </c>
      <c r="D575" t="s">
        <v>834</v>
      </c>
      <c r="E575" t="s">
        <v>1028</v>
      </c>
      <c r="F575">
        <v>7</v>
      </c>
      <c r="G575" t="s">
        <v>2311</v>
      </c>
      <c r="H575" s="460">
        <v>11083.435550199538</v>
      </c>
      <c r="I575">
        <v>4200</v>
      </c>
      <c r="J575">
        <v>160.0000000231087</v>
      </c>
      <c r="K575" s="67">
        <v>275.5575</v>
      </c>
      <c r="L575" s="159">
        <v>0</v>
      </c>
      <c r="M575" s="159">
        <v>12958</v>
      </c>
      <c r="N575" s="159">
        <v>220</v>
      </c>
      <c r="O575" s="159">
        <v>0</v>
      </c>
      <c r="P575" s="159">
        <v>3825</v>
      </c>
      <c r="Q575" s="159">
        <v>1500</v>
      </c>
      <c r="R575" s="159">
        <v>2000</v>
      </c>
      <c r="S575" s="159">
        <v>56000</v>
      </c>
      <c r="T575" s="159">
        <v>5593</v>
      </c>
      <c r="U575" s="159">
        <v>96445</v>
      </c>
      <c r="V575" s="159">
        <v>4500</v>
      </c>
      <c r="W575" s="159">
        <v>186</v>
      </c>
      <c r="X575" s="159">
        <v>0</v>
      </c>
      <c r="Y575" s="159">
        <v>1500</v>
      </c>
      <c r="Z575" s="159">
        <v>8010</v>
      </c>
      <c r="AA575" s="159">
        <v>0</v>
      </c>
      <c r="AB575" s="159">
        <v>0</v>
      </c>
      <c r="AC575" s="159">
        <v>0</v>
      </c>
      <c r="AD575" s="207">
        <v>192737</v>
      </c>
      <c r="AE575" s="200">
        <v>8.1100400482609576</v>
      </c>
      <c r="AF575" s="200">
        <v>6.9009665795829624</v>
      </c>
      <c r="AG575" s="200">
        <v>6.2594515536248814</v>
      </c>
      <c r="AH575" s="200">
        <v>1605</v>
      </c>
      <c r="AI575" s="200">
        <v>1874</v>
      </c>
      <c r="AJ575" s="200">
        <v>2273</v>
      </c>
      <c r="AL575" s="197">
        <f t="shared" si="76"/>
        <v>220947.0891227198</v>
      </c>
      <c r="AM575" s="197" t="str">
        <f t="shared" si="77"/>
        <v>Box Medium 6</v>
      </c>
      <c r="AN575" s="3">
        <f t="shared" si="78"/>
        <v>7.3668941515738622</v>
      </c>
      <c r="AO575" s="3">
        <f t="shared" si="79"/>
        <v>2.8435787182123633</v>
      </c>
      <c r="AP575" s="3">
        <f t="shared" si="80"/>
        <v>109.54503088222501</v>
      </c>
      <c r="AQ575" s="3">
        <f t="shared" si="81"/>
        <v>3.9436211117601006</v>
      </c>
      <c r="AR575" s="3">
        <f t="shared" si="82"/>
        <v>6.7871998299724634</v>
      </c>
      <c r="AS575" s="81">
        <f t="shared" si="83"/>
        <v>0.41896198571538157</v>
      </c>
      <c r="AT575" s="81">
        <f t="shared" si="84"/>
        <v>0.58103801428461854</v>
      </c>
    </row>
    <row r="576" spans="1:46" x14ac:dyDescent="0.25">
      <c r="A576" t="s">
        <v>230</v>
      </c>
      <c r="B576">
        <v>2023</v>
      </c>
      <c r="C576" t="s">
        <v>680</v>
      </c>
      <c r="D576" t="s">
        <v>834</v>
      </c>
      <c r="E576" t="s">
        <v>1028</v>
      </c>
      <c r="F576">
        <v>7</v>
      </c>
      <c r="G576" t="s">
        <v>2312</v>
      </c>
      <c r="H576" s="460">
        <v>11042.820339060065</v>
      </c>
      <c r="I576">
        <v>4200</v>
      </c>
      <c r="J576">
        <v>200.00000001335161</v>
      </c>
      <c r="K576" s="67">
        <v>372.375</v>
      </c>
      <c r="L576" s="159">
        <v>0</v>
      </c>
      <c r="M576" s="159">
        <v>0</v>
      </c>
      <c r="N576" s="159">
        <v>0</v>
      </c>
      <c r="O576" s="159">
        <v>0</v>
      </c>
      <c r="P576" s="159">
        <v>3053</v>
      </c>
      <c r="Q576" s="159">
        <v>1500</v>
      </c>
      <c r="R576" s="159">
        <v>2000</v>
      </c>
      <c r="S576" s="159">
        <v>56000</v>
      </c>
      <c r="T576" s="159">
        <v>0</v>
      </c>
      <c r="U576" s="159">
        <v>130331</v>
      </c>
      <c r="V576" s="159">
        <v>4500</v>
      </c>
      <c r="W576" s="159">
        <v>186</v>
      </c>
      <c r="X576" s="159">
        <v>0</v>
      </c>
      <c r="Y576" s="159">
        <v>1500</v>
      </c>
      <c r="Z576" s="159">
        <v>6139</v>
      </c>
      <c r="AA576" s="159">
        <v>0</v>
      </c>
      <c r="AB576" s="159">
        <v>0</v>
      </c>
      <c r="AC576" s="159">
        <v>0</v>
      </c>
      <c r="AD576" s="207">
        <v>205209</v>
      </c>
      <c r="AE576" s="200">
        <v>0</v>
      </c>
      <c r="AF576" s="200">
        <v>0</v>
      </c>
      <c r="AG576" s="200">
        <v>0</v>
      </c>
      <c r="AH576" s="200">
        <v>1597</v>
      </c>
      <c r="AI576" s="200">
        <v>1736</v>
      </c>
      <c r="AJ576" s="200">
        <v>2113</v>
      </c>
      <c r="AL576" s="197">
        <f t="shared" si="76"/>
        <v>235244.56234030938</v>
      </c>
      <c r="AM576" s="197" t="str">
        <f t="shared" si="77"/>
        <v>Box Medium 6</v>
      </c>
      <c r="AN576" s="3">
        <f t="shared" si="78"/>
        <v>0</v>
      </c>
      <c r="AO576" s="3">
        <f t="shared" si="79"/>
        <v>0</v>
      </c>
      <c r="AP576" s="3">
        <f t="shared" si="80"/>
        <v>127.58459989809487</v>
      </c>
      <c r="AQ576" s="3">
        <f t="shared" si="81"/>
        <v>4.5930455963314154</v>
      </c>
      <c r="AR576" s="3">
        <f t="shared" si="82"/>
        <v>4.5930455963314154</v>
      </c>
      <c r="AS576" s="81">
        <f t="shared" si="83"/>
        <v>0</v>
      </c>
      <c r="AT576" s="81">
        <f t="shared" si="84"/>
        <v>1</v>
      </c>
    </row>
    <row r="577" spans="1:46" x14ac:dyDescent="0.25">
      <c r="A577" t="s">
        <v>496</v>
      </c>
      <c r="B577">
        <v>2023</v>
      </c>
      <c r="C577" t="s">
        <v>680</v>
      </c>
      <c r="D577" t="s">
        <v>834</v>
      </c>
      <c r="E577" t="s">
        <v>1028</v>
      </c>
      <c r="F577">
        <v>7</v>
      </c>
      <c r="G577" t="s">
        <v>2313</v>
      </c>
      <c r="H577" s="460">
        <v>9237.9681990510453</v>
      </c>
      <c r="I577">
        <v>4200</v>
      </c>
      <c r="J577">
        <v>200.00000001335161</v>
      </c>
      <c r="K577" s="67">
        <v>5.6548800000000012</v>
      </c>
      <c r="L577" s="159">
        <v>0</v>
      </c>
      <c r="M577" s="159">
        <v>0</v>
      </c>
      <c r="N577" s="159">
        <v>0</v>
      </c>
      <c r="O577" s="159">
        <v>0</v>
      </c>
      <c r="P577" s="159">
        <v>3254</v>
      </c>
      <c r="Q577" s="159">
        <v>1500</v>
      </c>
      <c r="R577" s="159">
        <v>2000</v>
      </c>
      <c r="S577" s="159">
        <v>56000</v>
      </c>
      <c r="T577" s="159">
        <v>0</v>
      </c>
      <c r="U577" s="159">
        <v>3958</v>
      </c>
      <c r="V577" s="159">
        <v>4500</v>
      </c>
      <c r="W577" s="159">
        <v>186</v>
      </c>
      <c r="X577" s="159">
        <v>0</v>
      </c>
      <c r="Y577" s="159">
        <v>1500</v>
      </c>
      <c r="Z577" s="159">
        <v>6626</v>
      </c>
      <c r="AA577" s="159">
        <v>28074</v>
      </c>
      <c r="AB577" s="159">
        <v>20863</v>
      </c>
      <c r="AC577" s="159">
        <v>0</v>
      </c>
      <c r="AD577" s="207">
        <v>128461</v>
      </c>
      <c r="AE577" s="200">
        <v>13.377499100812036</v>
      </c>
      <c r="AF577" s="200">
        <v>12.317393126542836</v>
      </c>
      <c r="AG577" s="200">
        <v>9.6961900216780403</v>
      </c>
      <c r="AH577" s="200">
        <v>0</v>
      </c>
      <c r="AI577" s="200">
        <v>0</v>
      </c>
      <c r="AJ577" s="200">
        <v>0</v>
      </c>
      <c r="AL577" s="197">
        <f t="shared" si="76"/>
        <v>147263.28632174263</v>
      </c>
      <c r="AM577" s="197" t="str">
        <f t="shared" si="77"/>
        <v>Box Medium 6</v>
      </c>
      <c r="AN577" s="3">
        <f t="shared" si="78"/>
        <v>23.460118821259783</v>
      </c>
      <c r="AO577" s="3">
        <f t="shared" si="79"/>
        <v>9.055470763430959</v>
      </c>
      <c r="AP577" s="3">
        <f t="shared" si="80"/>
        <v>0</v>
      </c>
      <c r="AQ577" s="3">
        <f t="shared" si="81"/>
        <v>0</v>
      </c>
      <c r="AR577" s="3">
        <f t="shared" si="82"/>
        <v>9.055470763430959</v>
      </c>
      <c r="AS577" s="81">
        <f t="shared" si="83"/>
        <v>1</v>
      </c>
      <c r="AT577" s="81">
        <f t="shared" si="84"/>
        <v>0</v>
      </c>
    </row>
    <row r="578" spans="1:46" x14ac:dyDescent="0.25">
      <c r="A578" t="s">
        <v>828</v>
      </c>
      <c r="B578">
        <v>2023</v>
      </c>
      <c r="C578" t="s">
        <v>680</v>
      </c>
      <c r="D578" t="s">
        <v>834</v>
      </c>
      <c r="E578" t="s">
        <v>1028</v>
      </c>
      <c r="F578">
        <v>7</v>
      </c>
      <c r="G578" t="s">
        <v>2314</v>
      </c>
      <c r="H578" s="460">
        <v>9294.1033531859284</v>
      </c>
      <c r="I578">
        <v>4200</v>
      </c>
      <c r="J578">
        <v>200.00000001335161</v>
      </c>
      <c r="K578" s="67">
        <v>26.314499999999999</v>
      </c>
      <c r="L578" s="159">
        <v>0</v>
      </c>
      <c r="M578" s="159">
        <v>0</v>
      </c>
      <c r="N578" s="159">
        <v>0</v>
      </c>
      <c r="O578" s="159">
        <v>0</v>
      </c>
      <c r="P578" s="159">
        <v>3484</v>
      </c>
      <c r="Q578" s="159">
        <v>1500</v>
      </c>
      <c r="R578" s="159">
        <v>2000</v>
      </c>
      <c r="S578" s="159">
        <v>56000</v>
      </c>
      <c r="T578" s="159">
        <v>0</v>
      </c>
      <c r="U578" s="159">
        <v>9210</v>
      </c>
      <c r="V578" s="159">
        <v>4500</v>
      </c>
      <c r="W578" s="159">
        <v>186</v>
      </c>
      <c r="X578" s="159">
        <v>0</v>
      </c>
      <c r="Y578" s="159">
        <v>1500</v>
      </c>
      <c r="Z578" s="159">
        <v>7184</v>
      </c>
      <c r="AA578" s="159">
        <v>20973</v>
      </c>
      <c r="AB578" s="159">
        <v>18314</v>
      </c>
      <c r="AC578" s="159">
        <v>0</v>
      </c>
      <c r="AD578" s="207">
        <v>124851</v>
      </c>
      <c r="AE578" s="200">
        <v>13.549053427941701</v>
      </c>
      <c r="AF578" s="200">
        <v>12.0440216489948</v>
      </c>
      <c r="AG578" s="200">
        <v>10.019118991492656</v>
      </c>
      <c r="AH578" s="200">
        <v>0</v>
      </c>
      <c r="AI578" s="200">
        <v>0</v>
      </c>
      <c r="AJ578" s="200">
        <v>297.3956420037602</v>
      </c>
      <c r="AL578" s="197">
        <f t="shared" si="76"/>
        <v>143124.90608477194</v>
      </c>
      <c r="AM578" s="197" t="str">
        <f t="shared" si="77"/>
        <v>Box Medium 6</v>
      </c>
      <c r="AN578" s="3">
        <f t="shared" si="78"/>
        <v>22.815577760610481</v>
      </c>
      <c r="AO578" s="3">
        <f t="shared" si="79"/>
        <v>8.8066816257880873</v>
      </c>
      <c r="AP578" s="3">
        <f t="shared" si="80"/>
        <v>15.892244778805834</v>
      </c>
      <c r="AQ578" s="3">
        <f t="shared" si="81"/>
        <v>0.57212081203701004</v>
      </c>
      <c r="AR578" s="3">
        <f t="shared" si="82"/>
        <v>9.3788024378250974</v>
      </c>
      <c r="AS578" s="81">
        <f t="shared" si="83"/>
        <v>0.93899852184436439</v>
      </c>
      <c r="AT578" s="81">
        <f t="shared" si="84"/>
        <v>6.1001478155635648E-2</v>
      </c>
    </row>
    <row r="579" spans="1:46" x14ac:dyDescent="0.25">
      <c r="A579" t="s">
        <v>805</v>
      </c>
      <c r="B579">
        <v>2025</v>
      </c>
      <c r="C579" t="s">
        <v>680</v>
      </c>
      <c r="D579" t="s">
        <v>834</v>
      </c>
      <c r="E579" t="s">
        <v>1028</v>
      </c>
      <c r="F579">
        <v>7</v>
      </c>
      <c r="G579" t="s">
        <v>2315</v>
      </c>
      <c r="H579" s="460">
        <v>8719.1058143514256</v>
      </c>
      <c r="I579">
        <v>4200</v>
      </c>
      <c r="J579">
        <v>0</v>
      </c>
      <c r="K579" s="67">
        <v>0</v>
      </c>
      <c r="L579" s="159">
        <v>150</v>
      </c>
      <c r="M579" s="159">
        <v>14918</v>
      </c>
      <c r="N579" s="159">
        <v>1920</v>
      </c>
      <c r="O579" s="159">
        <v>506</v>
      </c>
      <c r="P579" s="159">
        <v>4374</v>
      </c>
      <c r="Q579" s="159">
        <v>1500</v>
      </c>
      <c r="R579" s="159">
        <v>2000</v>
      </c>
      <c r="S579" s="159">
        <v>56372</v>
      </c>
      <c r="T579" s="159">
        <v>92</v>
      </c>
      <c r="U579" s="159">
        <v>120</v>
      </c>
      <c r="V579" s="159">
        <v>0</v>
      </c>
      <c r="W579" s="159">
        <v>186</v>
      </c>
      <c r="X579" s="159">
        <v>0</v>
      </c>
      <c r="Y579" s="159">
        <v>0</v>
      </c>
      <c r="Z579" s="159">
        <v>0</v>
      </c>
      <c r="AA579" s="159">
        <v>0</v>
      </c>
      <c r="AB579" s="159">
        <v>0</v>
      </c>
      <c r="AC579" s="159">
        <v>0</v>
      </c>
      <c r="AD579" s="207">
        <v>82138</v>
      </c>
      <c r="AE579" s="200">
        <v>8.1470078747428172</v>
      </c>
      <c r="AF579" s="200">
        <v>10.499718091911072</v>
      </c>
      <c r="AG579" s="200">
        <v>8.759895354881543</v>
      </c>
      <c r="AH579" s="200">
        <v>0</v>
      </c>
      <c r="AI579" s="200">
        <v>0</v>
      </c>
      <c r="AJ579" s="200">
        <v>0</v>
      </c>
      <c r="AL579" s="197">
        <f t="shared" ref="AL579:AL642" si="85">AD579*USD2023_to_CAD2020</f>
        <v>94160.187231107469</v>
      </c>
      <c r="AM579" s="197" t="str">
        <f t="shared" ref="AM579:AM642" si="86">IF(AND(F579&lt;5, D579="School"), $BF$2, IF(F579&lt;5, $BA$2,
IF(AND(F579&lt;=7, D579="School"), $BE$2, IF(F579&lt;7, $AZ$2,
IF(AND(F579&lt;8, E579="DayCab"), $BC$2, IF(F579&lt;8, $AZ$2,
IF(VLOOKUP(D579, $BH$3:$BI$10, 2, FALSE)="Longhaul", $AY$2,
IF(VLOOKUP(D579, $BH$3:$BI$10, 2, FALSE)="Drayage", $BB$2,
IF(VLOOKUP(D579, $BH$3:$BI$10, 2, FALSE)="Regional", $BC$2,
IF(VLOOKUP(D579, $BH$3:$BI$10, 2, FALSE)="Transit", $BE$2,
IF(VLOOKUP(D579, $BH$3:$BI$10, 2, FALSE)="Vocational", $BD$2, NA())))))))))))</f>
        <v>Box Medium 6</v>
      </c>
      <c r="AN579" s="3">
        <f t="shared" ref="AN579:AN642" si="87">(IFERROR(L_100km_to_mpg/AE579 * HLOOKUP($AM579, $AY$2:$BF$6, 2, FALSE) +
L_100km_to_mpg/AF579 * HLOOKUP($AM579, $AY$2:$BF$6, 3, FALSE) +
L_100km_to_mpg/AG579 * HLOOKUP($AM579, $AY$2:$BF$6, 4, FALSE), 0)) *
IF(ISERROR(SEARCH("PHEV",$A579)), 1, 1-HLOOKUP($AM579, $AY$2:$BF$6, 5, FALSE))</f>
        <v>26.551922368093042</v>
      </c>
      <c r="AO579" s="3">
        <f t="shared" ref="AO579:AO642" si="88">AN579*DSL_PJ_ML*10</f>
        <v>10.248889127503734</v>
      </c>
      <c r="AP579" s="3">
        <f t="shared" ref="AP579:AP642" si="89">(AH579/km_mile/10 * HLOOKUP($AM579, $AY$2:$BF$6, 2, FALSE) +
AI579/km_mile/10 * HLOOKUP($AM579, $AY$2:$BF$6, 3, FALSE) +
AJ579/km_mile/10 * HLOOKUP($AM579, $AY$2:$BF$6, 4, FALSE)) *
IF(ISERROR(SEARCH("PHEV",$A579)), 1, HLOOKUP($AM579, $AY$2:$BF$6, 5, FALSE))</f>
        <v>0</v>
      </c>
      <c r="AQ579" s="3">
        <f t="shared" si="81"/>
        <v>0</v>
      </c>
      <c r="AR579" s="3">
        <f t="shared" si="82"/>
        <v>10.248889127503734</v>
      </c>
      <c r="AS579" s="81">
        <f t="shared" si="83"/>
        <v>1</v>
      </c>
      <c r="AT579" s="81">
        <f t="shared" si="84"/>
        <v>0</v>
      </c>
    </row>
    <row r="580" spans="1:46" x14ac:dyDescent="0.25">
      <c r="A580" t="s">
        <v>807</v>
      </c>
      <c r="B580">
        <v>2025</v>
      </c>
      <c r="C580" t="s">
        <v>680</v>
      </c>
      <c r="D580" t="s">
        <v>834</v>
      </c>
      <c r="E580" t="s">
        <v>1028</v>
      </c>
      <c r="F580">
        <v>7</v>
      </c>
      <c r="G580" t="s">
        <v>2316</v>
      </c>
      <c r="H580" s="460">
        <v>8800.0901770958517</v>
      </c>
      <c r="I580">
        <v>4200</v>
      </c>
      <c r="J580">
        <v>0</v>
      </c>
      <c r="K580" s="67">
        <v>5.0688000000000004</v>
      </c>
      <c r="L580" s="159">
        <v>150</v>
      </c>
      <c r="M580" s="159">
        <v>14564</v>
      </c>
      <c r="N580" s="159">
        <v>220</v>
      </c>
      <c r="O580" s="159">
        <v>392</v>
      </c>
      <c r="P580" s="159">
        <v>4271</v>
      </c>
      <c r="Q580" s="159">
        <v>1500</v>
      </c>
      <c r="R580" s="159">
        <v>2000</v>
      </c>
      <c r="S580" s="159">
        <v>56372</v>
      </c>
      <c r="T580" s="159">
        <v>0</v>
      </c>
      <c r="U580" s="159">
        <v>2395</v>
      </c>
      <c r="V580" s="159">
        <v>4500</v>
      </c>
      <c r="W580" s="159">
        <v>186</v>
      </c>
      <c r="X580" s="159">
        <v>120</v>
      </c>
      <c r="Y580" s="159">
        <v>1500</v>
      </c>
      <c r="Z580" s="159">
        <v>3525</v>
      </c>
      <c r="AA580" s="159">
        <v>0</v>
      </c>
      <c r="AB580" s="159">
        <v>0</v>
      </c>
      <c r="AC580" s="159">
        <v>0</v>
      </c>
      <c r="AD580" s="207">
        <v>91695</v>
      </c>
      <c r="AE580" s="200">
        <v>9.4367706684546739</v>
      </c>
      <c r="AF580" s="200">
        <v>9.9275767133548616</v>
      </c>
      <c r="AG580" s="200">
        <v>8.2914995467876533</v>
      </c>
      <c r="AH580" s="200">
        <v>0</v>
      </c>
      <c r="AI580" s="200">
        <v>0</v>
      </c>
      <c r="AJ580" s="200">
        <v>0</v>
      </c>
      <c r="AL580" s="197">
        <f t="shared" si="85"/>
        <v>105116.00438477195</v>
      </c>
      <c r="AM580" s="197" t="str">
        <f t="shared" si="86"/>
        <v>Box Medium 6</v>
      </c>
      <c r="AN580" s="3">
        <f t="shared" si="87"/>
        <v>27.775321525811393</v>
      </c>
      <c r="AO580" s="3">
        <f t="shared" si="88"/>
        <v>10.72111415710099</v>
      </c>
      <c r="AP580" s="3">
        <f t="shared" si="89"/>
        <v>0</v>
      </c>
      <c r="AQ580" s="3">
        <f t="shared" si="81"/>
        <v>0</v>
      </c>
      <c r="AR580" s="3">
        <f t="shared" si="82"/>
        <v>10.72111415710099</v>
      </c>
      <c r="AS580" s="81">
        <f t="shared" si="83"/>
        <v>1</v>
      </c>
      <c r="AT580" s="81">
        <f t="shared" si="84"/>
        <v>0</v>
      </c>
    </row>
    <row r="581" spans="1:46" x14ac:dyDescent="0.25">
      <c r="A581" t="s">
        <v>808</v>
      </c>
      <c r="B581">
        <v>2025</v>
      </c>
      <c r="C581" t="s">
        <v>680</v>
      </c>
      <c r="D581" t="s">
        <v>834</v>
      </c>
      <c r="E581" t="s">
        <v>1028</v>
      </c>
      <c r="F581">
        <v>7</v>
      </c>
      <c r="G581" t="s">
        <v>2317</v>
      </c>
      <c r="H581" s="460">
        <v>10620.577869648354</v>
      </c>
      <c r="I581">
        <v>4200</v>
      </c>
      <c r="J581">
        <v>160.0000000231087</v>
      </c>
      <c r="K581" s="67">
        <v>262.15199999999999</v>
      </c>
      <c r="L581" s="159">
        <v>0</v>
      </c>
      <c r="M581" s="159">
        <v>12957</v>
      </c>
      <c r="N581" s="159">
        <v>220</v>
      </c>
      <c r="O581" s="159">
        <v>0</v>
      </c>
      <c r="P581" s="159">
        <v>3721</v>
      </c>
      <c r="Q581" s="159">
        <v>1500</v>
      </c>
      <c r="R581" s="159">
        <v>2000</v>
      </c>
      <c r="S581" s="159">
        <v>56372</v>
      </c>
      <c r="T581" s="159">
        <v>4936</v>
      </c>
      <c r="U581" s="159">
        <v>73403</v>
      </c>
      <c r="V581" s="159">
        <v>4500</v>
      </c>
      <c r="W581" s="159">
        <v>186</v>
      </c>
      <c r="X581" s="159">
        <v>0</v>
      </c>
      <c r="Y581" s="159">
        <v>1500</v>
      </c>
      <c r="Z581" s="159">
        <v>6538</v>
      </c>
      <c r="AA581" s="159">
        <v>0</v>
      </c>
      <c r="AB581" s="159">
        <v>0</v>
      </c>
      <c r="AC581" s="159">
        <v>0</v>
      </c>
      <c r="AD581" s="207">
        <v>167833</v>
      </c>
      <c r="AE581" s="200">
        <v>9.1689956952391114</v>
      </c>
      <c r="AF581" s="200">
        <v>7.840849995545156</v>
      </c>
      <c r="AG581" s="200">
        <v>7.0401994775370822</v>
      </c>
      <c r="AH581" s="200">
        <v>1492</v>
      </c>
      <c r="AI581" s="200">
        <v>1729</v>
      </c>
      <c r="AJ581" s="200">
        <v>2095</v>
      </c>
      <c r="AL581" s="197">
        <f t="shared" si="85"/>
        <v>192397.99731620515</v>
      </c>
      <c r="AM581" s="197" t="str">
        <f t="shared" si="86"/>
        <v>Box Medium 6</v>
      </c>
      <c r="AN581" s="3">
        <f t="shared" si="87"/>
        <v>6.5430795011026532</v>
      </c>
      <c r="AO581" s="3">
        <f t="shared" si="88"/>
        <v>2.5255910072947279</v>
      </c>
      <c r="AP581" s="3">
        <f t="shared" si="89"/>
        <v>101.00587818608869</v>
      </c>
      <c r="AQ581" s="3">
        <f t="shared" si="81"/>
        <v>3.6362116146991927</v>
      </c>
      <c r="AR581" s="3">
        <f t="shared" si="82"/>
        <v>6.161802621993921</v>
      </c>
      <c r="AS581" s="81">
        <f t="shared" si="83"/>
        <v>0.40987859596149517</v>
      </c>
      <c r="AT581" s="81">
        <f t="shared" si="84"/>
        <v>0.59012140403850477</v>
      </c>
    </row>
    <row r="582" spans="1:46" x14ac:dyDescent="0.25">
      <c r="A582" t="s">
        <v>230</v>
      </c>
      <c r="B582">
        <v>2025</v>
      </c>
      <c r="C582" t="s">
        <v>680</v>
      </c>
      <c r="D582" t="s">
        <v>834</v>
      </c>
      <c r="E582" t="s">
        <v>1028</v>
      </c>
      <c r="F582">
        <v>7</v>
      </c>
      <c r="G582" t="s">
        <v>2318</v>
      </c>
      <c r="H582" s="460">
        <v>10539.737675119317</v>
      </c>
      <c r="I582">
        <v>4200</v>
      </c>
      <c r="J582">
        <v>200.00000001335161</v>
      </c>
      <c r="K582" s="67">
        <v>350.03250000000003</v>
      </c>
      <c r="L582" s="159">
        <v>0</v>
      </c>
      <c r="M582" s="159">
        <v>0</v>
      </c>
      <c r="N582" s="159">
        <v>0</v>
      </c>
      <c r="O582" s="159">
        <v>0</v>
      </c>
      <c r="P582" s="159">
        <v>3036</v>
      </c>
      <c r="Q582" s="159">
        <v>1500</v>
      </c>
      <c r="R582" s="159">
        <v>2000</v>
      </c>
      <c r="S582" s="159">
        <v>56372</v>
      </c>
      <c r="T582" s="159">
        <v>0</v>
      </c>
      <c r="U582" s="159">
        <v>98009</v>
      </c>
      <c r="V582" s="159">
        <v>4500</v>
      </c>
      <c r="W582" s="159">
        <v>186</v>
      </c>
      <c r="X582" s="159">
        <v>0</v>
      </c>
      <c r="Y582" s="159">
        <v>1500</v>
      </c>
      <c r="Z582" s="159">
        <v>5122</v>
      </c>
      <c r="AA582" s="159">
        <v>0</v>
      </c>
      <c r="AB582" s="159">
        <v>0</v>
      </c>
      <c r="AC582" s="159">
        <v>0</v>
      </c>
      <c r="AD582" s="207">
        <v>172225</v>
      </c>
      <c r="AE582" s="200">
        <v>0</v>
      </c>
      <c r="AF582" s="200">
        <v>0</v>
      </c>
      <c r="AG582" s="200">
        <v>0</v>
      </c>
      <c r="AH582" s="200">
        <v>1477</v>
      </c>
      <c r="AI582" s="200">
        <v>1594</v>
      </c>
      <c r="AJ582" s="200">
        <v>1937</v>
      </c>
      <c r="AL582" s="197">
        <f t="shared" si="85"/>
        <v>197432.8355435667</v>
      </c>
      <c r="AM582" s="197" t="str">
        <f t="shared" si="86"/>
        <v>Box Medium 6</v>
      </c>
      <c r="AN582" s="3">
        <f t="shared" si="87"/>
        <v>0</v>
      </c>
      <c r="AO582" s="3">
        <f t="shared" si="88"/>
        <v>0</v>
      </c>
      <c r="AP582" s="3">
        <f t="shared" si="89"/>
        <v>117.01256415673505</v>
      </c>
      <c r="AQ582" s="3">
        <f t="shared" si="81"/>
        <v>4.2124523096424618</v>
      </c>
      <c r="AR582" s="3">
        <f t="shared" si="82"/>
        <v>4.2124523096424618</v>
      </c>
      <c r="AS582" s="81">
        <f t="shared" si="83"/>
        <v>0</v>
      </c>
      <c r="AT582" s="81">
        <f t="shared" si="84"/>
        <v>1</v>
      </c>
    </row>
    <row r="583" spans="1:46" x14ac:dyDescent="0.25">
      <c r="A583" t="s">
        <v>496</v>
      </c>
      <c r="B583">
        <v>2025</v>
      </c>
      <c r="C583" t="s">
        <v>680</v>
      </c>
      <c r="D583" t="s">
        <v>834</v>
      </c>
      <c r="E583" t="s">
        <v>1028</v>
      </c>
      <c r="F583">
        <v>7</v>
      </c>
      <c r="G583" t="s">
        <v>2319</v>
      </c>
      <c r="H583" s="460">
        <v>8975.3948940758946</v>
      </c>
      <c r="I583">
        <v>4200</v>
      </c>
      <c r="J583">
        <v>200.00000001335161</v>
      </c>
      <c r="K583" s="67">
        <v>5.7024000000000008</v>
      </c>
      <c r="L583" s="159">
        <v>0</v>
      </c>
      <c r="M583" s="159">
        <v>0</v>
      </c>
      <c r="N583" s="159">
        <v>0</v>
      </c>
      <c r="O583" s="159">
        <v>0</v>
      </c>
      <c r="P583" s="159">
        <v>3239</v>
      </c>
      <c r="Q583" s="159">
        <v>1500</v>
      </c>
      <c r="R583" s="159">
        <v>2000</v>
      </c>
      <c r="S583" s="159">
        <v>56372</v>
      </c>
      <c r="T583" s="159">
        <v>0</v>
      </c>
      <c r="U583" s="159">
        <v>2694</v>
      </c>
      <c r="V583" s="159">
        <v>4500</v>
      </c>
      <c r="W583" s="159">
        <v>186</v>
      </c>
      <c r="X583" s="159">
        <v>0</v>
      </c>
      <c r="Y583" s="159">
        <v>1500</v>
      </c>
      <c r="Z583" s="159">
        <v>5542</v>
      </c>
      <c r="AA583" s="159">
        <v>20657</v>
      </c>
      <c r="AB583" s="159">
        <v>15458</v>
      </c>
      <c r="AC583" s="159">
        <v>0</v>
      </c>
      <c r="AD583" s="207">
        <v>113648</v>
      </c>
      <c r="AE583" s="200">
        <v>14.295780413867979</v>
      </c>
      <c r="AF583" s="200">
        <v>13.423314329104672</v>
      </c>
      <c r="AG583" s="200">
        <v>10.615114057961145</v>
      </c>
      <c r="AH583" s="200">
        <v>0</v>
      </c>
      <c r="AI583" s="200">
        <v>0</v>
      </c>
      <c r="AJ583" s="200">
        <v>0</v>
      </c>
      <c r="AL583" s="197">
        <f t="shared" si="85"/>
        <v>130282.17096156348</v>
      </c>
      <c r="AM583" s="197" t="str">
        <f t="shared" si="86"/>
        <v>Box Medium 6</v>
      </c>
      <c r="AN583" s="3">
        <f t="shared" si="87"/>
        <v>21.456051658681478</v>
      </c>
      <c r="AO583" s="3">
        <f t="shared" si="88"/>
        <v>8.2819123796501319</v>
      </c>
      <c r="AP583" s="3">
        <f t="shared" si="89"/>
        <v>0</v>
      </c>
      <c r="AQ583" s="3">
        <f t="shared" si="81"/>
        <v>0</v>
      </c>
      <c r="AR583" s="3">
        <f t="shared" si="82"/>
        <v>8.2819123796501319</v>
      </c>
      <c r="AS583" s="81">
        <f t="shared" si="83"/>
        <v>1</v>
      </c>
      <c r="AT583" s="81">
        <f t="shared" si="84"/>
        <v>0</v>
      </c>
    </row>
    <row r="584" spans="1:46" x14ac:dyDescent="0.25">
      <c r="A584" t="s">
        <v>828</v>
      </c>
      <c r="B584">
        <v>2025</v>
      </c>
      <c r="C584" t="s">
        <v>680</v>
      </c>
      <c r="D584" t="s">
        <v>834</v>
      </c>
      <c r="E584" t="s">
        <v>1028</v>
      </c>
      <c r="F584">
        <v>7</v>
      </c>
      <c r="G584" t="s">
        <v>2320</v>
      </c>
      <c r="H584" s="460">
        <v>9016.9708809217991</v>
      </c>
      <c r="I584">
        <v>4200</v>
      </c>
      <c r="J584">
        <v>200.00000001335161</v>
      </c>
      <c r="K584" s="67">
        <v>28.548750000000002</v>
      </c>
      <c r="L584" s="159">
        <v>0</v>
      </c>
      <c r="M584" s="159">
        <v>0</v>
      </c>
      <c r="N584" s="159">
        <v>0</v>
      </c>
      <c r="O584" s="159">
        <v>0</v>
      </c>
      <c r="P584" s="159">
        <v>3452</v>
      </c>
      <c r="Q584" s="159">
        <v>1500</v>
      </c>
      <c r="R584" s="159">
        <v>2000</v>
      </c>
      <c r="S584" s="159">
        <v>56372</v>
      </c>
      <c r="T584" s="159">
        <v>0</v>
      </c>
      <c r="U584" s="159">
        <v>7994</v>
      </c>
      <c r="V584" s="159">
        <v>4500</v>
      </c>
      <c r="W584" s="159">
        <v>186</v>
      </c>
      <c r="X584" s="159">
        <v>0</v>
      </c>
      <c r="Y584" s="159">
        <v>1500</v>
      </c>
      <c r="Z584" s="159">
        <v>5981</v>
      </c>
      <c r="AA584" s="159">
        <v>14414</v>
      </c>
      <c r="AB584" s="159">
        <v>13311</v>
      </c>
      <c r="AC584" s="159">
        <v>0</v>
      </c>
      <c r="AD584" s="207">
        <v>111210</v>
      </c>
      <c r="AE584" s="200">
        <v>14.489896607822061</v>
      </c>
      <c r="AF584" s="200">
        <v>13.051460389877587</v>
      </c>
      <c r="AG584" s="200">
        <v>10.935221447992555</v>
      </c>
      <c r="AH584" s="200">
        <v>0</v>
      </c>
      <c r="AI584" s="200">
        <v>0</v>
      </c>
      <c r="AJ584" s="200">
        <v>233.51601785321984</v>
      </c>
      <c r="AL584" s="197">
        <f t="shared" si="85"/>
        <v>127487.33134446251</v>
      </c>
      <c r="AM584" s="197" t="str">
        <f t="shared" si="86"/>
        <v>Box Medium 6</v>
      </c>
      <c r="AN584" s="3">
        <f t="shared" si="87"/>
        <v>20.932126385339259</v>
      </c>
      <c r="AO584" s="3">
        <f t="shared" si="88"/>
        <v>8.0796802413084627</v>
      </c>
      <c r="AP584" s="3">
        <f t="shared" si="89"/>
        <v>12.478641887591749</v>
      </c>
      <c r="AQ584" s="3">
        <f t="shared" si="81"/>
        <v>0.44923110795330295</v>
      </c>
      <c r="AR584" s="3">
        <f t="shared" si="82"/>
        <v>8.5289113492617652</v>
      </c>
      <c r="AS584" s="81">
        <f t="shared" si="83"/>
        <v>0.94732843506549214</v>
      </c>
      <c r="AT584" s="81">
        <f t="shared" si="84"/>
        <v>5.2671564934507961E-2</v>
      </c>
    </row>
    <row r="585" spans="1:46" x14ac:dyDescent="0.25">
      <c r="A585" t="s">
        <v>805</v>
      </c>
      <c r="B585">
        <v>2030</v>
      </c>
      <c r="C585" t="s">
        <v>680</v>
      </c>
      <c r="D585" t="s">
        <v>834</v>
      </c>
      <c r="E585" t="s">
        <v>1028</v>
      </c>
      <c r="F585">
        <v>7</v>
      </c>
      <c r="G585" t="s">
        <v>2321</v>
      </c>
      <c r="H585" s="460">
        <v>8627.5947577924107</v>
      </c>
      <c r="I585">
        <v>4200</v>
      </c>
      <c r="J585">
        <v>0</v>
      </c>
      <c r="K585" s="67">
        <v>0</v>
      </c>
      <c r="L585" s="159">
        <v>150</v>
      </c>
      <c r="M585" s="159">
        <v>14985</v>
      </c>
      <c r="N585" s="159">
        <v>1920</v>
      </c>
      <c r="O585" s="159">
        <v>506</v>
      </c>
      <c r="P585" s="159">
        <v>4293</v>
      </c>
      <c r="Q585" s="159">
        <v>1500</v>
      </c>
      <c r="R585" s="159">
        <v>2000</v>
      </c>
      <c r="S585" s="159">
        <v>56788</v>
      </c>
      <c r="T585" s="159">
        <v>73</v>
      </c>
      <c r="U585" s="159">
        <v>120</v>
      </c>
      <c r="V585" s="159">
        <v>0</v>
      </c>
      <c r="W585" s="159">
        <v>186</v>
      </c>
      <c r="X585" s="159">
        <v>0</v>
      </c>
      <c r="Y585" s="159">
        <v>0</v>
      </c>
      <c r="Z585" s="159">
        <v>0</v>
      </c>
      <c r="AA585" s="159">
        <v>0</v>
      </c>
      <c r="AB585" s="159">
        <v>0</v>
      </c>
      <c r="AC585" s="159">
        <v>0</v>
      </c>
      <c r="AD585" s="207">
        <v>82521</v>
      </c>
      <c r="AE585" s="200">
        <v>8.6620451355862436</v>
      </c>
      <c r="AF585" s="200">
        <v>11.603594760800418</v>
      </c>
      <c r="AG585" s="200">
        <v>9.7798615425903304</v>
      </c>
      <c r="AH585" s="200">
        <v>0</v>
      </c>
      <c r="AI585" s="200">
        <v>0</v>
      </c>
      <c r="AJ585" s="200">
        <v>0</v>
      </c>
      <c r="AL585" s="197">
        <f t="shared" si="85"/>
        <v>94599.245300570008</v>
      </c>
      <c r="AM585" s="197" t="str">
        <f t="shared" si="86"/>
        <v>Box Medium 6</v>
      </c>
      <c r="AN585" s="3">
        <f t="shared" si="87"/>
        <v>23.865944765839984</v>
      </c>
      <c r="AO585" s="3">
        <f t="shared" si="88"/>
        <v>9.2121172409781025</v>
      </c>
      <c r="AP585" s="3">
        <f t="shared" si="89"/>
        <v>0</v>
      </c>
      <c r="AQ585" s="3">
        <f t="shared" si="81"/>
        <v>0</v>
      </c>
      <c r="AR585" s="3">
        <f t="shared" si="82"/>
        <v>9.2121172409781025</v>
      </c>
      <c r="AS585" s="81">
        <f t="shared" si="83"/>
        <v>1</v>
      </c>
      <c r="AT585" s="81">
        <f t="shared" si="84"/>
        <v>0</v>
      </c>
    </row>
    <row r="586" spans="1:46" x14ac:dyDescent="0.25">
      <c r="A586" t="s">
        <v>807</v>
      </c>
      <c r="B586">
        <v>2030</v>
      </c>
      <c r="C586" t="s">
        <v>680</v>
      </c>
      <c r="D586" t="s">
        <v>834</v>
      </c>
      <c r="E586" t="s">
        <v>1028</v>
      </c>
      <c r="F586">
        <v>7</v>
      </c>
      <c r="G586" t="s">
        <v>2322</v>
      </c>
      <c r="H586" s="460">
        <v>8701.393879479092</v>
      </c>
      <c r="I586">
        <v>4200</v>
      </c>
      <c r="J586">
        <v>0</v>
      </c>
      <c r="K586" s="67">
        <v>3.5481600000000002</v>
      </c>
      <c r="L586" s="159">
        <v>150</v>
      </c>
      <c r="M586" s="159">
        <v>14908</v>
      </c>
      <c r="N586" s="159">
        <v>220</v>
      </c>
      <c r="O586" s="159">
        <v>392</v>
      </c>
      <c r="P586" s="159">
        <v>4271</v>
      </c>
      <c r="Q586" s="159">
        <v>1500</v>
      </c>
      <c r="R586" s="159">
        <v>2000</v>
      </c>
      <c r="S586" s="159">
        <v>56788</v>
      </c>
      <c r="T586" s="159">
        <v>0</v>
      </c>
      <c r="U586" s="159">
        <v>1274</v>
      </c>
      <c r="V586" s="159">
        <v>4500</v>
      </c>
      <c r="W586" s="159">
        <v>186</v>
      </c>
      <c r="X586" s="159">
        <v>120</v>
      </c>
      <c r="Y586" s="159">
        <v>1500</v>
      </c>
      <c r="Z586" s="159">
        <v>2761</v>
      </c>
      <c r="AA586" s="159">
        <v>0</v>
      </c>
      <c r="AB586" s="159">
        <v>0</v>
      </c>
      <c r="AC586" s="159">
        <v>0</v>
      </c>
      <c r="AD586" s="207">
        <v>90570</v>
      </c>
      <c r="AE586" s="200">
        <v>9.8968901842351844</v>
      </c>
      <c r="AF586" s="200">
        <v>10.992386248303914</v>
      </c>
      <c r="AG586" s="200">
        <v>9.2494368490877061</v>
      </c>
      <c r="AH586" s="200">
        <v>0</v>
      </c>
      <c r="AI586" s="200">
        <v>0</v>
      </c>
      <c r="AJ586" s="200">
        <v>0</v>
      </c>
      <c r="AL586" s="197">
        <f t="shared" si="85"/>
        <v>103826.34295358304</v>
      </c>
      <c r="AM586" s="197" t="str">
        <f t="shared" si="86"/>
        <v>Box Medium 6</v>
      </c>
      <c r="AN586" s="3">
        <f t="shared" si="87"/>
        <v>24.984129136599705</v>
      </c>
      <c r="AO586" s="3">
        <f t="shared" si="88"/>
        <v>9.6437299687177465</v>
      </c>
      <c r="AP586" s="3">
        <f t="shared" si="89"/>
        <v>0</v>
      </c>
      <c r="AQ586" s="3">
        <f t="shared" si="81"/>
        <v>0</v>
      </c>
      <c r="AR586" s="3">
        <f t="shared" si="82"/>
        <v>9.6437299687177465</v>
      </c>
      <c r="AS586" s="81">
        <f t="shared" si="83"/>
        <v>1</v>
      </c>
      <c r="AT586" s="81">
        <f t="shared" si="84"/>
        <v>0</v>
      </c>
    </row>
    <row r="587" spans="1:46" x14ac:dyDescent="0.25">
      <c r="A587" t="s">
        <v>808</v>
      </c>
      <c r="B587">
        <v>2030</v>
      </c>
      <c r="C587" t="s">
        <v>680</v>
      </c>
      <c r="D587" t="s">
        <v>834</v>
      </c>
      <c r="E587" t="s">
        <v>1028</v>
      </c>
      <c r="F587">
        <v>7</v>
      </c>
      <c r="G587" t="s">
        <v>2323</v>
      </c>
      <c r="H587" s="460">
        <v>10162.207089369211</v>
      </c>
      <c r="I587">
        <v>4200</v>
      </c>
      <c r="J587">
        <v>160.0000000231087</v>
      </c>
      <c r="K587" s="67">
        <v>252.59437500000001</v>
      </c>
      <c r="L587" s="159">
        <v>0</v>
      </c>
      <c r="M587" s="159">
        <v>12795</v>
      </c>
      <c r="N587" s="159">
        <v>220</v>
      </c>
      <c r="O587" s="159">
        <v>0</v>
      </c>
      <c r="P587" s="159">
        <v>3617</v>
      </c>
      <c r="Q587" s="159">
        <v>1500</v>
      </c>
      <c r="R587" s="159">
        <v>2000</v>
      </c>
      <c r="S587" s="159">
        <v>56788</v>
      </c>
      <c r="T587" s="159">
        <v>3620</v>
      </c>
      <c r="U587" s="159">
        <v>50519</v>
      </c>
      <c r="V587" s="159">
        <v>4500</v>
      </c>
      <c r="W587" s="159">
        <v>186</v>
      </c>
      <c r="X587" s="159">
        <v>0</v>
      </c>
      <c r="Y587" s="159">
        <v>1500</v>
      </c>
      <c r="Z587" s="159">
        <v>4998</v>
      </c>
      <c r="AA587" s="159">
        <v>0</v>
      </c>
      <c r="AB587" s="159">
        <v>0</v>
      </c>
      <c r="AC587" s="159">
        <v>0</v>
      </c>
      <c r="AD587" s="207">
        <v>142243</v>
      </c>
      <c r="AE587" s="200">
        <v>10.127088144358375</v>
      </c>
      <c r="AF587" s="200">
        <v>8.7772408550257328</v>
      </c>
      <c r="AG587" s="200">
        <v>7.9358539495883864</v>
      </c>
      <c r="AH587" s="200">
        <v>1401</v>
      </c>
      <c r="AI587" s="200">
        <v>1604</v>
      </c>
      <c r="AJ587" s="200">
        <v>1940</v>
      </c>
      <c r="AL587" s="197">
        <f t="shared" si="85"/>
        <v>163062.49862809441</v>
      </c>
      <c r="AM587" s="197" t="str">
        <f t="shared" si="86"/>
        <v>Box Medium 6</v>
      </c>
      <c r="AN587" s="3">
        <f t="shared" si="87"/>
        <v>5.8126348498199434</v>
      </c>
      <c r="AO587" s="3">
        <f t="shared" si="88"/>
        <v>2.2436435783669189</v>
      </c>
      <c r="AP587" s="3">
        <f t="shared" si="89"/>
        <v>93.594144183329831</v>
      </c>
      <c r="AQ587" s="3">
        <f t="shared" si="81"/>
        <v>3.3693891905998741</v>
      </c>
      <c r="AR587" s="3">
        <f t="shared" si="82"/>
        <v>5.6130327689667929</v>
      </c>
      <c r="AS587" s="81">
        <f t="shared" si="83"/>
        <v>0.39972037768450669</v>
      </c>
      <c r="AT587" s="81">
        <f t="shared" si="84"/>
        <v>0.60027962231549326</v>
      </c>
    </row>
    <row r="588" spans="1:46" x14ac:dyDescent="0.25">
      <c r="A588" t="s">
        <v>230</v>
      </c>
      <c r="B588">
        <v>2030</v>
      </c>
      <c r="C588" t="s">
        <v>680</v>
      </c>
      <c r="D588" t="s">
        <v>834</v>
      </c>
      <c r="E588" t="s">
        <v>1028</v>
      </c>
      <c r="F588">
        <v>7</v>
      </c>
      <c r="G588" t="s">
        <v>2324</v>
      </c>
      <c r="H588" s="460">
        <v>9985.7992771201898</v>
      </c>
      <c r="I588">
        <v>4200</v>
      </c>
      <c r="J588">
        <v>200.00000001335161</v>
      </c>
      <c r="K588" s="67">
        <v>326.697</v>
      </c>
      <c r="L588" s="159">
        <v>0</v>
      </c>
      <c r="M588" s="159">
        <v>0</v>
      </c>
      <c r="N588" s="159">
        <v>0</v>
      </c>
      <c r="O588" s="159">
        <v>0</v>
      </c>
      <c r="P588" s="159">
        <v>3031</v>
      </c>
      <c r="Q588" s="159">
        <v>1500</v>
      </c>
      <c r="R588" s="159">
        <v>2000</v>
      </c>
      <c r="S588" s="159">
        <v>56788</v>
      </c>
      <c r="T588" s="159">
        <v>0</v>
      </c>
      <c r="U588" s="159">
        <v>65339</v>
      </c>
      <c r="V588" s="159">
        <v>4500</v>
      </c>
      <c r="W588" s="159">
        <v>186</v>
      </c>
      <c r="X588" s="159">
        <v>0</v>
      </c>
      <c r="Y588" s="159">
        <v>1500</v>
      </c>
      <c r="Z588" s="159">
        <v>4035</v>
      </c>
      <c r="AA588" s="159">
        <v>0</v>
      </c>
      <c r="AB588" s="159">
        <v>0</v>
      </c>
      <c r="AC588" s="159">
        <v>0</v>
      </c>
      <c r="AD588" s="207">
        <v>138879</v>
      </c>
      <c r="AE588" s="200">
        <v>0</v>
      </c>
      <c r="AF588" s="200">
        <v>0</v>
      </c>
      <c r="AG588" s="200">
        <v>0</v>
      </c>
      <c r="AH588" s="200">
        <v>1382</v>
      </c>
      <c r="AI588" s="200">
        <v>1470</v>
      </c>
      <c r="AJ588" s="200">
        <v>1783</v>
      </c>
      <c r="AL588" s="197">
        <f t="shared" si="85"/>
        <v>159206.12435741039</v>
      </c>
      <c r="AM588" s="197" t="str">
        <f t="shared" si="86"/>
        <v>Box Medium 6</v>
      </c>
      <c r="AN588" s="3">
        <f t="shared" si="87"/>
        <v>0</v>
      </c>
      <c r="AO588" s="3">
        <f t="shared" si="88"/>
        <v>0</v>
      </c>
      <c r="AP588" s="3">
        <f t="shared" si="89"/>
        <v>107.79449960853518</v>
      </c>
      <c r="AQ588" s="3">
        <f t="shared" si="81"/>
        <v>3.8806019859072665</v>
      </c>
      <c r="AR588" s="3">
        <f t="shared" si="82"/>
        <v>3.8806019859072665</v>
      </c>
      <c r="AS588" s="81">
        <f t="shared" si="83"/>
        <v>0</v>
      </c>
      <c r="AT588" s="81">
        <f t="shared" si="84"/>
        <v>1</v>
      </c>
    </row>
    <row r="589" spans="1:46" x14ac:dyDescent="0.25">
      <c r="A589" t="s">
        <v>496</v>
      </c>
      <c r="B589">
        <v>2030</v>
      </c>
      <c r="C589" t="s">
        <v>680</v>
      </c>
      <c r="D589" t="s">
        <v>834</v>
      </c>
      <c r="E589" t="s">
        <v>1028</v>
      </c>
      <c r="F589">
        <v>7</v>
      </c>
      <c r="G589" t="s">
        <v>2325</v>
      </c>
      <c r="H589" s="460">
        <v>8750.5374569997857</v>
      </c>
      <c r="I589">
        <v>4200</v>
      </c>
      <c r="J589">
        <v>200.00000001335161</v>
      </c>
      <c r="K589" s="67">
        <v>5.7024000000000008</v>
      </c>
      <c r="L589" s="159">
        <v>0</v>
      </c>
      <c r="M589" s="159">
        <v>0</v>
      </c>
      <c r="N589" s="159">
        <v>0</v>
      </c>
      <c r="O589" s="159">
        <v>0</v>
      </c>
      <c r="P589" s="159">
        <v>3217</v>
      </c>
      <c r="Q589" s="159">
        <v>1500</v>
      </c>
      <c r="R589" s="159">
        <v>2000</v>
      </c>
      <c r="S589" s="159">
        <v>56788</v>
      </c>
      <c r="T589" s="159">
        <v>0</v>
      </c>
      <c r="U589" s="159">
        <v>2048</v>
      </c>
      <c r="V589" s="159">
        <v>4500</v>
      </c>
      <c r="W589" s="159">
        <v>186</v>
      </c>
      <c r="X589" s="159">
        <v>0</v>
      </c>
      <c r="Y589" s="159">
        <v>1500</v>
      </c>
      <c r="Z589" s="159">
        <v>4342</v>
      </c>
      <c r="AA589" s="159">
        <v>17808</v>
      </c>
      <c r="AB589" s="159">
        <v>12428</v>
      </c>
      <c r="AC589" s="159">
        <v>0</v>
      </c>
      <c r="AD589" s="207">
        <v>106317</v>
      </c>
      <c r="AE589" s="200">
        <v>15.293961315188652</v>
      </c>
      <c r="AF589" s="200">
        <v>14.727118122396252</v>
      </c>
      <c r="AG589" s="200">
        <v>11.716585095956654</v>
      </c>
      <c r="AH589" s="200">
        <v>0</v>
      </c>
      <c r="AI589" s="200">
        <v>0</v>
      </c>
      <c r="AJ589" s="200">
        <v>0</v>
      </c>
      <c r="AL589" s="197">
        <f t="shared" si="85"/>
        <v>121878.16389307813</v>
      </c>
      <c r="AM589" s="197" t="str">
        <f t="shared" si="86"/>
        <v>Box Medium 6</v>
      </c>
      <c r="AN589" s="3">
        <f t="shared" si="87"/>
        <v>19.4712642158131</v>
      </c>
      <c r="AO589" s="3">
        <f t="shared" si="88"/>
        <v>7.5157958566497456</v>
      </c>
      <c r="AP589" s="3">
        <f t="shared" si="89"/>
        <v>0</v>
      </c>
      <c r="AQ589" s="3">
        <f t="shared" si="81"/>
        <v>0</v>
      </c>
      <c r="AR589" s="3">
        <f t="shared" si="82"/>
        <v>7.5157958566497456</v>
      </c>
      <c r="AS589" s="81">
        <f t="shared" si="83"/>
        <v>1</v>
      </c>
      <c r="AT589" s="81">
        <f t="shared" si="84"/>
        <v>0</v>
      </c>
    </row>
    <row r="590" spans="1:46" x14ac:dyDescent="0.25">
      <c r="A590" t="s">
        <v>828</v>
      </c>
      <c r="B590">
        <v>2030</v>
      </c>
      <c r="C590" t="s">
        <v>680</v>
      </c>
      <c r="D590" t="s">
        <v>834</v>
      </c>
      <c r="E590" t="s">
        <v>1028</v>
      </c>
      <c r="F590">
        <v>7</v>
      </c>
      <c r="G590" t="s">
        <v>2326</v>
      </c>
      <c r="H590" s="460">
        <v>8782.4005009506491</v>
      </c>
      <c r="I590">
        <v>4200</v>
      </c>
      <c r="J590">
        <v>200.00000001335161</v>
      </c>
      <c r="K590" s="67">
        <v>29.293500000000002</v>
      </c>
      <c r="L590" s="159">
        <v>0</v>
      </c>
      <c r="M590" s="159">
        <v>0</v>
      </c>
      <c r="N590" s="159">
        <v>0</v>
      </c>
      <c r="O590" s="159">
        <v>0</v>
      </c>
      <c r="P590" s="159">
        <v>3438</v>
      </c>
      <c r="Q590" s="159">
        <v>1500</v>
      </c>
      <c r="R590" s="159">
        <v>2000</v>
      </c>
      <c r="S590" s="159">
        <v>56788</v>
      </c>
      <c r="T590" s="159">
        <v>0</v>
      </c>
      <c r="U590" s="159">
        <v>5859</v>
      </c>
      <c r="V590" s="159">
        <v>4500</v>
      </c>
      <c r="W590" s="159">
        <v>186</v>
      </c>
      <c r="X590" s="159">
        <v>0</v>
      </c>
      <c r="Y590" s="159">
        <v>1500</v>
      </c>
      <c r="Z590" s="159">
        <v>4704</v>
      </c>
      <c r="AA590" s="159">
        <v>12145</v>
      </c>
      <c r="AB590" s="159">
        <v>10554</v>
      </c>
      <c r="AC590" s="159">
        <v>0</v>
      </c>
      <c r="AD590" s="207">
        <v>103174</v>
      </c>
      <c r="AE590" s="200">
        <v>15.519630978653835</v>
      </c>
      <c r="AF590" s="200">
        <v>14.30212750264068</v>
      </c>
      <c r="AG590" s="200">
        <v>11.788747170293403</v>
      </c>
      <c r="AH590" s="200">
        <v>0</v>
      </c>
      <c r="AI590" s="200">
        <v>0</v>
      </c>
      <c r="AJ590" s="200">
        <v>134.6150757976549</v>
      </c>
      <c r="AL590" s="197">
        <f t="shared" si="85"/>
        <v>118275.13644576544</v>
      </c>
      <c r="AM590" s="197" t="str">
        <f t="shared" si="86"/>
        <v>Box Medium 6</v>
      </c>
      <c r="AN590" s="3">
        <f t="shared" si="87"/>
        <v>19.39711366007414</v>
      </c>
      <c r="AO590" s="3">
        <f t="shared" si="88"/>
        <v>7.4871741691509666</v>
      </c>
      <c r="AP590" s="3">
        <f t="shared" si="89"/>
        <v>7.1935678716730589</v>
      </c>
      <c r="AQ590" s="3">
        <f t="shared" si="81"/>
        <v>0.25896844338023012</v>
      </c>
      <c r="AR590" s="3">
        <f t="shared" si="82"/>
        <v>7.7461426125311963</v>
      </c>
      <c r="AS590" s="81">
        <f t="shared" si="83"/>
        <v>0.96656807699857117</v>
      </c>
      <c r="AT590" s="81">
        <f t="shared" si="84"/>
        <v>3.343192300142888E-2</v>
      </c>
    </row>
    <row r="591" spans="1:46" x14ac:dyDescent="0.25">
      <c r="A591" t="s">
        <v>805</v>
      </c>
      <c r="B591">
        <v>2035</v>
      </c>
      <c r="C591" t="s">
        <v>680</v>
      </c>
      <c r="D591" t="s">
        <v>834</v>
      </c>
      <c r="E591" t="s">
        <v>1028</v>
      </c>
      <c r="F591">
        <v>7</v>
      </c>
      <c r="G591" t="s">
        <v>2327</v>
      </c>
      <c r="H591" s="460">
        <v>8619.5140683008649</v>
      </c>
      <c r="I591">
        <v>4200</v>
      </c>
      <c r="J591">
        <v>0</v>
      </c>
      <c r="K591" s="67">
        <v>0</v>
      </c>
      <c r="L591" s="159">
        <v>150</v>
      </c>
      <c r="M591" s="159">
        <v>14965</v>
      </c>
      <c r="N591" s="159">
        <v>1920</v>
      </c>
      <c r="O591" s="159">
        <v>506</v>
      </c>
      <c r="P591" s="159">
        <v>4221</v>
      </c>
      <c r="Q591" s="159">
        <v>1500</v>
      </c>
      <c r="R591" s="159">
        <v>2000</v>
      </c>
      <c r="S591" s="159">
        <v>56788</v>
      </c>
      <c r="T591" s="159">
        <v>63</v>
      </c>
      <c r="U591" s="159">
        <v>120</v>
      </c>
      <c r="V591" s="159">
        <v>0</v>
      </c>
      <c r="W591" s="159">
        <v>186</v>
      </c>
      <c r="X591" s="159">
        <v>0</v>
      </c>
      <c r="Y591" s="159">
        <v>0</v>
      </c>
      <c r="Z591" s="159">
        <v>0</v>
      </c>
      <c r="AA591" s="159">
        <v>0</v>
      </c>
      <c r="AB591" s="159">
        <v>0</v>
      </c>
      <c r="AC591" s="159">
        <v>0</v>
      </c>
      <c r="AD591" s="207">
        <v>82419</v>
      </c>
      <c r="AE591" s="200">
        <v>9.0283566081779103</v>
      </c>
      <c r="AF591" s="200">
        <v>12.634350697352863</v>
      </c>
      <c r="AG591" s="200">
        <v>10.78281218079815</v>
      </c>
      <c r="AH591" s="200">
        <v>0</v>
      </c>
      <c r="AI591" s="200">
        <v>0</v>
      </c>
      <c r="AJ591" s="200">
        <v>0</v>
      </c>
      <c r="AL591" s="197">
        <f t="shared" si="85"/>
        <v>94482.31599747554</v>
      </c>
      <c r="AM591" s="197" t="str">
        <f t="shared" si="86"/>
        <v>Box Medium 6</v>
      </c>
      <c r="AN591" s="3">
        <f t="shared" si="87"/>
        <v>21.738135055684648</v>
      </c>
      <c r="AO591" s="3">
        <f t="shared" si="88"/>
        <v>8.3907949464381861</v>
      </c>
      <c r="AP591" s="3">
        <f t="shared" si="89"/>
        <v>0</v>
      </c>
      <c r="AQ591" s="3">
        <f t="shared" si="81"/>
        <v>0</v>
      </c>
      <c r="AR591" s="3">
        <f t="shared" si="82"/>
        <v>8.3907949464381861</v>
      </c>
      <c r="AS591" s="81">
        <f t="shared" si="83"/>
        <v>1</v>
      </c>
      <c r="AT591" s="81">
        <f t="shared" si="84"/>
        <v>0</v>
      </c>
    </row>
    <row r="592" spans="1:46" x14ac:dyDescent="0.25">
      <c r="A592" t="s">
        <v>807</v>
      </c>
      <c r="B592">
        <v>2035</v>
      </c>
      <c r="C592" t="s">
        <v>680</v>
      </c>
      <c r="D592" t="s">
        <v>834</v>
      </c>
      <c r="E592" t="s">
        <v>1028</v>
      </c>
      <c r="F592">
        <v>7</v>
      </c>
      <c r="G592" t="s">
        <v>2328</v>
      </c>
      <c r="H592" s="460">
        <v>8689.2149566736225</v>
      </c>
      <c r="I592">
        <v>4200</v>
      </c>
      <c r="J592">
        <v>0</v>
      </c>
      <c r="K592" s="67">
        <v>3.5640000000000005</v>
      </c>
      <c r="L592" s="159">
        <v>150</v>
      </c>
      <c r="M592" s="159">
        <v>14790</v>
      </c>
      <c r="N592" s="159">
        <v>220</v>
      </c>
      <c r="O592" s="159">
        <v>392</v>
      </c>
      <c r="P592" s="159">
        <v>4169</v>
      </c>
      <c r="Q592" s="159">
        <v>1500</v>
      </c>
      <c r="R592" s="159">
        <v>2000</v>
      </c>
      <c r="S592" s="159">
        <v>56788</v>
      </c>
      <c r="T592" s="159">
        <v>0</v>
      </c>
      <c r="U592" s="159">
        <v>1212</v>
      </c>
      <c r="V592" s="159">
        <v>4500</v>
      </c>
      <c r="W592" s="159">
        <v>186</v>
      </c>
      <c r="X592" s="159">
        <v>120</v>
      </c>
      <c r="Y592" s="159">
        <v>1500</v>
      </c>
      <c r="Z592" s="159">
        <v>2292</v>
      </c>
      <c r="AA592" s="159">
        <v>0</v>
      </c>
      <c r="AB592" s="159">
        <v>0</v>
      </c>
      <c r="AC592" s="159">
        <v>0</v>
      </c>
      <c r="AD592" s="207">
        <v>89819</v>
      </c>
      <c r="AE592" s="200">
        <v>10.563651187191251</v>
      </c>
      <c r="AF592" s="200">
        <v>12.048336707391888</v>
      </c>
      <c r="AG592" s="200">
        <v>10.240883537553724</v>
      </c>
      <c r="AH592" s="200">
        <v>0</v>
      </c>
      <c r="AI592" s="200">
        <v>0</v>
      </c>
      <c r="AJ592" s="200">
        <v>0</v>
      </c>
      <c r="AL592" s="197">
        <f t="shared" si="85"/>
        <v>102965.42230040714</v>
      </c>
      <c r="AM592" s="197" t="str">
        <f t="shared" si="86"/>
        <v>Box Medium 6</v>
      </c>
      <c r="AN592" s="3">
        <f t="shared" si="87"/>
        <v>22.62304942172409</v>
      </c>
      <c r="AO592" s="3">
        <f t="shared" si="88"/>
        <v>8.732366795705568</v>
      </c>
      <c r="AP592" s="3">
        <f t="shared" si="89"/>
        <v>0</v>
      </c>
      <c r="AQ592" s="3">
        <f t="shared" si="81"/>
        <v>0</v>
      </c>
      <c r="AR592" s="3">
        <f t="shared" si="82"/>
        <v>8.732366795705568</v>
      </c>
      <c r="AS592" s="81">
        <f t="shared" si="83"/>
        <v>1</v>
      </c>
      <c r="AT592" s="81">
        <f t="shared" si="84"/>
        <v>0</v>
      </c>
    </row>
    <row r="593" spans="1:46" x14ac:dyDescent="0.25">
      <c r="A593" t="s">
        <v>808</v>
      </c>
      <c r="B593">
        <v>2035</v>
      </c>
      <c r="C593" t="s">
        <v>680</v>
      </c>
      <c r="D593" t="s">
        <v>834</v>
      </c>
      <c r="E593" t="s">
        <v>1028</v>
      </c>
      <c r="F593">
        <v>7</v>
      </c>
      <c r="G593" t="s">
        <v>2329</v>
      </c>
      <c r="H593" s="460">
        <v>9806.7012505413513</v>
      </c>
      <c r="I593">
        <v>4200</v>
      </c>
      <c r="J593">
        <v>160.0000000231087</v>
      </c>
      <c r="K593" s="67">
        <v>230.8725</v>
      </c>
      <c r="L593" s="159">
        <v>0</v>
      </c>
      <c r="M593" s="159">
        <v>12668</v>
      </c>
      <c r="N593" s="159">
        <v>220</v>
      </c>
      <c r="O593" s="159">
        <v>0</v>
      </c>
      <c r="P593" s="159">
        <v>3511</v>
      </c>
      <c r="Q593" s="159">
        <v>1500</v>
      </c>
      <c r="R593" s="159">
        <v>2000</v>
      </c>
      <c r="S593" s="159">
        <v>56788</v>
      </c>
      <c r="T593" s="159">
        <v>2910</v>
      </c>
      <c r="U593" s="159">
        <v>36940</v>
      </c>
      <c r="V593" s="159">
        <v>4500</v>
      </c>
      <c r="W593" s="159">
        <v>186</v>
      </c>
      <c r="X593" s="159">
        <v>0</v>
      </c>
      <c r="Y593" s="159">
        <v>1500</v>
      </c>
      <c r="Z593" s="159">
        <v>3968</v>
      </c>
      <c r="AA593" s="159">
        <v>0</v>
      </c>
      <c r="AB593" s="159">
        <v>0</v>
      </c>
      <c r="AC593" s="159">
        <v>0</v>
      </c>
      <c r="AD593" s="207">
        <v>126691</v>
      </c>
      <c r="AE593" s="200">
        <v>11.152247761638733</v>
      </c>
      <c r="AF593" s="200">
        <v>9.785361761404463</v>
      </c>
      <c r="AG593" s="200">
        <v>8.7555685489347788</v>
      </c>
      <c r="AH593" s="200">
        <v>1309</v>
      </c>
      <c r="AI593" s="200">
        <v>1478</v>
      </c>
      <c r="AJ593" s="200">
        <v>1782</v>
      </c>
      <c r="AL593" s="197">
        <f t="shared" si="85"/>
        <v>145234.21900333872</v>
      </c>
      <c r="AM593" s="197" t="str">
        <f t="shared" si="86"/>
        <v>Box Medium 6</v>
      </c>
      <c r="AN593" s="3">
        <f t="shared" si="87"/>
        <v>5.2643033509255419</v>
      </c>
      <c r="AO593" s="3">
        <f t="shared" si="88"/>
        <v>2.0319907775120982</v>
      </c>
      <c r="AP593" s="3">
        <f t="shared" si="89"/>
        <v>86.047199473075921</v>
      </c>
      <c r="AQ593" s="3">
        <f t="shared" si="81"/>
        <v>3.0976991810307335</v>
      </c>
      <c r="AR593" s="3">
        <f t="shared" si="82"/>
        <v>5.1296899585428317</v>
      </c>
      <c r="AS593" s="81">
        <f t="shared" si="83"/>
        <v>0.39612350725565426</v>
      </c>
      <c r="AT593" s="81">
        <f t="shared" si="84"/>
        <v>0.60387649274434574</v>
      </c>
    </row>
    <row r="594" spans="1:46" x14ac:dyDescent="0.25">
      <c r="A594" t="s">
        <v>230</v>
      </c>
      <c r="B594">
        <v>2035</v>
      </c>
      <c r="C594" t="s">
        <v>680</v>
      </c>
      <c r="D594" t="s">
        <v>834</v>
      </c>
      <c r="E594" t="s">
        <v>1028</v>
      </c>
      <c r="F594">
        <v>7</v>
      </c>
      <c r="G594" t="s">
        <v>2330</v>
      </c>
      <c r="H594" s="460">
        <v>9573.1236394340995</v>
      </c>
      <c r="I594">
        <v>4200</v>
      </c>
      <c r="J594">
        <v>200.00000001335161</v>
      </c>
      <c r="K594" s="67">
        <v>298.520625</v>
      </c>
      <c r="L594" s="159">
        <v>0</v>
      </c>
      <c r="M594" s="159">
        <v>0</v>
      </c>
      <c r="N594" s="159">
        <v>0</v>
      </c>
      <c r="O594" s="159">
        <v>0</v>
      </c>
      <c r="P594" s="159">
        <v>3030</v>
      </c>
      <c r="Q594" s="159">
        <v>1500</v>
      </c>
      <c r="R594" s="159">
        <v>2000</v>
      </c>
      <c r="S594" s="159">
        <v>56788</v>
      </c>
      <c r="T594" s="159">
        <v>0</v>
      </c>
      <c r="U594" s="159">
        <v>47763</v>
      </c>
      <c r="V594" s="159">
        <v>4500</v>
      </c>
      <c r="W594" s="159">
        <v>186</v>
      </c>
      <c r="X594" s="159">
        <v>0</v>
      </c>
      <c r="Y594" s="159">
        <v>1500</v>
      </c>
      <c r="Z594" s="159">
        <v>3320</v>
      </c>
      <c r="AA594" s="159">
        <v>0</v>
      </c>
      <c r="AB594" s="159">
        <v>0</v>
      </c>
      <c r="AC594" s="159">
        <v>0</v>
      </c>
      <c r="AD594" s="207">
        <v>120587</v>
      </c>
      <c r="AE594" s="200">
        <v>0</v>
      </c>
      <c r="AF594" s="200">
        <v>0</v>
      </c>
      <c r="AG594" s="200">
        <v>0</v>
      </c>
      <c r="AH594" s="200">
        <v>1287</v>
      </c>
      <c r="AI594" s="200">
        <v>1347</v>
      </c>
      <c r="AJ594" s="200">
        <v>1628</v>
      </c>
      <c r="AL594" s="197">
        <f t="shared" si="85"/>
        <v>138236.80266913676</v>
      </c>
      <c r="AM594" s="197" t="str">
        <f t="shared" si="86"/>
        <v>Box Medium 6</v>
      </c>
      <c r="AN594" s="3">
        <f t="shared" si="87"/>
        <v>0</v>
      </c>
      <c r="AO594" s="3">
        <f t="shared" si="88"/>
        <v>0</v>
      </c>
      <c r="AP594" s="3">
        <f t="shared" si="89"/>
        <v>98.52858935961325</v>
      </c>
      <c r="AQ594" s="3">
        <f t="shared" si="81"/>
        <v>3.5470292169460773</v>
      </c>
      <c r="AR594" s="3">
        <f t="shared" si="82"/>
        <v>3.5470292169460773</v>
      </c>
      <c r="AS594" s="81">
        <f t="shared" si="83"/>
        <v>0</v>
      </c>
      <c r="AT594" s="81">
        <f t="shared" si="84"/>
        <v>1</v>
      </c>
    </row>
    <row r="595" spans="1:46" x14ac:dyDescent="0.25">
      <c r="A595" t="s">
        <v>496</v>
      </c>
      <c r="B595">
        <v>2035</v>
      </c>
      <c r="C595" t="s">
        <v>680</v>
      </c>
      <c r="D595" t="s">
        <v>834</v>
      </c>
      <c r="E595" t="s">
        <v>1028</v>
      </c>
      <c r="F595">
        <v>7</v>
      </c>
      <c r="G595" t="s">
        <v>2331</v>
      </c>
      <c r="H595" s="460">
        <v>8682.7744062235979</v>
      </c>
      <c r="I595">
        <v>4200</v>
      </c>
      <c r="J595">
        <v>200.00000001335161</v>
      </c>
      <c r="K595" s="67">
        <v>5.7024000000000008</v>
      </c>
      <c r="L595" s="159">
        <v>0</v>
      </c>
      <c r="M595" s="159">
        <v>0</v>
      </c>
      <c r="N595" s="159">
        <v>0</v>
      </c>
      <c r="O595" s="159">
        <v>0</v>
      </c>
      <c r="P595" s="159">
        <v>3202</v>
      </c>
      <c r="Q595" s="159">
        <v>1500</v>
      </c>
      <c r="R595" s="159">
        <v>2000</v>
      </c>
      <c r="S595" s="159">
        <v>56788</v>
      </c>
      <c r="T595" s="159">
        <v>0</v>
      </c>
      <c r="U595" s="159">
        <v>1940</v>
      </c>
      <c r="V595" s="159">
        <v>4500</v>
      </c>
      <c r="W595" s="159">
        <v>186</v>
      </c>
      <c r="X595" s="159">
        <v>0</v>
      </c>
      <c r="Y595" s="159">
        <v>1500</v>
      </c>
      <c r="Z595" s="159">
        <v>3553</v>
      </c>
      <c r="AA595" s="159">
        <v>15281</v>
      </c>
      <c r="AB595" s="159">
        <v>9862</v>
      </c>
      <c r="AC595" s="159">
        <v>0</v>
      </c>
      <c r="AD595" s="207">
        <v>100312</v>
      </c>
      <c r="AE595" s="200">
        <v>16.125433422034845</v>
      </c>
      <c r="AF595" s="200">
        <v>15.997405133416827</v>
      </c>
      <c r="AG595" s="200">
        <v>12.827657964439547</v>
      </c>
      <c r="AH595" s="200">
        <v>0</v>
      </c>
      <c r="AI595" s="200">
        <v>0</v>
      </c>
      <c r="AJ595" s="200">
        <v>0</v>
      </c>
      <c r="AL595" s="197">
        <f t="shared" si="85"/>
        <v>114994.23776482082</v>
      </c>
      <c r="AM595" s="197" t="str">
        <f t="shared" si="86"/>
        <v>Box Medium 6</v>
      </c>
      <c r="AN595" s="3">
        <f t="shared" si="87"/>
        <v>17.822070814954976</v>
      </c>
      <c r="AO595" s="3">
        <f t="shared" si="88"/>
        <v>6.8792167012543137</v>
      </c>
      <c r="AP595" s="3">
        <f t="shared" si="89"/>
        <v>0</v>
      </c>
      <c r="AQ595" s="3">
        <f t="shared" si="81"/>
        <v>0</v>
      </c>
      <c r="AR595" s="3">
        <f t="shared" si="82"/>
        <v>6.8792167012543137</v>
      </c>
      <c r="AS595" s="81">
        <f t="shared" si="83"/>
        <v>1</v>
      </c>
      <c r="AT595" s="81">
        <f t="shared" si="84"/>
        <v>0</v>
      </c>
    </row>
    <row r="596" spans="1:46" x14ac:dyDescent="0.25">
      <c r="A596" t="s">
        <v>828</v>
      </c>
      <c r="B596">
        <v>2035</v>
      </c>
      <c r="C596" t="s">
        <v>680</v>
      </c>
      <c r="D596" t="s">
        <v>834</v>
      </c>
      <c r="E596" t="s">
        <v>1028</v>
      </c>
      <c r="F596">
        <v>7</v>
      </c>
      <c r="G596" t="s">
        <v>2332</v>
      </c>
      <c r="H596" s="460">
        <v>8691.7468065843677</v>
      </c>
      <c r="I596">
        <v>4200</v>
      </c>
      <c r="J596">
        <v>200.00000001335161</v>
      </c>
      <c r="K596" s="67">
        <v>31.03125</v>
      </c>
      <c r="L596" s="159">
        <v>0</v>
      </c>
      <c r="M596" s="159">
        <v>0</v>
      </c>
      <c r="N596" s="159">
        <v>0</v>
      </c>
      <c r="O596" s="159">
        <v>0</v>
      </c>
      <c r="P596" s="159">
        <v>3424</v>
      </c>
      <c r="Q596" s="159">
        <v>1500</v>
      </c>
      <c r="R596" s="159">
        <v>2000</v>
      </c>
      <c r="S596" s="159">
        <v>56788</v>
      </c>
      <c r="T596" s="159">
        <v>0</v>
      </c>
      <c r="U596" s="159">
        <v>4965</v>
      </c>
      <c r="V596" s="159">
        <v>4500</v>
      </c>
      <c r="W596" s="159">
        <v>186</v>
      </c>
      <c r="X596" s="159">
        <v>0</v>
      </c>
      <c r="Y596" s="159">
        <v>1500</v>
      </c>
      <c r="Z596" s="159">
        <v>3851</v>
      </c>
      <c r="AA596" s="159">
        <v>9699</v>
      </c>
      <c r="AB596" s="159">
        <v>8107</v>
      </c>
      <c r="AC596" s="159">
        <v>0</v>
      </c>
      <c r="AD596" s="207">
        <v>96520</v>
      </c>
      <c r="AE596" s="200">
        <v>16.422315573125832</v>
      </c>
      <c r="AF596" s="200">
        <v>15.466857930613205</v>
      </c>
      <c r="AG596" s="200">
        <v>13.316835365822833</v>
      </c>
      <c r="AH596" s="200">
        <v>0</v>
      </c>
      <c r="AI596" s="200">
        <v>0</v>
      </c>
      <c r="AJ596" s="200">
        <v>0</v>
      </c>
      <c r="AL596" s="197">
        <f t="shared" si="85"/>
        <v>110647.21896742668</v>
      </c>
      <c r="AM596" s="197" t="str">
        <f t="shared" si="86"/>
        <v>Box Medium 6</v>
      </c>
      <c r="AN596" s="3">
        <f t="shared" si="87"/>
        <v>17.275007257946463</v>
      </c>
      <c r="AO596" s="3">
        <f t="shared" si="88"/>
        <v>6.6680533186656525</v>
      </c>
      <c r="AP596" s="3">
        <f t="shared" si="89"/>
        <v>0</v>
      </c>
      <c r="AQ596" s="3">
        <f t="shared" si="81"/>
        <v>0</v>
      </c>
      <c r="AR596" s="3">
        <f t="shared" si="82"/>
        <v>6.6680533186656525</v>
      </c>
      <c r="AS596" s="81">
        <f t="shared" si="83"/>
        <v>1</v>
      </c>
      <c r="AT596" s="81">
        <f t="shared" si="84"/>
        <v>0</v>
      </c>
    </row>
    <row r="597" spans="1:46" x14ac:dyDescent="0.25">
      <c r="A597" t="s">
        <v>805</v>
      </c>
      <c r="B597">
        <v>2050</v>
      </c>
      <c r="C597" t="s">
        <v>680</v>
      </c>
      <c r="D597" t="s">
        <v>834</v>
      </c>
      <c r="E597" t="s">
        <v>1028</v>
      </c>
      <c r="F597">
        <v>7</v>
      </c>
      <c r="G597" t="s">
        <v>2333</v>
      </c>
      <c r="H597" s="460">
        <v>8567.6791178366529</v>
      </c>
      <c r="I597">
        <v>4200</v>
      </c>
      <c r="J597">
        <v>0</v>
      </c>
      <c r="K597" s="67">
        <v>0</v>
      </c>
      <c r="L597" s="159">
        <v>150</v>
      </c>
      <c r="M597" s="159">
        <v>15369</v>
      </c>
      <c r="N597" s="159">
        <v>1920</v>
      </c>
      <c r="O597" s="159">
        <v>506</v>
      </c>
      <c r="P597" s="159">
        <v>4170</v>
      </c>
      <c r="Q597" s="159">
        <v>1500</v>
      </c>
      <c r="R597" s="159">
        <v>2000</v>
      </c>
      <c r="S597" s="159">
        <v>57020</v>
      </c>
      <c r="T597" s="159">
        <v>44</v>
      </c>
      <c r="U597" s="159">
        <v>120</v>
      </c>
      <c r="V597" s="159">
        <v>0</v>
      </c>
      <c r="W597" s="159">
        <v>186</v>
      </c>
      <c r="X597" s="159">
        <v>0</v>
      </c>
      <c r="Y597" s="159">
        <v>0</v>
      </c>
      <c r="Z597" s="159">
        <v>0</v>
      </c>
      <c r="AA597" s="159">
        <v>0</v>
      </c>
      <c r="AB597" s="159">
        <v>0</v>
      </c>
      <c r="AC597" s="159">
        <v>0</v>
      </c>
      <c r="AD597" s="207">
        <v>82985</v>
      </c>
      <c r="AE597" s="200">
        <v>9.6483061574782294</v>
      </c>
      <c r="AF597" s="200">
        <v>14.043515915419395</v>
      </c>
      <c r="AG597" s="200">
        <v>12.101698689752437</v>
      </c>
      <c r="AH597" s="200">
        <v>0</v>
      </c>
      <c r="AI597" s="200">
        <v>0</v>
      </c>
      <c r="AJ597" s="200">
        <v>0</v>
      </c>
      <c r="AL597" s="197">
        <f t="shared" si="85"/>
        <v>95131.158993078148</v>
      </c>
      <c r="AM597" s="197" t="str">
        <f t="shared" si="86"/>
        <v>Box Medium 6</v>
      </c>
      <c r="AN597" s="3">
        <f t="shared" si="87"/>
        <v>19.441779052179609</v>
      </c>
      <c r="AO597" s="3">
        <f t="shared" si="88"/>
        <v>7.504414753285678</v>
      </c>
      <c r="AP597" s="3">
        <f t="shared" si="89"/>
        <v>0</v>
      </c>
      <c r="AQ597" s="3">
        <f t="shared" si="81"/>
        <v>0</v>
      </c>
      <c r="AR597" s="3">
        <f t="shared" si="82"/>
        <v>7.504414753285678</v>
      </c>
      <c r="AS597" s="81">
        <f t="shared" si="83"/>
        <v>1</v>
      </c>
      <c r="AT597" s="81">
        <f t="shared" si="84"/>
        <v>0</v>
      </c>
    </row>
    <row r="598" spans="1:46" x14ac:dyDescent="0.25">
      <c r="A598" t="s">
        <v>807</v>
      </c>
      <c r="B598">
        <v>2050</v>
      </c>
      <c r="C598" t="s">
        <v>680</v>
      </c>
      <c r="D598" t="s">
        <v>834</v>
      </c>
      <c r="E598" t="s">
        <v>1028</v>
      </c>
      <c r="F598">
        <v>7</v>
      </c>
      <c r="G598" t="s">
        <v>2334</v>
      </c>
      <c r="H598" s="460">
        <v>8640.4730185163844</v>
      </c>
      <c r="I598">
        <v>4200</v>
      </c>
      <c r="J598">
        <v>0</v>
      </c>
      <c r="K598" s="67">
        <v>5.1163200000000009</v>
      </c>
      <c r="L598" s="159">
        <v>150</v>
      </c>
      <c r="M598" s="159">
        <v>15191</v>
      </c>
      <c r="N598" s="159">
        <v>220</v>
      </c>
      <c r="O598" s="159">
        <v>392</v>
      </c>
      <c r="P598" s="159">
        <v>4118</v>
      </c>
      <c r="Q598" s="159">
        <v>1500</v>
      </c>
      <c r="R598" s="159">
        <v>2000</v>
      </c>
      <c r="S598" s="159">
        <v>57020</v>
      </c>
      <c r="T598" s="159">
        <v>0</v>
      </c>
      <c r="U598" s="159">
        <v>1644</v>
      </c>
      <c r="V598" s="159">
        <v>4500</v>
      </c>
      <c r="W598" s="159">
        <v>186</v>
      </c>
      <c r="X598" s="159">
        <v>120</v>
      </c>
      <c r="Y598" s="159">
        <v>1500</v>
      </c>
      <c r="Z598" s="159">
        <v>1642</v>
      </c>
      <c r="AA598" s="159">
        <v>0</v>
      </c>
      <c r="AB598" s="159">
        <v>0</v>
      </c>
      <c r="AC598" s="159">
        <v>0</v>
      </c>
      <c r="AD598" s="207">
        <v>90183</v>
      </c>
      <c r="AE598" s="200">
        <v>12.44759252759845</v>
      </c>
      <c r="AF598" s="200">
        <v>13.716913335642326</v>
      </c>
      <c r="AG598" s="200">
        <v>11.66046906551051</v>
      </c>
      <c r="AH598" s="200">
        <v>0</v>
      </c>
      <c r="AI598" s="200">
        <v>0</v>
      </c>
      <c r="AJ598" s="200">
        <v>0</v>
      </c>
      <c r="AL598" s="197">
        <f t="shared" si="85"/>
        <v>103382.69942125404</v>
      </c>
      <c r="AM598" s="197" t="str">
        <f t="shared" si="86"/>
        <v>Box Medium 6</v>
      </c>
      <c r="AN598" s="3">
        <f t="shared" si="87"/>
        <v>19.836055384383791</v>
      </c>
      <c r="AO598" s="3">
        <f t="shared" si="88"/>
        <v>7.6566031469673099</v>
      </c>
      <c r="AP598" s="3">
        <f t="shared" si="89"/>
        <v>0</v>
      </c>
      <c r="AQ598" s="3">
        <f t="shared" si="81"/>
        <v>0</v>
      </c>
      <c r="AR598" s="3">
        <f t="shared" si="82"/>
        <v>7.6566031469673099</v>
      </c>
      <c r="AS598" s="81">
        <f t="shared" si="83"/>
        <v>1</v>
      </c>
      <c r="AT598" s="81">
        <f t="shared" si="84"/>
        <v>0</v>
      </c>
    </row>
    <row r="599" spans="1:46" x14ac:dyDescent="0.25">
      <c r="A599" t="s">
        <v>808</v>
      </c>
      <c r="B599">
        <v>2050</v>
      </c>
      <c r="C599" t="s">
        <v>680</v>
      </c>
      <c r="D599" t="s">
        <v>834</v>
      </c>
      <c r="E599" t="s">
        <v>1028</v>
      </c>
      <c r="F599">
        <v>7</v>
      </c>
      <c r="G599" t="s">
        <v>2335</v>
      </c>
      <c r="H599" s="460">
        <v>9286.7147821832059</v>
      </c>
      <c r="I599">
        <v>4200</v>
      </c>
      <c r="J599">
        <v>160.0000000231087</v>
      </c>
      <c r="K599" s="67">
        <v>210.01949999999999</v>
      </c>
      <c r="L599" s="159">
        <v>0</v>
      </c>
      <c r="M599" s="159">
        <v>12780</v>
      </c>
      <c r="N599" s="159">
        <v>220</v>
      </c>
      <c r="O599" s="159">
        <v>0</v>
      </c>
      <c r="P599" s="159">
        <v>3353</v>
      </c>
      <c r="Q599" s="159">
        <v>1500</v>
      </c>
      <c r="R599" s="159">
        <v>2000</v>
      </c>
      <c r="S599" s="159">
        <v>57020</v>
      </c>
      <c r="T599" s="159">
        <v>1876</v>
      </c>
      <c r="U599" s="159">
        <v>18902</v>
      </c>
      <c r="V599" s="159">
        <v>4500</v>
      </c>
      <c r="W599" s="159">
        <v>186</v>
      </c>
      <c r="X599" s="159">
        <v>0</v>
      </c>
      <c r="Y599" s="159">
        <v>1500</v>
      </c>
      <c r="Z599" s="159">
        <v>2741</v>
      </c>
      <c r="AA599" s="159">
        <v>0</v>
      </c>
      <c r="AB599" s="159">
        <v>0</v>
      </c>
      <c r="AC599" s="159">
        <v>0</v>
      </c>
      <c r="AD599" s="207">
        <v>106578</v>
      </c>
      <c r="AE599" s="200">
        <v>13.152875358491571</v>
      </c>
      <c r="AF599" s="200">
        <v>11.396574858693853</v>
      </c>
      <c r="AG599" s="200">
        <v>10.143507940354748</v>
      </c>
      <c r="AH599" s="200">
        <v>1157</v>
      </c>
      <c r="AI599" s="200">
        <v>1324</v>
      </c>
      <c r="AJ599" s="200">
        <v>1601</v>
      </c>
      <c r="AL599" s="197">
        <f t="shared" si="85"/>
        <v>122177.36534511397</v>
      </c>
      <c r="AM599" s="197" t="str">
        <f t="shared" si="86"/>
        <v>Box Medium 6</v>
      </c>
      <c r="AN599" s="3">
        <f t="shared" si="87"/>
        <v>4.5387980701518238</v>
      </c>
      <c r="AO599" s="3">
        <f t="shared" si="88"/>
        <v>1.7519499171560302</v>
      </c>
      <c r="AP599" s="3">
        <f t="shared" si="89"/>
        <v>77.24259634384282</v>
      </c>
      <c r="AQ599" s="3">
        <f t="shared" si="81"/>
        <v>2.7807334683783416</v>
      </c>
      <c r="AR599" s="3">
        <f t="shared" si="82"/>
        <v>4.532683385534372</v>
      </c>
      <c r="AS599" s="81">
        <f t="shared" si="83"/>
        <v>0.38651495552219944</v>
      </c>
      <c r="AT599" s="81">
        <f t="shared" si="84"/>
        <v>0.6134850444778005</v>
      </c>
    </row>
    <row r="600" spans="1:46" x14ac:dyDescent="0.25">
      <c r="A600" t="s">
        <v>230</v>
      </c>
      <c r="B600">
        <v>2050</v>
      </c>
      <c r="C600" t="s">
        <v>680</v>
      </c>
      <c r="D600" t="s">
        <v>834</v>
      </c>
      <c r="E600" t="s">
        <v>1028</v>
      </c>
      <c r="F600">
        <v>7</v>
      </c>
      <c r="G600" t="s">
        <v>2336</v>
      </c>
      <c r="H600" s="460">
        <v>8967.4201681200757</v>
      </c>
      <c r="I600">
        <v>4200</v>
      </c>
      <c r="J600">
        <v>200.00000001335161</v>
      </c>
      <c r="K600" s="67">
        <v>268.97887500000002</v>
      </c>
      <c r="L600" s="159">
        <v>0</v>
      </c>
      <c r="M600" s="159">
        <v>0</v>
      </c>
      <c r="N600" s="159">
        <v>0</v>
      </c>
      <c r="O600" s="159">
        <v>0</v>
      </c>
      <c r="P600" s="159">
        <v>2932</v>
      </c>
      <c r="Q600" s="159">
        <v>1500</v>
      </c>
      <c r="R600" s="159">
        <v>2000</v>
      </c>
      <c r="S600" s="159">
        <v>57020</v>
      </c>
      <c r="T600" s="159">
        <v>0</v>
      </c>
      <c r="U600" s="159">
        <v>24208</v>
      </c>
      <c r="V600" s="159">
        <v>4500</v>
      </c>
      <c r="W600" s="159">
        <v>186</v>
      </c>
      <c r="X600" s="159">
        <v>0</v>
      </c>
      <c r="Y600" s="159">
        <v>1500</v>
      </c>
      <c r="Z600" s="159">
        <v>2324</v>
      </c>
      <c r="AA600" s="159">
        <v>0</v>
      </c>
      <c r="AB600" s="159">
        <v>0</v>
      </c>
      <c r="AC600" s="159">
        <v>0</v>
      </c>
      <c r="AD600" s="207">
        <v>96170</v>
      </c>
      <c r="AE600" s="200">
        <v>0</v>
      </c>
      <c r="AF600" s="200">
        <v>0</v>
      </c>
      <c r="AG600" s="200">
        <v>0</v>
      </c>
      <c r="AH600" s="200">
        <v>1134</v>
      </c>
      <c r="AI600" s="200">
        <v>1201</v>
      </c>
      <c r="AJ600" s="200">
        <v>1456</v>
      </c>
      <c r="AL600" s="197">
        <f t="shared" si="85"/>
        <v>110245.99096661234</v>
      </c>
      <c r="AM600" s="197" t="str">
        <f t="shared" si="86"/>
        <v>Box Medium 6</v>
      </c>
      <c r="AN600" s="3">
        <f t="shared" si="87"/>
        <v>0</v>
      </c>
      <c r="AO600" s="3">
        <f t="shared" si="88"/>
        <v>0</v>
      </c>
      <c r="AP600" s="3">
        <f t="shared" si="89"/>
        <v>88.045409919594363</v>
      </c>
      <c r="AQ600" s="3">
        <f t="shared" si="81"/>
        <v>3.1696347571053973</v>
      </c>
      <c r="AR600" s="3">
        <f t="shared" si="82"/>
        <v>3.1696347571053973</v>
      </c>
      <c r="AS600" s="81">
        <f t="shared" si="83"/>
        <v>0</v>
      </c>
      <c r="AT600" s="81">
        <f t="shared" si="84"/>
        <v>1</v>
      </c>
    </row>
    <row r="601" spans="1:46" x14ac:dyDescent="0.25">
      <c r="A601" t="s">
        <v>496</v>
      </c>
      <c r="B601">
        <v>2050</v>
      </c>
      <c r="C601" t="s">
        <v>680</v>
      </c>
      <c r="D601" t="s">
        <v>834</v>
      </c>
      <c r="E601" t="s">
        <v>1028</v>
      </c>
      <c r="F601">
        <v>7</v>
      </c>
      <c r="G601" t="s">
        <v>2337</v>
      </c>
      <c r="H601" s="460">
        <v>8512.398795562518</v>
      </c>
      <c r="I601">
        <v>4200</v>
      </c>
      <c r="J601">
        <v>200.00000001335161</v>
      </c>
      <c r="K601" s="67">
        <v>5.7182400000000007</v>
      </c>
      <c r="L601" s="159">
        <v>0</v>
      </c>
      <c r="M601" s="159">
        <v>0</v>
      </c>
      <c r="N601" s="159">
        <v>0</v>
      </c>
      <c r="O601" s="159">
        <v>0</v>
      </c>
      <c r="P601" s="159">
        <v>3179</v>
      </c>
      <c r="Q601" s="159">
        <v>1500</v>
      </c>
      <c r="R601" s="159">
        <v>2000</v>
      </c>
      <c r="S601" s="159">
        <v>57020</v>
      </c>
      <c r="T601" s="159">
        <v>0</v>
      </c>
      <c r="U601" s="159">
        <v>1837</v>
      </c>
      <c r="V601" s="159">
        <v>4500</v>
      </c>
      <c r="W601" s="159">
        <v>186</v>
      </c>
      <c r="X601" s="159">
        <v>0</v>
      </c>
      <c r="Y601" s="159">
        <v>1500</v>
      </c>
      <c r="Z601" s="159">
        <v>2569</v>
      </c>
      <c r="AA601" s="159">
        <v>12740</v>
      </c>
      <c r="AB601" s="159">
        <v>5846</v>
      </c>
      <c r="AC601" s="159">
        <v>0</v>
      </c>
      <c r="AD601" s="207">
        <v>92877</v>
      </c>
      <c r="AE601" s="200">
        <v>18.046415762891442</v>
      </c>
      <c r="AF601" s="200">
        <v>18.095094274910888</v>
      </c>
      <c r="AG601" s="200">
        <v>14.523960718344572</v>
      </c>
      <c r="AH601" s="200">
        <v>0</v>
      </c>
      <c r="AI601" s="200">
        <v>0</v>
      </c>
      <c r="AJ601" s="200">
        <v>0</v>
      </c>
      <c r="AL601" s="197">
        <f t="shared" si="85"/>
        <v>106471.00866180779</v>
      </c>
      <c r="AM601" s="197" t="str">
        <f t="shared" si="86"/>
        <v>Box Medium 6</v>
      </c>
      <c r="AN601" s="3">
        <f t="shared" si="87"/>
        <v>15.749264717830858</v>
      </c>
      <c r="AO601" s="3">
        <f t="shared" si="88"/>
        <v>6.0791254845909473</v>
      </c>
      <c r="AP601" s="3">
        <f t="shared" si="89"/>
        <v>0</v>
      </c>
      <c r="AQ601" s="3">
        <f t="shared" si="81"/>
        <v>0</v>
      </c>
      <c r="AR601" s="3">
        <f t="shared" si="82"/>
        <v>6.0791254845909473</v>
      </c>
      <c r="AS601" s="81">
        <f t="shared" si="83"/>
        <v>1</v>
      </c>
      <c r="AT601" s="81">
        <f t="shared" si="84"/>
        <v>0</v>
      </c>
    </row>
    <row r="602" spans="1:46" x14ac:dyDescent="0.25">
      <c r="A602" t="s">
        <v>828</v>
      </c>
      <c r="B602">
        <v>2050</v>
      </c>
      <c r="C602" t="s">
        <v>680</v>
      </c>
      <c r="D602" t="s">
        <v>834</v>
      </c>
      <c r="E602" t="s">
        <v>1028</v>
      </c>
      <c r="F602">
        <v>7</v>
      </c>
      <c r="G602" t="s">
        <v>2338</v>
      </c>
      <c r="H602" s="460">
        <v>8484.2366134563672</v>
      </c>
      <c r="I602">
        <v>4200</v>
      </c>
      <c r="J602">
        <v>200.00000001335161</v>
      </c>
      <c r="K602" s="67">
        <v>33.017250000000004</v>
      </c>
      <c r="L602" s="159">
        <v>0</v>
      </c>
      <c r="M602" s="159">
        <v>0</v>
      </c>
      <c r="N602" s="159">
        <v>0</v>
      </c>
      <c r="O602" s="159">
        <v>0</v>
      </c>
      <c r="P602" s="159">
        <v>3398</v>
      </c>
      <c r="Q602" s="159">
        <v>1500</v>
      </c>
      <c r="R602" s="159">
        <v>2000</v>
      </c>
      <c r="S602" s="159">
        <v>57020</v>
      </c>
      <c r="T602" s="159">
        <v>0</v>
      </c>
      <c r="U602" s="159">
        <v>2972</v>
      </c>
      <c r="V602" s="159">
        <v>4500</v>
      </c>
      <c r="W602" s="159">
        <v>186</v>
      </c>
      <c r="X602" s="159">
        <v>0</v>
      </c>
      <c r="Y602" s="159">
        <v>1500</v>
      </c>
      <c r="Z602" s="159">
        <v>2785</v>
      </c>
      <c r="AA602" s="159">
        <v>7404</v>
      </c>
      <c r="AB602" s="159">
        <v>4599</v>
      </c>
      <c r="AC602" s="159">
        <v>0</v>
      </c>
      <c r="AD602" s="207">
        <v>87864</v>
      </c>
      <c r="AE602" s="200">
        <v>18.507368799718424</v>
      </c>
      <c r="AF602" s="200">
        <v>17.406910901758849</v>
      </c>
      <c r="AG602" s="200">
        <v>14.91581085422918</v>
      </c>
      <c r="AH602" s="200">
        <v>0</v>
      </c>
      <c r="AI602" s="200">
        <v>0</v>
      </c>
      <c r="AJ602" s="200">
        <v>0</v>
      </c>
      <c r="AL602" s="197">
        <f t="shared" si="85"/>
        <v>100724.27732442993</v>
      </c>
      <c r="AM602" s="197" t="str">
        <f t="shared" si="86"/>
        <v>Box Medium 6</v>
      </c>
      <c r="AN602" s="3">
        <f t="shared" si="87"/>
        <v>15.413394161091427</v>
      </c>
      <c r="AO602" s="3">
        <f t="shared" si="88"/>
        <v>5.9494813838929153</v>
      </c>
      <c r="AP602" s="3">
        <f t="shared" si="89"/>
        <v>0</v>
      </c>
      <c r="AQ602" s="3">
        <f t="shared" si="81"/>
        <v>0</v>
      </c>
      <c r="AR602" s="3">
        <f t="shared" si="82"/>
        <v>5.9494813838929153</v>
      </c>
      <c r="AS602" s="81">
        <f t="shared" si="83"/>
        <v>1</v>
      </c>
      <c r="AT602" s="81">
        <f t="shared" si="84"/>
        <v>0</v>
      </c>
    </row>
    <row r="603" spans="1:46" x14ac:dyDescent="0.25">
      <c r="A603" t="s">
        <v>805</v>
      </c>
      <c r="B603">
        <v>2023</v>
      </c>
      <c r="C603" t="s">
        <v>680</v>
      </c>
      <c r="D603" t="s">
        <v>806</v>
      </c>
      <c r="E603" t="s">
        <v>1028</v>
      </c>
      <c r="F603">
        <v>7</v>
      </c>
      <c r="G603" t="s">
        <v>2339</v>
      </c>
      <c r="H603" s="460">
        <v>8797.4072660263028</v>
      </c>
      <c r="I603">
        <v>4200</v>
      </c>
      <c r="J603">
        <v>0</v>
      </c>
      <c r="K603" s="67">
        <v>0</v>
      </c>
      <c r="L603" s="159">
        <v>150</v>
      </c>
      <c r="M603" s="159">
        <v>14644</v>
      </c>
      <c r="N603" s="159">
        <v>1920</v>
      </c>
      <c r="O603" s="159">
        <v>506</v>
      </c>
      <c r="P603" s="159">
        <v>4406</v>
      </c>
      <c r="Q603" s="159">
        <v>1500</v>
      </c>
      <c r="R603" s="159">
        <v>2000</v>
      </c>
      <c r="S603" s="159">
        <v>56000</v>
      </c>
      <c r="T603" s="159">
        <v>98</v>
      </c>
      <c r="U603" s="159">
        <v>120</v>
      </c>
      <c r="V603" s="159">
        <v>0</v>
      </c>
      <c r="W603" s="159">
        <v>186</v>
      </c>
      <c r="X603" s="159">
        <v>0</v>
      </c>
      <c r="Y603" s="159">
        <v>0</v>
      </c>
      <c r="Z603" s="159">
        <v>0</v>
      </c>
      <c r="AA603" s="159">
        <v>0</v>
      </c>
      <c r="AB603" s="159">
        <v>0</v>
      </c>
      <c r="AC603" s="159">
        <v>0</v>
      </c>
      <c r="AD603" s="207">
        <v>81530</v>
      </c>
      <c r="AE603" s="200">
        <v>7.5664211880464096</v>
      </c>
      <c r="AF603" s="200">
        <v>9.1521507663187283</v>
      </c>
      <c r="AG603" s="200">
        <v>7.7746666315012503</v>
      </c>
      <c r="AH603" s="200">
        <v>0</v>
      </c>
      <c r="AI603" s="200">
        <v>0</v>
      </c>
      <c r="AJ603" s="200">
        <v>0</v>
      </c>
      <c r="AL603" s="197">
        <f t="shared" si="85"/>
        <v>93463.196875407142</v>
      </c>
      <c r="AM603" s="197" t="str">
        <f t="shared" si="86"/>
        <v>Box Medium 6</v>
      </c>
      <c r="AN603" s="3">
        <f t="shared" si="87"/>
        <v>29.88586226037474</v>
      </c>
      <c r="AO603" s="3">
        <f t="shared" si="88"/>
        <v>11.535770726510567</v>
      </c>
      <c r="AP603" s="3">
        <f t="shared" si="89"/>
        <v>0</v>
      </c>
      <c r="AQ603" s="3">
        <f t="shared" si="81"/>
        <v>0</v>
      </c>
      <c r="AR603" s="3">
        <f t="shared" si="82"/>
        <v>11.535770726510567</v>
      </c>
      <c r="AS603" s="81">
        <f t="shared" si="83"/>
        <v>1</v>
      </c>
      <c r="AT603" s="81">
        <f t="shared" si="84"/>
        <v>0</v>
      </c>
    </row>
    <row r="604" spans="1:46" x14ac:dyDescent="0.25">
      <c r="A604" t="s">
        <v>807</v>
      </c>
      <c r="B604">
        <v>2023</v>
      </c>
      <c r="C604" t="s">
        <v>680</v>
      </c>
      <c r="D604" t="s">
        <v>806</v>
      </c>
      <c r="E604" t="s">
        <v>1028</v>
      </c>
      <c r="F604">
        <v>7</v>
      </c>
      <c r="G604" t="s">
        <v>2340</v>
      </c>
      <c r="H604" s="460">
        <v>8872.70218762484</v>
      </c>
      <c r="I604">
        <v>4200</v>
      </c>
      <c r="J604">
        <v>0</v>
      </c>
      <c r="K604" s="67">
        <v>4.5619199999999998</v>
      </c>
      <c r="L604" s="159">
        <v>150</v>
      </c>
      <c r="M604" s="159">
        <v>14181</v>
      </c>
      <c r="N604" s="159">
        <v>220</v>
      </c>
      <c r="O604" s="159">
        <v>392</v>
      </c>
      <c r="P604" s="159">
        <v>4271</v>
      </c>
      <c r="Q604" s="159">
        <v>1500</v>
      </c>
      <c r="R604" s="159">
        <v>2000</v>
      </c>
      <c r="S604" s="159">
        <v>56000</v>
      </c>
      <c r="T604" s="159">
        <v>0</v>
      </c>
      <c r="U604" s="159">
        <v>3193</v>
      </c>
      <c r="V604" s="159">
        <v>4500</v>
      </c>
      <c r="W604" s="159">
        <v>186</v>
      </c>
      <c r="X604" s="159">
        <v>120</v>
      </c>
      <c r="Y604" s="159">
        <v>1500</v>
      </c>
      <c r="Z604" s="159">
        <v>4164</v>
      </c>
      <c r="AA604" s="159">
        <v>0</v>
      </c>
      <c r="AB604" s="159">
        <v>0</v>
      </c>
      <c r="AC604" s="159">
        <v>0</v>
      </c>
      <c r="AD604" s="207">
        <v>92377</v>
      </c>
      <c r="AE604" s="200">
        <v>8.4593232745044542</v>
      </c>
      <c r="AF604" s="200">
        <v>9.018390130899272</v>
      </c>
      <c r="AG604" s="200">
        <v>7.2767991493989301</v>
      </c>
      <c r="AH604" s="200">
        <v>0</v>
      </c>
      <c r="AI604" s="200">
        <v>0</v>
      </c>
      <c r="AJ604" s="200">
        <v>0</v>
      </c>
      <c r="AL604" s="197">
        <f t="shared" si="85"/>
        <v>105897.8258035016</v>
      </c>
      <c r="AM604" s="197" t="str">
        <f t="shared" si="86"/>
        <v>Box Medium 6</v>
      </c>
      <c r="AN604" s="3">
        <f t="shared" si="87"/>
        <v>31.536250090980488</v>
      </c>
      <c r="AO604" s="3">
        <f t="shared" si="88"/>
        <v>12.172810924910127</v>
      </c>
      <c r="AP604" s="3">
        <f t="shared" si="89"/>
        <v>0</v>
      </c>
      <c r="AQ604" s="3">
        <f t="shared" si="81"/>
        <v>0</v>
      </c>
      <c r="AR604" s="3">
        <f t="shared" si="82"/>
        <v>12.172810924910127</v>
      </c>
      <c r="AS604" s="81">
        <f t="shared" si="83"/>
        <v>1</v>
      </c>
      <c r="AT604" s="81">
        <f t="shared" si="84"/>
        <v>0</v>
      </c>
    </row>
    <row r="605" spans="1:46" x14ac:dyDescent="0.25">
      <c r="A605" t="s">
        <v>808</v>
      </c>
      <c r="B605">
        <v>2023</v>
      </c>
      <c r="C605" t="s">
        <v>680</v>
      </c>
      <c r="D605" t="s">
        <v>806</v>
      </c>
      <c r="E605" t="s">
        <v>1028</v>
      </c>
      <c r="F605">
        <v>7</v>
      </c>
      <c r="G605" t="s">
        <v>2341</v>
      </c>
      <c r="H605" s="460">
        <v>10478.515878685082</v>
      </c>
      <c r="I605">
        <v>4200</v>
      </c>
      <c r="J605">
        <v>119.99999997072871</v>
      </c>
      <c r="K605" s="67">
        <v>210.01949999999999</v>
      </c>
      <c r="L605" s="159">
        <v>0</v>
      </c>
      <c r="M605" s="159">
        <v>11496</v>
      </c>
      <c r="N605" s="159">
        <v>220</v>
      </c>
      <c r="O605" s="159">
        <v>0</v>
      </c>
      <c r="P605" s="159">
        <v>3333</v>
      </c>
      <c r="Q605" s="159">
        <v>1500</v>
      </c>
      <c r="R605" s="159">
        <v>2000</v>
      </c>
      <c r="S605" s="159">
        <v>56000</v>
      </c>
      <c r="T605" s="159">
        <v>4397</v>
      </c>
      <c r="U605" s="159">
        <v>73507</v>
      </c>
      <c r="V605" s="159">
        <v>4500</v>
      </c>
      <c r="W605" s="159">
        <v>186</v>
      </c>
      <c r="X605" s="159">
        <v>0</v>
      </c>
      <c r="Y605" s="159">
        <v>1500</v>
      </c>
      <c r="Z605" s="159">
        <v>6817</v>
      </c>
      <c r="AA605" s="159">
        <v>0</v>
      </c>
      <c r="AB605" s="159">
        <v>0</v>
      </c>
      <c r="AC605" s="159">
        <v>0</v>
      </c>
      <c r="AD605" s="207">
        <v>165456</v>
      </c>
      <c r="AE605" s="200">
        <v>8.2641807472274458</v>
      </c>
      <c r="AF605" s="200">
        <v>7.2791720123106227</v>
      </c>
      <c r="AG605" s="200">
        <v>7.152443289953208</v>
      </c>
      <c r="AH605" s="200">
        <v>1572</v>
      </c>
      <c r="AI605" s="200">
        <v>1827</v>
      </c>
      <c r="AJ605" s="200">
        <v>2136</v>
      </c>
      <c r="AL605" s="197">
        <f t="shared" si="85"/>
        <v>189673.08600781753</v>
      </c>
      <c r="AM605" s="197" t="str">
        <f t="shared" si="86"/>
        <v>Box Medium 6</v>
      </c>
      <c r="AN605" s="3">
        <f t="shared" si="87"/>
        <v>6.5226508600776993</v>
      </c>
      <c r="AO605" s="3">
        <f t="shared" si="88"/>
        <v>2.5177056695030693</v>
      </c>
      <c r="AP605" s="3">
        <f t="shared" si="89"/>
        <v>103.39592628033853</v>
      </c>
      <c r="AQ605" s="3">
        <f t="shared" si="81"/>
        <v>3.7222533460921867</v>
      </c>
      <c r="AR605" s="3">
        <f t="shared" si="82"/>
        <v>6.2399590155952556</v>
      </c>
      <c r="AS605" s="81">
        <f t="shared" si="83"/>
        <v>0.40348112274626774</v>
      </c>
      <c r="AT605" s="81">
        <f t="shared" si="84"/>
        <v>0.59651887725373232</v>
      </c>
    </row>
    <row r="606" spans="1:46" x14ac:dyDescent="0.25">
      <c r="A606" t="s">
        <v>230</v>
      </c>
      <c r="B606">
        <v>2023</v>
      </c>
      <c r="C606" t="s">
        <v>680</v>
      </c>
      <c r="D606" t="s">
        <v>806</v>
      </c>
      <c r="E606" t="s">
        <v>1028</v>
      </c>
      <c r="F606">
        <v>7</v>
      </c>
      <c r="G606" t="s">
        <v>2342</v>
      </c>
      <c r="H606" s="460">
        <v>10413.793031367757</v>
      </c>
      <c r="I606">
        <v>4200</v>
      </c>
      <c r="J606">
        <v>150.00000001001371</v>
      </c>
      <c r="K606" s="67">
        <v>281.51550000000003</v>
      </c>
      <c r="L606" s="159">
        <v>0</v>
      </c>
      <c r="M606" s="159">
        <v>0</v>
      </c>
      <c r="N606" s="159">
        <v>0</v>
      </c>
      <c r="O606" s="159">
        <v>0</v>
      </c>
      <c r="P606" s="159">
        <v>3053</v>
      </c>
      <c r="Q606" s="159">
        <v>1500</v>
      </c>
      <c r="R606" s="159">
        <v>2000</v>
      </c>
      <c r="S606" s="159">
        <v>56000</v>
      </c>
      <c r="T606" s="159">
        <v>0</v>
      </c>
      <c r="U606" s="159">
        <v>98530</v>
      </c>
      <c r="V606" s="159">
        <v>4500</v>
      </c>
      <c r="W606" s="159">
        <v>186</v>
      </c>
      <c r="X606" s="159">
        <v>0</v>
      </c>
      <c r="Y606" s="159">
        <v>1500</v>
      </c>
      <c r="Z606" s="159">
        <v>6139</v>
      </c>
      <c r="AA606" s="159">
        <v>0</v>
      </c>
      <c r="AB606" s="159">
        <v>0</v>
      </c>
      <c r="AC606" s="159">
        <v>0</v>
      </c>
      <c r="AD606" s="207">
        <v>173408</v>
      </c>
      <c r="AE606" s="200">
        <v>0</v>
      </c>
      <c r="AF606" s="200">
        <v>0</v>
      </c>
      <c r="AG606" s="200">
        <v>0</v>
      </c>
      <c r="AH606" s="200">
        <v>1559</v>
      </c>
      <c r="AI606" s="200">
        <v>1710</v>
      </c>
      <c r="AJ606" s="200">
        <v>2089</v>
      </c>
      <c r="AL606" s="197">
        <f t="shared" si="85"/>
        <v>198788.98618631915</v>
      </c>
      <c r="AM606" s="197" t="str">
        <f t="shared" si="86"/>
        <v>Box Medium 6</v>
      </c>
      <c r="AN606" s="3">
        <f t="shared" si="87"/>
        <v>0</v>
      </c>
      <c r="AO606" s="3">
        <f t="shared" si="88"/>
        <v>0</v>
      </c>
      <c r="AP606" s="3">
        <f t="shared" si="89"/>
        <v>126.03862452931016</v>
      </c>
      <c r="AQ606" s="3">
        <f t="shared" si="81"/>
        <v>4.5373904830551659</v>
      </c>
      <c r="AR606" s="3">
        <f t="shared" si="82"/>
        <v>4.5373904830551659</v>
      </c>
      <c r="AS606" s="81">
        <f t="shared" si="83"/>
        <v>0</v>
      </c>
      <c r="AT606" s="81">
        <f t="shared" si="84"/>
        <v>1</v>
      </c>
    </row>
    <row r="607" spans="1:46" x14ac:dyDescent="0.25">
      <c r="A607" t="s">
        <v>496</v>
      </c>
      <c r="B607">
        <v>2023</v>
      </c>
      <c r="C607" t="s">
        <v>680</v>
      </c>
      <c r="D607" t="s">
        <v>806</v>
      </c>
      <c r="E607" t="s">
        <v>1028</v>
      </c>
      <c r="F607">
        <v>7</v>
      </c>
      <c r="G607" t="s">
        <v>2343</v>
      </c>
      <c r="H607" s="460">
        <v>9130.483871600065</v>
      </c>
      <c r="I607">
        <v>4200</v>
      </c>
      <c r="J607">
        <v>150.00000001001371</v>
      </c>
      <c r="K607" s="67">
        <v>5.6548800000000012</v>
      </c>
      <c r="L607" s="159">
        <v>0</v>
      </c>
      <c r="M607" s="159">
        <v>0</v>
      </c>
      <c r="N607" s="159">
        <v>0</v>
      </c>
      <c r="O607" s="159">
        <v>0</v>
      </c>
      <c r="P607" s="159">
        <v>3254</v>
      </c>
      <c r="Q607" s="159">
        <v>1500</v>
      </c>
      <c r="R607" s="159">
        <v>2000</v>
      </c>
      <c r="S607" s="159">
        <v>56000</v>
      </c>
      <c r="T607" s="159">
        <v>0</v>
      </c>
      <c r="U607" s="159">
        <v>3958</v>
      </c>
      <c r="V607" s="159">
        <v>4500</v>
      </c>
      <c r="W607" s="159">
        <v>186</v>
      </c>
      <c r="X607" s="159">
        <v>0</v>
      </c>
      <c r="Y607" s="159">
        <v>1500</v>
      </c>
      <c r="Z607" s="159">
        <v>6626</v>
      </c>
      <c r="AA607" s="159">
        <v>28074</v>
      </c>
      <c r="AB607" s="159">
        <v>15647</v>
      </c>
      <c r="AC607" s="159">
        <v>0</v>
      </c>
      <c r="AD607" s="207">
        <v>123245</v>
      </c>
      <c r="AE607" s="200">
        <v>13.450432178540167</v>
      </c>
      <c r="AF607" s="200">
        <v>12.358088169697314</v>
      </c>
      <c r="AG607" s="200">
        <v>9.7226895916477147</v>
      </c>
      <c r="AH607" s="200">
        <v>0</v>
      </c>
      <c r="AI607" s="200">
        <v>0</v>
      </c>
      <c r="AJ607" s="200">
        <v>0</v>
      </c>
      <c r="AL607" s="197">
        <f t="shared" si="85"/>
        <v>141283.84274389246</v>
      </c>
      <c r="AM607" s="197" t="str">
        <f t="shared" si="86"/>
        <v>Box Medium 6</v>
      </c>
      <c r="AN607" s="3">
        <f t="shared" si="87"/>
        <v>23.392831206152021</v>
      </c>
      <c r="AO607" s="3">
        <f t="shared" si="88"/>
        <v>9.0294981314936837</v>
      </c>
      <c r="AP607" s="3">
        <f t="shared" si="89"/>
        <v>0</v>
      </c>
      <c r="AQ607" s="3">
        <f t="shared" si="81"/>
        <v>0</v>
      </c>
      <c r="AR607" s="3">
        <f t="shared" si="82"/>
        <v>9.0294981314936837</v>
      </c>
      <c r="AS607" s="81">
        <f t="shared" si="83"/>
        <v>1</v>
      </c>
      <c r="AT607" s="81">
        <f t="shared" si="84"/>
        <v>0</v>
      </c>
    </row>
    <row r="608" spans="1:46" x14ac:dyDescent="0.25">
      <c r="A608" t="s">
        <v>828</v>
      </c>
      <c r="B608">
        <v>2023</v>
      </c>
      <c r="C608" t="s">
        <v>680</v>
      </c>
      <c r="D608" t="s">
        <v>806</v>
      </c>
      <c r="E608" t="s">
        <v>1028</v>
      </c>
      <c r="F608">
        <v>7</v>
      </c>
      <c r="G608" t="s">
        <v>2344</v>
      </c>
      <c r="H608" s="460">
        <v>9198.5293380242492</v>
      </c>
      <c r="I608">
        <v>4200</v>
      </c>
      <c r="J608">
        <v>150.00000001001371</v>
      </c>
      <c r="K608" s="67">
        <v>31.776</v>
      </c>
      <c r="L608" s="159">
        <v>0</v>
      </c>
      <c r="M608" s="159">
        <v>0</v>
      </c>
      <c r="N608" s="159">
        <v>0</v>
      </c>
      <c r="O608" s="159">
        <v>0</v>
      </c>
      <c r="P608" s="159">
        <v>3466</v>
      </c>
      <c r="Q608" s="159">
        <v>1500</v>
      </c>
      <c r="R608" s="159">
        <v>2000</v>
      </c>
      <c r="S608" s="159">
        <v>56000</v>
      </c>
      <c r="T608" s="159">
        <v>0</v>
      </c>
      <c r="U608" s="159">
        <v>11122</v>
      </c>
      <c r="V608" s="159">
        <v>4500</v>
      </c>
      <c r="W608" s="159">
        <v>186</v>
      </c>
      <c r="X608" s="159">
        <v>0</v>
      </c>
      <c r="Y608" s="159">
        <v>1500</v>
      </c>
      <c r="Z608" s="159">
        <v>7140</v>
      </c>
      <c r="AA608" s="159">
        <v>18023</v>
      </c>
      <c r="AB608" s="159">
        <v>13372</v>
      </c>
      <c r="AC608" s="159">
        <v>0</v>
      </c>
      <c r="AD608" s="207">
        <v>118809</v>
      </c>
      <c r="AE608" s="200">
        <v>13.608727515317618</v>
      </c>
      <c r="AF608" s="200">
        <v>11.976052273259553</v>
      </c>
      <c r="AG608" s="200">
        <v>10.482659428857213</v>
      </c>
      <c r="AH608" s="200">
        <v>0</v>
      </c>
      <c r="AI608" s="200">
        <v>0</v>
      </c>
      <c r="AJ608" s="200">
        <v>608.4645041424418</v>
      </c>
      <c r="AL608" s="197">
        <f t="shared" si="85"/>
        <v>136198.56442499996</v>
      </c>
      <c r="AM608" s="197" t="str">
        <f t="shared" si="86"/>
        <v>Box Medium 6</v>
      </c>
      <c r="AN608" s="3">
        <f t="shared" si="87"/>
        <v>21.92895503902956</v>
      </c>
      <c r="AO608" s="3">
        <f t="shared" si="88"/>
        <v>8.4644503611197326</v>
      </c>
      <c r="AP608" s="3">
        <f t="shared" si="89"/>
        <v>32.515159852020084</v>
      </c>
      <c r="AQ608" s="3">
        <f t="shared" si="81"/>
        <v>1.1705457546727229</v>
      </c>
      <c r="AR608" s="3">
        <f t="shared" si="82"/>
        <v>9.6349961157924557</v>
      </c>
      <c r="AS608" s="81">
        <f t="shared" si="83"/>
        <v>0.87851102993657526</v>
      </c>
      <c r="AT608" s="81">
        <f t="shared" si="84"/>
        <v>0.1214889700634247</v>
      </c>
    </row>
    <row r="609" spans="1:46" x14ac:dyDescent="0.25">
      <c r="A609" t="s">
        <v>805</v>
      </c>
      <c r="B609">
        <v>2025</v>
      </c>
      <c r="C609" t="s">
        <v>680</v>
      </c>
      <c r="D609" t="s">
        <v>806</v>
      </c>
      <c r="E609" t="s">
        <v>1028</v>
      </c>
      <c r="F609">
        <v>7</v>
      </c>
      <c r="G609" t="s">
        <v>2345</v>
      </c>
      <c r="H609" s="460">
        <v>8713.5866823907945</v>
      </c>
      <c r="I609">
        <v>4200</v>
      </c>
      <c r="J609">
        <v>0</v>
      </c>
      <c r="K609" s="67">
        <v>0</v>
      </c>
      <c r="L609" s="159">
        <v>150</v>
      </c>
      <c r="M609" s="159">
        <v>14736</v>
      </c>
      <c r="N609" s="159">
        <v>1920</v>
      </c>
      <c r="O609" s="159">
        <v>506</v>
      </c>
      <c r="P609" s="159">
        <v>4321</v>
      </c>
      <c r="Q609" s="159">
        <v>1500</v>
      </c>
      <c r="R609" s="159">
        <v>2000</v>
      </c>
      <c r="S609" s="159">
        <v>56372</v>
      </c>
      <c r="T609" s="159">
        <v>92</v>
      </c>
      <c r="U609" s="159">
        <v>120</v>
      </c>
      <c r="V609" s="159">
        <v>0</v>
      </c>
      <c r="W609" s="159">
        <v>186</v>
      </c>
      <c r="X609" s="159">
        <v>0</v>
      </c>
      <c r="Y609" s="159">
        <v>0</v>
      </c>
      <c r="Z609" s="159">
        <v>0</v>
      </c>
      <c r="AA609" s="159">
        <v>0</v>
      </c>
      <c r="AB609" s="159">
        <v>0</v>
      </c>
      <c r="AC609" s="159">
        <v>0</v>
      </c>
      <c r="AD609" s="207">
        <v>81903</v>
      </c>
      <c r="AE609" s="200">
        <v>8.0967830131397829</v>
      </c>
      <c r="AF609" s="200">
        <v>10.149267932144868</v>
      </c>
      <c r="AG609" s="200">
        <v>8.6958645796103955</v>
      </c>
      <c r="AH609" s="200">
        <v>0</v>
      </c>
      <c r="AI609" s="200">
        <v>0</v>
      </c>
      <c r="AJ609" s="200">
        <v>0</v>
      </c>
      <c r="AL609" s="197">
        <f t="shared" si="85"/>
        <v>93890.791287703556</v>
      </c>
      <c r="AM609" s="197" t="str">
        <f t="shared" si="86"/>
        <v>Box Medium 6</v>
      </c>
      <c r="AN609" s="3">
        <f t="shared" si="87"/>
        <v>26.800530879477265</v>
      </c>
      <c r="AO609" s="3">
        <f t="shared" si="88"/>
        <v>10.344850581217248</v>
      </c>
      <c r="AP609" s="3">
        <f t="shared" si="89"/>
        <v>0</v>
      </c>
      <c r="AQ609" s="3">
        <f t="shared" si="81"/>
        <v>0</v>
      </c>
      <c r="AR609" s="3">
        <f t="shared" si="82"/>
        <v>10.344850581217248</v>
      </c>
      <c r="AS609" s="81">
        <f t="shared" si="83"/>
        <v>1</v>
      </c>
      <c r="AT609" s="81">
        <f t="shared" si="84"/>
        <v>0</v>
      </c>
    </row>
    <row r="610" spans="1:46" x14ac:dyDescent="0.25">
      <c r="A610" t="s">
        <v>807</v>
      </c>
      <c r="B610">
        <v>2025</v>
      </c>
      <c r="C610" t="s">
        <v>680</v>
      </c>
      <c r="D610" t="s">
        <v>806</v>
      </c>
      <c r="E610" t="s">
        <v>1028</v>
      </c>
      <c r="F610">
        <v>7</v>
      </c>
      <c r="G610" t="s">
        <v>2346</v>
      </c>
      <c r="H610" s="460">
        <v>8785.634822437838</v>
      </c>
      <c r="I610">
        <v>4200</v>
      </c>
      <c r="J610">
        <v>0</v>
      </c>
      <c r="K610" s="67">
        <v>3.0096000000000003</v>
      </c>
      <c r="L610" s="159">
        <v>150</v>
      </c>
      <c r="M610" s="159">
        <v>14564</v>
      </c>
      <c r="N610" s="159">
        <v>220</v>
      </c>
      <c r="O610" s="159">
        <v>392</v>
      </c>
      <c r="P610" s="159">
        <v>4271</v>
      </c>
      <c r="Q610" s="159">
        <v>1500</v>
      </c>
      <c r="R610" s="159">
        <v>2000</v>
      </c>
      <c r="S610" s="159">
        <v>56372</v>
      </c>
      <c r="T610" s="159">
        <v>0</v>
      </c>
      <c r="U610" s="159">
        <v>1422</v>
      </c>
      <c r="V610" s="159">
        <v>4500</v>
      </c>
      <c r="W610" s="159">
        <v>186</v>
      </c>
      <c r="X610" s="159">
        <v>120</v>
      </c>
      <c r="Y610" s="159">
        <v>1500</v>
      </c>
      <c r="Z610" s="159">
        <v>3463</v>
      </c>
      <c r="AA610" s="159">
        <v>0</v>
      </c>
      <c r="AB610" s="159">
        <v>0</v>
      </c>
      <c r="AC610" s="159">
        <v>0</v>
      </c>
      <c r="AD610" s="207">
        <v>90660</v>
      </c>
      <c r="AE610" s="200">
        <v>8.9009865906853154</v>
      </c>
      <c r="AF610" s="200">
        <v>9.6052432596064428</v>
      </c>
      <c r="AG610" s="200">
        <v>8.1527683415318055</v>
      </c>
      <c r="AH610" s="200">
        <v>0</v>
      </c>
      <c r="AI610" s="200">
        <v>0</v>
      </c>
      <c r="AJ610" s="200">
        <v>0</v>
      </c>
      <c r="AL610" s="197">
        <f t="shared" si="85"/>
        <v>103929.51586807815</v>
      </c>
      <c r="AM610" s="197" t="str">
        <f t="shared" si="86"/>
        <v>Box Medium 6</v>
      </c>
      <c r="AN610" s="3">
        <f t="shared" si="87"/>
        <v>28.337042584183365</v>
      </c>
      <c r="AO610" s="3">
        <f t="shared" si="88"/>
        <v>10.937935250806676</v>
      </c>
      <c r="AP610" s="3">
        <f t="shared" si="89"/>
        <v>0</v>
      </c>
      <c r="AQ610" s="3">
        <f t="shared" si="81"/>
        <v>0</v>
      </c>
      <c r="AR610" s="3">
        <f t="shared" si="82"/>
        <v>10.937935250806676</v>
      </c>
      <c r="AS610" s="81">
        <f t="shared" si="83"/>
        <v>1</v>
      </c>
      <c r="AT610" s="81">
        <f t="shared" si="84"/>
        <v>0</v>
      </c>
    </row>
    <row r="611" spans="1:46" x14ac:dyDescent="0.25">
      <c r="A611" t="s">
        <v>808</v>
      </c>
      <c r="B611">
        <v>2025</v>
      </c>
      <c r="C611" t="s">
        <v>680</v>
      </c>
      <c r="D611" t="s">
        <v>806</v>
      </c>
      <c r="E611" t="s">
        <v>1028</v>
      </c>
      <c r="F611">
        <v>7</v>
      </c>
      <c r="G611" t="s">
        <v>2347</v>
      </c>
      <c r="H611" s="460">
        <v>10097.117735672586</v>
      </c>
      <c r="I611">
        <v>4200</v>
      </c>
      <c r="J611">
        <v>119.99999997072871</v>
      </c>
      <c r="K611" s="67">
        <v>199.96537499999999</v>
      </c>
      <c r="L611" s="159">
        <v>0</v>
      </c>
      <c r="M611" s="159">
        <v>11519</v>
      </c>
      <c r="N611" s="159">
        <v>220</v>
      </c>
      <c r="O611" s="159">
        <v>0</v>
      </c>
      <c r="P611" s="159">
        <v>3264</v>
      </c>
      <c r="Q611" s="159">
        <v>1500</v>
      </c>
      <c r="R611" s="159">
        <v>2000</v>
      </c>
      <c r="S611" s="159">
        <v>56372</v>
      </c>
      <c r="T611" s="159">
        <v>3837</v>
      </c>
      <c r="U611" s="159">
        <v>55990</v>
      </c>
      <c r="V611" s="159">
        <v>4500</v>
      </c>
      <c r="W611" s="159">
        <v>186</v>
      </c>
      <c r="X611" s="159">
        <v>0</v>
      </c>
      <c r="Y611" s="159">
        <v>1500</v>
      </c>
      <c r="Z611" s="159">
        <v>5592</v>
      </c>
      <c r="AA611" s="159">
        <v>0</v>
      </c>
      <c r="AB611" s="159">
        <v>0</v>
      </c>
      <c r="AC611" s="159">
        <v>0</v>
      </c>
      <c r="AD611" s="207">
        <v>146480</v>
      </c>
      <c r="AE611" s="200">
        <v>9.3225983117998581</v>
      </c>
      <c r="AF611" s="200">
        <v>8.2564987488598813</v>
      </c>
      <c r="AG611" s="200">
        <v>8.055225191646306</v>
      </c>
      <c r="AH611" s="200">
        <v>1463</v>
      </c>
      <c r="AI611" s="200">
        <v>1690</v>
      </c>
      <c r="AJ611" s="200">
        <v>2004</v>
      </c>
      <c r="AL611" s="197">
        <f t="shared" si="85"/>
        <v>167919.65016938106</v>
      </c>
      <c r="AM611" s="197" t="str">
        <f t="shared" si="86"/>
        <v>Box Medium 6</v>
      </c>
      <c r="AN611" s="3">
        <f t="shared" si="87"/>
        <v>5.7875533937108257</v>
      </c>
      <c r="AO611" s="3">
        <f t="shared" si="88"/>
        <v>2.2339622807472939</v>
      </c>
      <c r="AP611" s="3">
        <f t="shared" si="89"/>
        <v>96.86902705456896</v>
      </c>
      <c r="AQ611" s="3">
        <f t="shared" si="81"/>
        <v>3.4872849739644831</v>
      </c>
      <c r="AR611" s="3">
        <f t="shared" si="82"/>
        <v>5.721247254711777</v>
      </c>
      <c r="AS611" s="81">
        <f t="shared" si="83"/>
        <v>0.39046770420689247</v>
      </c>
      <c r="AT611" s="81">
        <f t="shared" si="84"/>
        <v>0.60953229579310753</v>
      </c>
    </row>
    <row r="612" spans="1:46" x14ac:dyDescent="0.25">
      <c r="A612" t="s">
        <v>230</v>
      </c>
      <c r="B612">
        <v>2025</v>
      </c>
      <c r="C612" t="s">
        <v>680</v>
      </c>
      <c r="D612" t="s">
        <v>806</v>
      </c>
      <c r="E612" t="s">
        <v>1028</v>
      </c>
      <c r="F612">
        <v>7</v>
      </c>
      <c r="G612" t="s">
        <v>2348</v>
      </c>
      <c r="H612" s="460">
        <v>9983.5690144050313</v>
      </c>
      <c r="I612">
        <v>4200</v>
      </c>
      <c r="J612">
        <v>150.00000001001371</v>
      </c>
      <c r="K612" s="67">
        <v>263.51737500000002</v>
      </c>
      <c r="L612" s="159">
        <v>0</v>
      </c>
      <c r="M612" s="159">
        <v>0</v>
      </c>
      <c r="N612" s="159">
        <v>0</v>
      </c>
      <c r="O612" s="159">
        <v>0</v>
      </c>
      <c r="P612" s="159">
        <v>3036</v>
      </c>
      <c r="Q612" s="159">
        <v>1500</v>
      </c>
      <c r="R612" s="159">
        <v>2000</v>
      </c>
      <c r="S612" s="159">
        <v>56372</v>
      </c>
      <c r="T612" s="159">
        <v>0</v>
      </c>
      <c r="U612" s="159">
        <v>73785</v>
      </c>
      <c r="V612" s="159">
        <v>4500</v>
      </c>
      <c r="W612" s="159">
        <v>186</v>
      </c>
      <c r="X612" s="159">
        <v>0</v>
      </c>
      <c r="Y612" s="159">
        <v>1500</v>
      </c>
      <c r="Z612" s="159">
        <v>5122</v>
      </c>
      <c r="AA612" s="159">
        <v>0</v>
      </c>
      <c r="AB612" s="159">
        <v>0</v>
      </c>
      <c r="AC612" s="159">
        <v>0</v>
      </c>
      <c r="AD612" s="207">
        <v>148001</v>
      </c>
      <c r="AE612" s="200">
        <v>0</v>
      </c>
      <c r="AF612" s="200">
        <v>0</v>
      </c>
      <c r="AG612" s="200">
        <v>0</v>
      </c>
      <c r="AH612" s="200">
        <v>1447</v>
      </c>
      <c r="AI612" s="200">
        <v>1572</v>
      </c>
      <c r="AJ612" s="200">
        <v>1917</v>
      </c>
      <c r="AL612" s="197">
        <f t="shared" si="85"/>
        <v>169663.27242434848</v>
      </c>
      <c r="AM612" s="197" t="str">
        <f t="shared" si="86"/>
        <v>Box Medium 6</v>
      </c>
      <c r="AN612" s="3">
        <f t="shared" si="87"/>
        <v>0</v>
      </c>
      <c r="AO612" s="3">
        <f t="shared" si="88"/>
        <v>0</v>
      </c>
      <c r="AP612" s="3">
        <f t="shared" si="89"/>
        <v>115.72756533734326</v>
      </c>
      <c r="AQ612" s="3">
        <f t="shared" si="81"/>
        <v>4.1661923521443578</v>
      </c>
      <c r="AR612" s="3">
        <f t="shared" si="82"/>
        <v>4.1661923521443578</v>
      </c>
      <c r="AS612" s="81">
        <f t="shared" si="83"/>
        <v>0</v>
      </c>
      <c r="AT612" s="81">
        <f t="shared" si="84"/>
        <v>1</v>
      </c>
    </row>
    <row r="613" spans="1:46" x14ac:dyDescent="0.25">
      <c r="A613" t="s">
        <v>496</v>
      </c>
      <c r="B613">
        <v>2025</v>
      </c>
      <c r="C613" t="s">
        <v>680</v>
      </c>
      <c r="D613" t="s">
        <v>806</v>
      </c>
      <c r="E613" t="s">
        <v>1028</v>
      </c>
      <c r="F613">
        <v>7</v>
      </c>
      <c r="G613" t="s">
        <v>2349</v>
      </c>
      <c r="H613" s="460">
        <v>8881.1067866684862</v>
      </c>
      <c r="I613">
        <v>4200</v>
      </c>
      <c r="J613">
        <v>150.00000001001371</v>
      </c>
      <c r="K613" s="67">
        <v>5.7024000000000008</v>
      </c>
      <c r="L613" s="159">
        <v>0</v>
      </c>
      <c r="M613" s="159">
        <v>0</v>
      </c>
      <c r="N613" s="159">
        <v>0</v>
      </c>
      <c r="O613" s="159">
        <v>0</v>
      </c>
      <c r="P613" s="159">
        <v>3239</v>
      </c>
      <c r="Q613" s="159">
        <v>1500</v>
      </c>
      <c r="R613" s="159">
        <v>2000</v>
      </c>
      <c r="S613" s="159">
        <v>56372</v>
      </c>
      <c r="T613" s="159">
        <v>0</v>
      </c>
      <c r="U613" s="159">
        <v>2694</v>
      </c>
      <c r="V613" s="159">
        <v>4500</v>
      </c>
      <c r="W613" s="159">
        <v>186</v>
      </c>
      <c r="X613" s="159">
        <v>0</v>
      </c>
      <c r="Y613" s="159">
        <v>1500</v>
      </c>
      <c r="Z613" s="159">
        <v>5542</v>
      </c>
      <c r="AA613" s="159">
        <v>20657</v>
      </c>
      <c r="AB613" s="159">
        <v>11594</v>
      </c>
      <c r="AC613" s="159">
        <v>0</v>
      </c>
      <c r="AD613" s="207">
        <v>109784</v>
      </c>
      <c r="AE613" s="200">
        <v>14.365120395174367</v>
      </c>
      <c r="AF613" s="200">
        <v>13.463363759063764</v>
      </c>
      <c r="AG613" s="200">
        <v>10.641463189416763</v>
      </c>
      <c r="AH613" s="200">
        <v>0</v>
      </c>
      <c r="AI613" s="200">
        <v>0</v>
      </c>
      <c r="AJ613" s="200">
        <v>0</v>
      </c>
      <c r="AL613" s="197">
        <f t="shared" si="85"/>
        <v>125852.61383257325</v>
      </c>
      <c r="AM613" s="197" t="str">
        <f t="shared" si="86"/>
        <v>Box Medium 6</v>
      </c>
      <c r="AN613" s="3">
        <f t="shared" si="87"/>
        <v>21.400204365664262</v>
      </c>
      <c r="AO613" s="3">
        <f t="shared" si="88"/>
        <v>8.2603556461575529</v>
      </c>
      <c r="AP613" s="3">
        <f t="shared" si="89"/>
        <v>0</v>
      </c>
      <c r="AQ613" s="3">
        <f t="shared" si="81"/>
        <v>0</v>
      </c>
      <c r="AR613" s="3">
        <f t="shared" si="82"/>
        <v>8.2603556461575529</v>
      </c>
      <c r="AS613" s="81">
        <f t="shared" si="83"/>
        <v>1</v>
      </c>
      <c r="AT613" s="81">
        <f t="shared" si="84"/>
        <v>0</v>
      </c>
    </row>
    <row r="614" spans="1:46" x14ac:dyDescent="0.25">
      <c r="A614" t="s">
        <v>828</v>
      </c>
      <c r="B614">
        <v>2025</v>
      </c>
      <c r="C614" t="s">
        <v>680</v>
      </c>
      <c r="D614" t="s">
        <v>806</v>
      </c>
      <c r="E614" t="s">
        <v>1028</v>
      </c>
      <c r="F614">
        <v>7</v>
      </c>
      <c r="G614" t="s">
        <v>2350</v>
      </c>
      <c r="H614" s="460">
        <v>8938.1056428965221</v>
      </c>
      <c r="I614">
        <v>4200</v>
      </c>
      <c r="J614">
        <v>150.00000001001371</v>
      </c>
      <c r="K614" s="67">
        <v>33.762</v>
      </c>
      <c r="L614" s="159">
        <v>0</v>
      </c>
      <c r="M614" s="159">
        <v>0</v>
      </c>
      <c r="N614" s="159">
        <v>0</v>
      </c>
      <c r="O614" s="159">
        <v>0</v>
      </c>
      <c r="P614" s="159">
        <v>3452</v>
      </c>
      <c r="Q614" s="159">
        <v>1500</v>
      </c>
      <c r="R614" s="159">
        <v>2000</v>
      </c>
      <c r="S614" s="159">
        <v>56372</v>
      </c>
      <c r="T614" s="159">
        <v>0</v>
      </c>
      <c r="U614" s="159">
        <v>9453</v>
      </c>
      <c r="V614" s="159">
        <v>4500</v>
      </c>
      <c r="W614" s="159">
        <v>186</v>
      </c>
      <c r="X614" s="159">
        <v>0</v>
      </c>
      <c r="Y614" s="159">
        <v>1500</v>
      </c>
      <c r="Z614" s="159">
        <v>5981</v>
      </c>
      <c r="AA614" s="159">
        <v>12421</v>
      </c>
      <c r="AB614" s="159">
        <v>9699</v>
      </c>
      <c r="AC614" s="159">
        <v>0</v>
      </c>
      <c r="AD614" s="207">
        <v>107064</v>
      </c>
      <c r="AE614" s="200">
        <v>14.554148859711356</v>
      </c>
      <c r="AF614" s="200">
        <v>12.977397393377769</v>
      </c>
      <c r="AG614" s="200">
        <v>11.500850805273645</v>
      </c>
      <c r="AH614" s="200">
        <v>0</v>
      </c>
      <c r="AI614" s="200">
        <v>0</v>
      </c>
      <c r="AJ614" s="200">
        <v>501.34142202779663</v>
      </c>
      <c r="AL614" s="197">
        <f t="shared" si="85"/>
        <v>122734.49908338759</v>
      </c>
      <c r="AM614" s="197" t="str">
        <f t="shared" si="86"/>
        <v>Box Medium 6</v>
      </c>
      <c r="AN614" s="3">
        <f t="shared" si="87"/>
        <v>20.028016471579765</v>
      </c>
      <c r="AO614" s="3">
        <f t="shared" si="88"/>
        <v>7.7306990211640052</v>
      </c>
      <c r="AP614" s="3">
        <f t="shared" si="89"/>
        <v>26.790710660513319</v>
      </c>
      <c r="AQ614" s="3">
        <f t="shared" si="81"/>
        <v>0.96446558377847946</v>
      </c>
      <c r="AR614" s="3">
        <f t="shared" si="82"/>
        <v>8.6951646049424838</v>
      </c>
      <c r="AS614" s="81">
        <f t="shared" si="83"/>
        <v>0.8890802385465757</v>
      </c>
      <c r="AT614" s="81">
        <f t="shared" si="84"/>
        <v>0.1109197614534244</v>
      </c>
    </row>
    <row r="615" spans="1:46" x14ac:dyDescent="0.25">
      <c r="A615" t="s">
        <v>805</v>
      </c>
      <c r="B615">
        <v>2030</v>
      </c>
      <c r="C615" t="s">
        <v>680</v>
      </c>
      <c r="D615" t="s">
        <v>806</v>
      </c>
      <c r="E615" t="s">
        <v>1028</v>
      </c>
      <c r="F615">
        <v>7</v>
      </c>
      <c r="G615" t="s">
        <v>2351</v>
      </c>
      <c r="H615" s="460">
        <v>8622.1986316701968</v>
      </c>
      <c r="I615">
        <v>4200</v>
      </c>
      <c r="J615">
        <v>0</v>
      </c>
      <c r="K615" s="67">
        <v>0</v>
      </c>
      <c r="L615" s="159">
        <v>150</v>
      </c>
      <c r="M615" s="159">
        <v>14818</v>
      </c>
      <c r="N615" s="159">
        <v>1920</v>
      </c>
      <c r="O615" s="159">
        <v>506</v>
      </c>
      <c r="P615" s="159">
        <v>4245</v>
      </c>
      <c r="Q615" s="159">
        <v>1500</v>
      </c>
      <c r="R615" s="159">
        <v>2000</v>
      </c>
      <c r="S615" s="159">
        <v>56788</v>
      </c>
      <c r="T615" s="159">
        <v>73</v>
      </c>
      <c r="U615" s="159">
        <v>120</v>
      </c>
      <c r="V615" s="159">
        <v>0</v>
      </c>
      <c r="W615" s="159">
        <v>186</v>
      </c>
      <c r="X615" s="159">
        <v>0</v>
      </c>
      <c r="Y615" s="159">
        <v>0</v>
      </c>
      <c r="Z615" s="159">
        <v>0</v>
      </c>
      <c r="AA615" s="159">
        <v>0</v>
      </c>
      <c r="AB615" s="159">
        <v>0</v>
      </c>
      <c r="AC615" s="159">
        <v>0</v>
      </c>
      <c r="AD615" s="207">
        <v>82306</v>
      </c>
      <c r="AE615" s="200">
        <v>8.6113088111801073</v>
      </c>
      <c r="AF615" s="200">
        <v>11.209021530907419</v>
      </c>
      <c r="AG615" s="200">
        <v>9.7147261371930824</v>
      </c>
      <c r="AH615" s="200">
        <v>0</v>
      </c>
      <c r="AI615" s="200">
        <v>0</v>
      </c>
      <c r="AJ615" s="200">
        <v>0</v>
      </c>
      <c r="AL615" s="197">
        <f t="shared" si="85"/>
        <v>94352.776671498345</v>
      </c>
      <c r="AM615" s="197" t="str">
        <f t="shared" si="86"/>
        <v>Box Medium 6</v>
      </c>
      <c r="AN615" s="3">
        <f t="shared" si="87"/>
        <v>24.076846191860582</v>
      </c>
      <c r="AO615" s="3">
        <f t="shared" si="88"/>
        <v>9.2935239768879274</v>
      </c>
      <c r="AP615" s="3">
        <f t="shared" si="89"/>
        <v>0</v>
      </c>
      <c r="AQ615" s="3">
        <f t="shared" si="81"/>
        <v>0</v>
      </c>
      <c r="AR615" s="3">
        <f t="shared" si="82"/>
        <v>9.2935239768879274</v>
      </c>
      <c r="AS615" s="81">
        <f t="shared" si="83"/>
        <v>1</v>
      </c>
      <c r="AT615" s="81">
        <f t="shared" si="84"/>
        <v>0</v>
      </c>
    </row>
    <row r="616" spans="1:46" x14ac:dyDescent="0.25">
      <c r="A616" t="s">
        <v>807</v>
      </c>
      <c r="B616">
        <v>2030</v>
      </c>
      <c r="C616" t="s">
        <v>680</v>
      </c>
      <c r="D616" t="s">
        <v>806</v>
      </c>
      <c r="E616" t="s">
        <v>1028</v>
      </c>
      <c r="F616">
        <v>7</v>
      </c>
      <c r="G616" t="s">
        <v>2352</v>
      </c>
      <c r="H616" s="460">
        <v>8693.140557631692</v>
      </c>
      <c r="I616">
        <v>4200</v>
      </c>
      <c r="J616">
        <v>0</v>
      </c>
      <c r="K616" s="67">
        <v>4.134240000000001</v>
      </c>
      <c r="L616" s="159">
        <v>150</v>
      </c>
      <c r="M616" s="159">
        <v>14602</v>
      </c>
      <c r="N616" s="159">
        <v>220</v>
      </c>
      <c r="O616" s="159">
        <v>392</v>
      </c>
      <c r="P616" s="159">
        <v>4182</v>
      </c>
      <c r="Q616" s="159">
        <v>1500</v>
      </c>
      <c r="R616" s="159">
        <v>2000</v>
      </c>
      <c r="S616" s="159">
        <v>56788</v>
      </c>
      <c r="T616" s="159">
        <v>0</v>
      </c>
      <c r="U616" s="159">
        <v>1484</v>
      </c>
      <c r="V616" s="159">
        <v>4500</v>
      </c>
      <c r="W616" s="159">
        <v>186</v>
      </c>
      <c r="X616" s="159">
        <v>120</v>
      </c>
      <c r="Y616" s="159">
        <v>1500</v>
      </c>
      <c r="Z616" s="159">
        <v>2713</v>
      </c>
      <c r="AA616" s="159">
        <v>0</v>
      </c>
      <c r="AB616" s="159">
        <v>0</v>
      </c>
      <c r="AC616" s="159">
        <v>0</v>
      </c>
      <c r="AD616" s="207">
        <v>90337</v>
      </c>
      <c r="AE616" s="200">
        <v>9.9773324092792155</v>
      </c>
      <c r="AF616" s="200">
        <v>11.344903925818057</v>
      </c>
      <c r="AG616" s="200">
        <v>9.1499083856394225</v>
      </c>
      <c r="AH616" s="200">
        <v>0</v>
      </c>
      <c r="AI616" s="200">
        <v>0</v>
      </c>
      <c r="AJ616" s="200">
        <v>0</v>
      </c>
      <c r="AL616" s="197">
        <f t="shared" si="85"/>
        <v>103559.23974161234</v>
      </c>
      <c r="AM616" s="197" t="str">
        <f t="shared" si="86"/>
        <v>Box Medium 6</v>
      </c>
      <c r="AN616" s="3">
        <f t="shared" si="87"/>
        <v>25.152599166679401</v>
      </c>
      <c r="AO616" s="3">
        <f t="shared" si="88"/>
        <v>9.7087584301472987</v>
      </c>
      <c r="AP616" s="3">
        <f t="shared" si="89"/>
        <v>0</v>
      </c>
      <c r="AQ616" s="3">
        <f t="shared" si="81"/>
        <v>0</v>
      </c>
      <c r="AR616" s="3">
        <f t="shared" si="82"/>
        <v>9.7087584301472987</v>
      </c>
      <c r="AS616" s="81">
        <f t="shared" si="83"/>
        <v>1</v>
      </c>
      <c r="AT616" s="81">
        <f t="shared" si="84"/>
        <v>0</v>
      </c>
    </row>
    <row r="617" spans="1:46" x14ac:dyDescent="0.25">
      <c r="A617" t="s">
        <v>808</v>
      </c>
      <c r="B617">
        <v>2030</v>
      </c>
      <c r="C617" t="s">
        <v>680</v>
      </c>
      <c r="D617" t="s">
        <v>806</v>
      </c>
      <c r="E617" t="s">
        <v>1028</v>
      </c>
      <c r="F617">
        <v>7</v>
      </c>
      <c r="G617" t="s">
        <v>2353</v>
      </c>
      <c r="H617" s="460">
        <v>9717.7238842169718</v>
      </c>
      <c r="I617">
        <v>4200</v>
      </c>
      <c r="J617">
        <v>119.99999997072871</v>
      </c>
      <c r="K617" s="67">
        <v>191.649</v>
      </c>
      <c r="L617" s="159">
        <v>0</v>
      </c>
      <c r="M617" s="159">
        <v>11543</v>
      </c>
      <c r="N617" s="159">
        <v>220</v>
      </c>
      <c r="O617" s="159">
        <v>0</v>
      </c>
      <c r="P617" s="159">
        <v>3159</v>
      </c>
      <c r="Q617" s="159">
        <v>1500</v>
      </c>
      <c r="R617" s="159">
        <v>2000</v>
      </c>
      <c r="S617" s="159">
        <v>56788</v>
      </c>
      <c r="T617" s="159">
        <v>2858</v>
      </c>
      <c r="U617" s="159">
        <v>38330</v>
      </c>
      <c r="V617" s="159">
        <v>4500</v>
      </c>
      <c r="W617" s="159">
        <v>186</v>
      </c>
      <c r="X617" s="159">
        <v>0</v>
      </c>
      <c r="Y617" s="159">
        <v>1500</v>
      </c>
      <c r="Z617" s="159">
        <v>4245</v>
      </c>
      <c r="AA617" s="159">
        <v>0</v>
      </c>
      <c r="AB617" s="159">
        <v>0</v>
      </c>
      <c r="AC617" s="159">
        <v>0</v>
      </c>
      <c r="AD617" s="207">
        <v>126829</v>
      </c>
      <c r="AE617" s="200">
        <v>10.292569921676559</v>
      </c>
      <c r="AF617" s="200">
        <v>9.2346977198806517</v>
      </c>
      <c r="AG617" s="200">
        <v>9.0052815384632474</v>
      </c>
      <c r="AH617" s="200">
        <v>1379</v>
      </c>
      <c r="AI617" s="200">
        <v>1569</v>
      </c>
      <c r="AJ617" s="200">
        <v>1877</v>
      </c>
      <c r="AL617" s="197">
        <f t="shared" si="85"/>
        <v>145392.41747223123</v>
      </c>
      <c r="AM617" s="197" t="str">
        <f t="shared" si="86"/>
        <v>Box Medium 6</v>
      </c>
      <c r="AN617" s="3">
        <f t="shared" si="87"/>
        <v>5.1795892693161596</v>
      </c>
      <c r="AO617" s="3">
        <f t="shared" si="88"/>
        <v>1.9992916298603185</v>
      </c>
      <c r="AP617" s="3">
        <f t="shared" si="89"/>
        <v>90.689599463133959</v>
      </c>
      <c r="AQ617" s="3">
        <f t="shared" si="81"/>
        <v>3.2648255806728224</v>
      </c>
      <c r="AR617" s="3">
        <f t="shared" si="82"/>
        <v>5.2641172105331409</v>
      </c>
      <c r="AS617" s="81">
        <f t="shared" si="83"/>
        <v>0.3797961842224698</v>
      </c>
      <c r="AT617" s="81">
        <f t="shared" si="84"/>
        <v>0.62020381577753025</v>
      </c>
    </row>
    <row r="618" spans="1:46" x14ac:dyDescent="0.25">
      <c r="A618" t="s">
        <v>230</v>
      </c>
      <c r="B618">
        <v>2030</v>
      </c>
      <c r="C618" t="s">
        <v>680</v>
      </c>
      <c r="D618" t="s">
        <v>806</v>
      </c>
      <c r="E618" t="s">
        <v>1028</v>
      </c>
      <c r="F618">
        <v>7</v>
      </c>
      <c r="G618" t="s">
        <v>2354</v>
      </c>
      <c r="H618" s="460">
        <v>9537.5528708701895</v>
      </c>
      <c r="I618">
        <v>4200</v>
      </c>
      <c r="J618">
        <v>150.00000001001371</v>
      </c>
      <c r="K618" s="67">
        <v>247.00874999999999</v>
      </c>
      <c r="L618" s="159">
        <v>0</v>
      </c>
      <c r="M618" s="159">
        <v>0</v>
      </c>
      <c r="N618" s="159">
        <v>0</v>
      </c>
      <c r="O618" s="159">
        <v>0</v>
      </c>
      <c r="P618" s="159">
        <v>3031</v>
      </c>
      <c r="Q618" s="159">
        <v>1500</v>
      </c>
      <c r="R618" s="159">
        <v>2000</v>
      </c>
      <c r="S618" s="159">
        <v>56788</v>
      </c>
      <c r="T618" s="159">
        <v>0</v>
      </c>
      <c r="U618" s="159">
        <v>49402</v>
      </c>
      <c r="V618" s="159">
        <v>4500</v>
      </c>
      <c r="W618" s="159">
        <v>186</v>
      </c>
      <c r="X618" s="159">
        <v>0</v>
      </c>
      <c r="Y618" s="159">
        <v>1500</v>
      </c>
      <c r="Z618" s="159">
        <v>4035</v>
      </c>
      <c r="AA618" s="159">
        <v>0</v>
      </c>
      <c r="AB618" s="159">
        <v>0</v>
      </c>
      <c r="AC618" s="159">
        <v>0</v>
      </c>
      <c r="AD618" s="207">
        <v>122942</v>
      </c>
      <c r="AE618" s="200">
        <v>0</v>
      </c>
      <c r="AF618" s="200">
        <v>0</v>
      </c>
      <c r="AG618" s="200">
        <v>0</v>
      </c>
      <c r="AH618" s="200">
        <v>1360</v>
      </c>
      <c r="AI618" s="200">
        <v>1453</v>
      </c>
      <c r="AJ618" s="200">
        <v>1767</v>
      </c>
      <c r="AL618" s="197">
        <f t="shared" si="85"/>
        <v>140936.49393175892</v>
      </c>
      <c r="AM618" s="197" t="str">
        <f t="shared" si="86"/>
        <v>Box Medium 6</v>
      </c>
      <c r="AN618" s="3">
        <f t="shared" si="87"/>
        <v>0</v>
      </c>
      <c r="AO618" s="3">
        <f t="shared" si="88"/>
        <v>0</v>
      </c>
      <c r="AP618" s="3">
        <f t="shared" si="89"/>
        <v>106.77606969316616</v>
      </c>
      <c r="AQ618" s="3">
        <f t="shared" si="81"/>
        <v>3.8439385089539821</v>
      </c>
      <c r="AR618" s="3">
        <f t="shared" si="82"/>
        <v>3.8439385089539821</v>
      </c>
      <c r="AS618" s="81">
        <f t="shared" si="83"/>
        <v>0</v>
      </c>
      <c r="AT618" s="81">
        <f t="shared" si="84"/>
        <v>1</v>
      </c>
    </row>
    <row r="619" spans="1:46" x14ac:dyDescent="0.25">
      <c r="A619" t="s">
        <v>496</v>
      </c>
      <c r="B619">
        <v>2030</v>
      </c>
      <c r="C619" t="s">
        <v>680</v>
      </c>
      <c r="D619" t="s">
        <v>806</v>
      </c>
      <c r="E619" t="s">
        <v>1028</v>
      </c>
      <c r="F619">
        <v>7</v>
      </c>
      <c r="G619" t="s">
        <v>2355</v>
      </c>
      <c r="H619" s="460">
        <v>8668.1489429646972</v>
      </c>
      <c r="I619">
        <v>4200</v>
      </c>
      <c r="J619">
        <v>150.00000001001371</v>
      </c>
      <c r="K619" s="67">
        <v>5.7024000000000008</v>
      </c>
      <c r="L619" s="159">
        <v>0</v>
      </c>
      <c r="M619" s="159">
        <v>0</v>
      </c>
      <c r="N619" s="159">
        <v>0</v>
      </c>
      <c r="O619" s="159">
        <v>0</v>
      </c>
      <c r="P619" s="159">
        <v>3217</v>
      </c>
      <c r="Q619" s="159">
        <v>1500</v>
      </c>
      <c r="R619" s="159">
        <v>2000</v>
      </c>
      <c r="S619" s="159">
        <v>56788</v>
      </c>
      <c r="T619" s="159">
        <v>0</v>
      </c>
      <c r="U619" s="159">
        <v>2048</v>
      </c>
      <c r="V619" s="159">
        <v>4500</v>
      </c>
      <c r="W619" s="159">
        <v>186</v>
      </c>
      <c r="X619" s="159">
        <v>0</v>
      </c>
      <c r="Y619" s="159">
        <v>1500</v>
      </c>
      <c r="Z619" s="159">
        <v>4342</v>
      </c>
      <c r="AA619" s="159">
        <v>17808</v>
      </c>
      <c r="AB619" s="159">
        <v>9321</v>
      </c>
      <c r="AC619" s="159">
        <v>0</v>
      </c>
      <c r="AD619" s="207">
        <v>103210</v>
      </c>
      <c r="AE619" s="200">
        <v>15.36242409075945</v>
      </c>
      <c r="AF619" s="200">
        <v>14.767528949853034</v>
      </c>
      <c r="AG619" s="200">
        <v>11.743773947848064</v>
      </c>
      <c r="AH619" s="200">
        <v>0</v>
      </c>
      <c r="AI619" s="200">
        <v>0</v>
      </c>
      <c r="AJ619" s="200">
        <v>0</v>
      </c>
      <c r="AL619" s="197">
        <f t="shared" si="85"/>
        <v>118316.40561156349</v>
      </c>
      <c r="AM619" s="197" t="str">
        <f t="shared" si="86"/>
        <v>Box Medium 6</v>
      </c>
      <c r="AN619" s="3">
        <f t="shared" si="87"/>
        <v>19.423932667333116</v>
      </c>
      <c r="AO619" s="3">
        <f t="shared" si="88"/>
        <v>7.4975261515082696</v>
      </c>
      <c r="AP619" s="3">
        <f t="shared" si="89"/>
        <v>0</v>
      </c>
      <c r="AQ619" s="3">
        <f t="shared" si="81"/>
        <v>0</v>
      </c>
      <c r="AR619" s="3">
        <f t="shared" si="82"/>
        <v>7.4975261515082696</v>
      </c>
      <c r="AS619" s="81">
        <f t="shared" si="83"/>
        <v>1</v>
      </c>
      <c r="AT619" s="81">
        <f t="shared" si="84"/>
        <v>0</v>
      </c>
    </row>
    <row r="620" spans="1:46" x14ac:dyDescent="0.25">
      <c r="A620" t="s">
        <v>828</v>
      </c>
      <c r="B620">
        <v>2030</v>
      </c>
      <c r="C620" t="s">
        <v>680</v>
      </c>
      <c r="D620" t="s">
        <v>806</v>
      </c>
      <c r="E620" t="s">
        <v>1028</v>
      </c>
      <c r="F620">
        <v>7</v>
      </c>
      <c r="G620" t="s">
        <v>2356</v>
      </c>
      <c r="H620" s="460">
        <v>8713.2317413818564</v>
      </c>
      <c r="I620">
        <v>4200</v>
      </c>
      <c r="J620">
        <v>150.00000001001371</v>
      </c>
      <c r="K620" s="67">
        <v>35.499749999999999</v>
      </c>
      <c r="L620" s="159">
        <v>0</v>
      </c>
      <c r="M620" s="159">
        <v>0</v>
      </c>
      <c r="N620" s="159">
        <v>0</v>
      </c>
      <c r="O620" s="159">
        <v>0</v>
      </c>
      <c r="P620" s="159">
        <v>3438</v>
      </c>
      <c r="Q620" s="159">
        <v>1500</v>
      </c>
      <c r="R620" s="159">
        <v>2000</v>
      </c>
      <c r="S620" s="159">
        <v>56788</v>
      </c>
      <c r="T620" s="159">
        <v>0</v>
      </c>
      <c r="U620" s="159">
        <v>7100</v>
      </c>
      <c r="V620" s="159">
        <v>4500</v>
      </c>
      <c r="W620" s="159">
        <v>186</v>
      </c>
      <c r="X620" s="159">
        <v>0</v>
      </c>
      <c r="Y620" s="159">
        <v>1500</v>
      </c>
      <c r="Z620" s="159">
        <v>4704</v>
      </c>
      <c r="AA620" s="159">
        <v>10117</v>
      </c>
      <c r="AB620" s="159">
        <v>7622</v>
      </c>
      <c r="AC620" s="159">
        <v>0</v>
      </c>
      <c r="AD620" s="207">
        <v>99455</v>
      </c>
      <c r="AE620" s="200">
        <v>15.589981725796916</v>
      </c>
      <c r="AF620" s="200">
        <v>14.184242240183748</v>
      </c>
      <c r="AG620" s="200">
        <v>12.539387284021428</v>
      </c>
      <c r="AH620" s="200">
        <v>0</v>
      </c>
      <c r="AI620" s="200">
        <v>0</v>
      </c>
      <c r="AJ620" s="200">
        <v>449.44827788964153</v>
      </c>
      <c r="AL620" s="197">
        <f t="shared" si="85"/>
        <v>114011.802345684</v>
      </c>
      <c r="AM620" s="197" t="str">
        <f t="shared" si="86"/>
        <v>Box Medium 6</v>
      </c>
      <c r="AN620" s="3">
        <f t="shared" si="87"/>
        <v>18.378803954602208</v>
      </c>
      <c r="AO620" s="3">
        <f t="shared" si="88"/>
        <v>7.0941124870565577</v>
      </c>
      <c r="AP620" s="3">
        <f t="shared" si="89"/>
        <v>24.01764195167533</v>
      </c>
      <c r="AQ620" s="3">
        <f t="shared" si="81"/>
        <v>0.86463511026031181</v>
      </c>
      <c r="AR620" s="3">
        <f t="shared" si="82"/>
        <v>7.9587475973168695</v>
      </c>
      <c r="AS620" s="81">
        <f t="shared" si="83"/>
        <v>0.89136040568093833</v>
      </c>
      <c r="AT620" s="81">
        <f t="shared" si="84"/>
        <v>0.10863959431906171</v>
      </c>
    </row>
    <row r="621" spans="1:46" x14ac:dyDescent="0.25">
      <c r="A621" t="s">
        <v>805</v>
      </c>
      <c r="B621">
        <v>2035</v>
      </c>
      <c r="C621" t="s">
        <v>680</v>
      </c>
      <c r="D621" t="s">
        <v>806</v>
      </c>
      <c r="E621" t="s">
        <v>1028</v>
      </c>
      <c r="F621">
        <v>7</v>
      </c>
      <c r="G621" t="s">
        <v>2357</v>
      </c>
      <c r="H621" s="460">
        <v>8613.9395412036938</v>
      </c>
      <c r="I621">
        <v>4200</v>
      </c>
      <c r="J621">
        <v>0</v>
      </c>
      <c r="K621" s="67">
        <v>0</v>
      </c>
      <c r="L621" s="159">
        <v>150</v>
      </c>
      <c r="M621" s="159">
        <v>14776</v>
      </c>
      <c r="N621" s="159">
        <v>1920</v>
      </c>
      <c r="O621" s="159">
        <v>506</v>
      </c>
      <c r="P621" s="159">
        <v>4165</v>
      </c>
      <c r="Q621" s="159">
        <v>1500</v>
      </c>
      <c r="R621" s="159">
        <v>2000</v>
      </c>
      <c r="S621" s="159">
        <v>56788</v>
      </c>
      <c r="T621" s="159">
        <v>63</v>
      </c>
      <c r="U621" s="159">
        <v>120</v>
      </c>
      <c r="V621" s="159">
        <v>0</v>
      </c>
      <c r="W621" s="159">
        <v>186</v>
      </c>
      <c r="X621" s="159">
        <v>0</v>
      </c>
      <c r="Y621" s="159">
        <v>0</v>
      </c>
      <c r="Z621" s="159">
        <v>0</v>
      </c>
      <c r="AA621" s="159">
        <v>0</v>
      </c>
      <c r="AB621" s="159">
        <v>0</v>
      </c>
      <c r="AC621" s="159">
        <v>0</v>
      </c>
      <c r="AD621" s="207">
        <v>82174</v>
      </c>
      <c r="AE621" s="200">
        <v>8.9908069277134537</v>
      </c>
      <c r="AF621" s="200">
        <v>12.194582611263769</v>
      </c>
      <c r="AG621" s="200">
        <v>10.704206444325539</v>
      </c>
      <c r="AH621" s="200">
        <v>0</v>
      </c>
      <c r="AI621" s="200">
        <v>0</v>
      </c>
      <c r="AJ621" s="200">
        <v>0</v>
      </c>
      <c r="AL621" s="197">
        <f t="shared" si="85"/>
        <v>94201.456396905516</v>
      </c>
      <c r="AM621" s="197" t="str">
        <f t="shared" si="86"/>
        <v>Box Medium 6</v>
      </c>
      <c r="AN621" s="3">
        <f t="shared" si="87"/>
        <v>21.941762415733169</v>
      </c>
      <c r="AO621" s="3">
        <f t="shared" si="88"/>
        <v>8.4693939347725085</v>
      </c>
      <c r="AP621" s="3">
        <f t="shared" si="89"/>
        <v>0</v>
      </c>
      <c r="AQ621" s="3">
        <f t="shared" si="81"/>
        <v>0</v>
      </c>
      <c r="AR621" s="3">
        <f t="shared" si="82"/>
        <v>8.4693939347725085</v>
      </c>
      <c r="AS621" s="81">
        <f t="shared" si="83"/>
        <v>1</v>
      </c>
      <c r="AT621" s="81">
        <f t="shared" si="84"/>
        <v>0</v>
      </c>
    </row>
    <row r="622" spans="1:46" x14ac:dyDescent="0.25">
      <c r="A622" t="s">
        <v>807</v>
      </c>
      <c r="B622">
        <v>2035</v>
      </c>
      <c r="C622" t="s">
        <v>680</v>
      </c>
      <c r="D622" t="s">
        <v>806</v>
      </c>
      <c r="E622" t="s">
        <v>1028</v>
      </c>
      <c r="F622">
        <v>7</v>
      </c>
      <c r="G622" t="s">
        <v>2358</v>
      </c>
      <c r="H622" s="460">
        <v>8685.9543628501197</v>
      </c>
      <c r="I622">
        <v>4200</v>
      </c>
      <c r="J622">
        <v>0</v>
      </c>
      <c r="K622" s="67">
        <v>3.8016000000000005</v>
      </c>
      <c r="L622" s="159">
        <v>150</v>
      </c>
      <c r="M622" s="159">
        <v>14702</v>
      </c>
      <c r="N622" s="159">
        <v>220</v>
      </c>
      <c r="O622" s="159">
        <v>392</v>
      </c>
      <c r="P622" s="159">
        <v>4144</v>
      </c>
      <c r="Q622" s="159">
        <v>1500</v>
      </c>
      <c r="R622" s="159">
        <v>2000</v>
      </c>
      <c r="S622" s="159">
        <v>56788</v>
      </c>
      <c r="T622" s="159">
        <v>0</v>
      </c>
      <c r="U622" s="159">
        <v>1293</v>
      </c>
      <c r="V622" s="159">
        <v>4500</v>
      </c>
      <c r="W622" s="159">
        <v>186</v>
      </c>
      <c r="X622" s="159">
        <v>120</v>
      </c>
      <c r="Y622" s="159">
        <v>1500</v>
      </c>
      <c r="Z622" s="159">
        <v>2251</v>
      </c>
      <c r="AA622" s="159">
        <v>0</v>
      </c>
      <c r="AB622" s="159">
        <v>0</v>
      </c>
      <c r="AC622" s="159">
        <v>0</v>
      </c>
      <c r="AD622" s="207">
        <v>89746</v>
      </c>
      <c r="AE622" s="200">
        <v>10.526409029698192</v>
      </c>
      <c r="AF622" s="200">
        <v>12.442611981073291</v>
      </c>
      <c r="AG622" s="200">
        <v>10.118134522452724</v>
      </c>
      <c r="AH622" s="200">
        <v>0</v>
      </c>
      <c r="AI622" s="200">
        <v>0</v>
      </c>
      <c r="AJ622" s="200">
        <v>0</v>
      </c>
      <c r="AL622" s="197">
        <f t="shared" si="85"/>
        <v>102881.73760309443</v>
      </c>
      <c r="AM622" s="197" t="str">
        <f t="shared" si="86"/>
        <v>Box Medium 6</v>
      </c>
      <c r="AN622" s="3">
        <f t="shared" si="87"/>
        <v>22.810943706786144</v>
      </c>
      <c r="AO622" s="3">
        <f t="shared" si="88"/>
        <v>8.8048929076983722</v>
      </c>
      <c r="AP622" s="3">
        <f t="shared" si="89"/>
        <v>0</v>
      </c>
      <c r="AQ622" s="3">
        <f t="shared" si="81"/>
        <v>0</v>
      </c>
      <c r="AR622" s="3">
        <f t="shared" si="82"/>
        <v>8.8048929076983722</v>
      </c>
      <c r="AS622" s="81">
        <f t="shared" si="83"/>
        <v>1</v>
      </c>
      <c r="AT622" s="81">
        <f t="shared" si="84"/>
        <v>0</v>
      </c>
    </row>
    <row r="623" spans="1:46" x14ac:dyDescent="0.25">
      <c r="A623" t="s">
        <v>808</v>
      </c>
      <c r="B623">
        <v>2035</v>
      </c>
      <c r="C623" t="s">
        <v>680</v>
      </c>
      <c r="D623" t="s">
        <v>806</v>
      </c>
      <c r="E623" t="s">
        <v>1028</v>
      </c>
      <c r="F623">
        <v>7</v>
      </c>
      <c r="G623" t="s">
        <v>2359</v>
      </c>
      <c r="H623" s="460">
        <v>9448.3824229349375</v>
      </c>
      <c r="I623">
        <v>4200</v>
      </c>
      <c r="J623">
        <v>119.99999997072871</v>
      </c>
      <c r="K623" s="67">
        <v>175.761</v>
      </c>
      <c r="L623" s="159">
        <v>0</v>
      </c>
      <c r="M623" s="159">
        <v>11458</v>
      </c>
      <c r="N623" s="159">
        <v>220</v>
      </c>
      <c r="O623" s="159">
        <v>0</v>
      </c>
      <c r="P623" s="159">
        <v>3082</v>
      </c>
      <c r="Q623" s="159">
        <v>1500</v>
      </c>
      <c r="R623" s="159">
        <v>2000</v>
      </c>
      <c r="S623" s="159">
        <v>56788</v>
      </c>
      <c r="T623" s="159">
        <v>2280</v>
      </c>
      <c r="U623" s="159">
        <v>28122</v>
      </c>
      <c r="V623" s="159">
        <v>4500</v>
      </c>
      <c r="W623" s="159">
        <v>186</v>
      </c>
      <c r="X623" s="159">
        <v>0</v>
      </c>
      <c r="Y623" s="159">
        <v>1500</v>
      </c>
      <c r="Z623" s="159">
        <v>3390</v>
      </c>
      <c r="AA623" s="159">
        <v>0</v>
      </c>
      <c r="AB623" s="159">
        <v>0</v>
      </c>
      <c r="AC623" s="159">
        <v>0</v>
      </c>
      <c r="AD623" s="207">
        <v>115026</v>
      </c>
      <c r="AE623" s="200">
        <v>11.303502893730593</v>
      </c>
      <c r="AF623" s="200">
        <v>10.256360411478578</v>
      </c>
      <c r="AG623" s="200">
        <v>9.9711309404977744</v>
      </c>
      <c r="AH623" s="200">
        <v>1293</v>
      </c>
      <c r="AI623" s="200">
        <v>1448</v>
      </c>
      <c r="AJ623" s="200">
        <v>1746</v>
      </c>
      <c r="AL623" s="197">
        <f t="shared" si="85"/>
        <v>131861.86291905533</v>
      </c>
      <c r="AM623" s="197" t="str">
        <f t="shared" si="86"/>
        <v>Box Medium 6</v>
      </c>
      <c r="AN623" s="3">
        <f t="shared" si="87"/>
        <v>4.6783084290446606</v>
      </c>
      <c r="AO623" s="3">
        <f t="shared" si="88"/>
        <v>1.8058001122797225</v>
      </c>
      <c r="AP623" s="3">
        <f t="shared" si="89"/>
        <v>84.334199112679741</v>
      </c>
      <c r="AQ623" s="3">
        <f t="shared" ref="AQ623:AQ686" si="90">AP623*3.6/100</f>
        <v>3.0360311680564704</v>
      </c>
      <c r="AR623" s="3">
        <f t="shared" ref="AR623:AR686" si="91">AO623+AQ623</f>
        <v>4.8418312803361925</v>
      </c>
      <c r="AS623" s="81">
        <f t="shared" ref="AS623:AS686" si="92">AO623/AR623</f>
        <v>0.37295808294962662</v>
      </c>
      <c r="AT623" s="81">
        <f t="shared" ref="AT623:AT686" si="93">AQ623/AR623</f>
        <v>0.62704191705037349</v>
      </c>
    </row>
    <row r="624" spans="1:46" x14ac:dyDescent="0.25">
      <c r="A624" t="s">
        <v>230</v>
      </c>
      <c r="B624">
        <v>2035</v>
      </c>
      <c r="C624" t="s">
        <v>680</v>
      </c>
      <c r="D624" t="s">
        <v>806</v>
      </c>
      <c r="E624" t="s">
        <v>1028</v>
      </c>
      <c r="F624">
        <v>7</v>
      </c>
      <c r="G624" t="s">
        <v>2360</v>
      </c>
      <c r="H624" s="460">
        <v>9215.512981539363</v>
      </c>
      <c r="I624">
        <v>4200</v>
      </c>
      <c r="J624">
        <v>150.00000001001371</v>
      </c>
      <c r="K624" s="67">
        <v>224.66624999999999</v>
      </c>
      <c r="L624" s="159">
        <v>0</v>
      </c>
      <c r="M624" s="159">
        <v>0</v>
      </c>
      <c r="N624" s="159">
        <v>0</v>
      </c>
      <c r="O624" s="159">
        <v>0</v>
      </c>
      <c r="P624" s="159">
        <v>3030</v>
      </c>
      <c r="Q624" s="159">
        <v>1500</v>
      </c>
      <c r="R624" s="159">
        <v>2000</v>
      </c>
      <c r="S624" s="159">
        <v>56788</v>
      </c>
      <c r="T624" s="159">
        <v>0</v>
      </c>
      <c r="U624" s="159">
        <v>35947</v>
      </c>
      <c r="V624" s="159">
        <v>4500</v>
      </c>
      <c r="W624" s="159">
        <v>186</v>
      </c>
      <c r="X624" s="159">
        <v>0</v>
      </c>
      <c r="Y624" s="159">
        <v>1500</v>
      </c>
      <c r="Z624" s="159">
        <v>3320</v>
      </c>
      <c r="AA624" s="159">
        <v>0</v>
      </c>
      <c r="AB624" s="159">
        <v>0</v>
      </c>
      <c r="AC624" s="159">
        <v>0</v>
      </c>
      <c r="AD624" s="207">
        <v>108771</v>
      </c>
      <c r="AE624" s="200">
        <v>0</v>
      </c>
      <c r="AF624" s="200">
        <v>0</v>
      </c>
      <c r="AG624" s="200">
        <v>0</v>
      </c>
      <c r="AH624" s="200">
        <v>1269</v>
      </c>
      <c r="AI624" s="200">
        <v>1334</v>
      </c>
      <c r="AJ624" s="200">
        <v>1617</v>
      </c>
      <c r="AL624" s="197">
        <f t="shared" si="85"/>
        <v>124691.34536164491</v>
      </c>
      <c r="AM624" s="197" t="str">
        <f t="shared" si="86"/>
        <v>Box Medium 6</v>
      </c>
      <c r="AN624" s="3">
        <f t="shared" si="87"/>
        <v>0</v>
      </c>
      <c r="AO624" s="3">
        <f t="shared" si="88"/>
        <v>0</v>
      </c>
      <c r="AP624" s="3">
        <f t="shared" si="89"/>
        <v>97.812146594256021</v>
      </c>
      <c r="AQ624" s="3">
        <f t="shared" si="90"/>
        <v>3.521237277393217</v>
      </c>
      <c r="AR624" s="3">
        <f t="shared" si="91"/>
        <v>3.521237277393217</v>
      </c>
      <c r="AS624" s="81">
        <f t="shared" si="92"/>
        <v>0</v>
      </c>
      <c r="AT624" s="81">
        <f t="shared" si="93"/>
        <v>1</v>
      </c>
    </row>
    <row r="625" spans="1:46" x14ac:dyDescent="0.25">
      <c r="A625" t="s">
        <v>496</v>
      </c>
      <c r="B625">
        <v>2035</v>
      </c>
      <c r="C625" t="s">
        <v>680</v>
      </c>
      <c r="D625" t="s">
        <v>806</v>
      </c>
      <c r="E625" t="s">
        <v>1028</v>
      </c>
      <c r="F625">
        <v>7</v>
      </c>
      <c r="G625" t="s">
        <v>2361</v>
      </c>
      <c r="H625" s="460">
        <v>8606.5758325393872</v>
      </c>
      <c r="I625">
        <v>4200</v>
      </c>
      <c r="J625">
        <v>150.00000001001371</v>
      </c>
      <c r="K625" s="67">
        <v>5.7024000000000008</v>
      </c>
      <c r="L625" s="159">
        <v>0</v>
      </c>
      <c r="M625" s="159">
        <v>0</v>
      </c>
      <c r="N625" s="159">
        <v>0</v>
      </c>
      <c r="O625" s="159">
        <v>0</v>
      </c>
      <c r="P625" s="159">
        <v>3202</v>
      </c>
      <c r="Q625" s="159">
        <v>1500</v>
      </c>
      <c r="R625" s="159">
        <v>2000</v>
      </c>
      <c r="S625" s="159">
        <v>56788</v>
      </c>
      <c r="T625" s="159">
        <v>0</v>
      </c>
      <c r="U625" s="159">
        <v>1940</v>
      </c>
      <c r="V625" s="159">
        <v>4500</v>
      </c>
      <c r="W625" s="159">
        <v>186</v>
      </c>
      <c r="X625" s="159">
        <v>0</v>
      </c>
      <c r="Y625" s="159">
        <v>1500</v>
      </c>
      <c r="Z625" s="159">
        <v>3553</v>
      </c>
      <c r="AA625" s="159">
        <v>15281</v>
      </c>
      <c r="AB625" s="159">
        <v>7396</v>
      </c>
      <c r="AC625" s="159">
        <v>0</v>
      </c>
      <c r="AD625" s="207">
        <v>97846</v>
      </c>
      <c r="AE625" s="200">
        <v>16.193067829337657</v>
      </c>
      <c r="AF625" s="200">
        <v>16.039969097807631</v>
      </c>
      <c r="AG625" s="200">
        <v>12.856240436868529</v>
      </c>
      <c r="AH625" s="200">
        <v>0</v>
      </c>
      <c r="AI625" s="200">
        <v>0</v>
      </c>
      <c r="AJ625" s="200">
        <v>0</v>
      </c>
      <c r="AL625" s="197">
        <f t="shared" si="85"/>
        <v>112167.29990765468</v>
      </c>
      <c r="AM625" s="197" t="str">
        <f t="shared" si="86"/>
        <v>Box Medium 6</v>
      </c>
      <c r="AN625" s="3">
        <f t="shared" si="87"/>
        <v>17.780453844485983</v>
      </c>
      <c r="AO625" s="3">
        <f t="shared" si="88"/>
        <v>6.8631527903161036</v>
      </c>
      <c r="AP625" s="3">
        <f t="shared" si="89"/>
        <v>0</v>
      </c>
      <c r="AQ625" s="3">
        <f t="shared" si="90"/>
        <v>0</v>
      </c>
      <c r="AR625" s="3">
        <f t="shared" si="91"/>
        <v>6.8631527903161036</v>
      </c>
      <c r="AS625" s="81">
        <f t="shared" si="92"/>
        <v>1</v>
      </c>
      <c r="AT625" s="81">
        <f t="shared" si="93"/>
        <v>0</v>
      </c>
    </row>
    <row r="626" spans="1:46" x14ac:dyDescent="0.25">
      <c r="A626" t="s">
        <v>828</v>
      </c>
      <c r="B626">
        <v>2035</v>
      </c>
      <c r="C626" t="s">
        <v>680</v>
      </c>
      <c r="D626" t="s">
        <v>806</v>
      </c>
      <c r="E626" t="s">
        <v>1028</v>
      </c>
      <c r="F626">
        <v>7</v>
      </c>
      <c r="G626" t="s">
        <v>2362</v>
      </c>
      <c r="H626" s="460">
        <v>8627.1015951702902</v>
      </c>
      <c r="I626">
        <v>4200</v>
      </c>
      <c r="J626">
        <v>150.00000001001371</v>
      </c>
      <c r="K626" s="67">
        <v>36.741</v>
      </c>
      <c r="L626" s="159">
        <v>0</v>
      </c>
      <c r="M626" s="159">
        <v>0</v>
      </c>
      <c r="N626" s="159">
        <v>0</v>
      </c>
      <c r="O626" s="159">
        <v>0</v>
      </c>
      <c r="P626" s="159">
        <v>3424</v>
      </c>
      <c r="Q626" s="159">
        <v>1500</v>
      </c>
      <c r="R626" s="159">
        <v>2000</v>
      </c>
      <c r="S626" s="159">
        <v>56788</v>
      </c>
      <c r="T626" s="159">
        <v>0</v>
      </c>
      <c r="U626" s="159">
        <v>5879</v>
      </c>
      <c r="V626" s="159">
        <v>4500</v>
      </c>
      <c r="W626" s="159">
        <v>186</v>
      </c>
      <c r="X626" s="159">
        <v>0</v>
      </c>
      <c r="Y626" s="159">
        <v>1500</v>
      </c>
      <c r="Z626" s="159">
        <v>3851</v>
      </c>
      <c r="AA626" s="159">
        <v>8099</v>
      </c>
      <c r="AB626" s="159">
        <v>5847</v>
      </c>
      <c r="AC626" s="159">
        <v>0</v>
      </c>
      <c r="AD626" s="207">
        <v>93574</v>
      </c>
      <c r="AE626" s="200">
        <v>16.499513743386146</v>
      </c>
      <c r="AF626" s="200">
        <v>15.351046545377544</v>
      </c>
      <c r="AG626" s="200">
        <v>13.592221203287997</v>
      </c>
      <c r="AH626" s="200">
        <v>0</v>
      </c>
      <c r="AI626" s="200">
        <v>0</v>
      </c>
      <c r="AJ626" s="200">
        <v>404.48907821859723</v>
      </c>
      <c r="AL626" s="197">
        <f t="shared" si="85"/>
        <v>107270.02556628661</v>
      </c>
      <c r="AM626" s="197" t="str">
        <f t="shared" si="86"/>
        <v>Box Medium 6</v>
      </c>
      <c r="AN626" s="3">
        <f t="shared" si="87"/>
        <v>16.974221066309866</v>
      </c>
      <c r="AO626" s="3">
        <f t="shared" si="88"/>
        <v>6.5519515808543058</v>
      </c>
      <c r="AP626" s="3">
        <f t="shared" si="89"/>
        <v>21.615109751077686</v>
      </c>
      <c r="AQ626" s="3">
        <f t="shared" si="90"/>
        <v>0.77814395103879674</v>
      </c>
      <c r="AR626" s="3">
        <f t="shared" si="91"/>
        <v>7.3300955318931029</v>
      </c>
      <c r="AS626" s="81">
        <f t="shared" si="92"/>
        <v>0.89384259077482575</v>
      </c>
      <c r="AT626" s="81">
        <f t="shared" si="93"/>
        <v>0.10615740922517415</v>
      </c>
    </row>
    <row r="627" spans="1:46" x14ac:dyDescent="0.25">
      <c r="A627" t="s">
        <v>805</v>
      </c>
      <c r="B627">
        <v>2050</v>
      </c>
      <c r="C627" t="s">
        <v>680</v>
      </c>
      <c r="D627" t="s">
        <v>806</v>
      </c>
      <c r="E627" t="s">
        <v>1028</v>
      </c>
      <c r="F627">
        <v>7</v>
      </c>
      <c r="G627" t="s">
        <v>2363</v>
      </c>
      <c r="H627" s="460">
        <v>8555.2754549110978</v>
      </c>
      <c r="I627">
        <v>4200</v>
      </c>
      <c r="J627">
        <v>0</v>
      </c>
      <c r="K627" s="67">
        <v>0</v>
      </c>
      <c r="L627" s="159">
        <v>150</v>
      </c>
      <c r="M627" s="159">
        <v>14961</v>
      </c>
      <c r="N627" s="159">
        <v>1920</v>
      </c>
      <c r="O627" s="159">
        <v>506</v>
      </c>
      <c r="P627" s="159">
        <v>4051</v>
      </c>
      <c r="Q627" s="159">
        <v>1500</v>
      </c>
      <c r="R627" s="159">
        <v>2000</v>
      </c>
      <c r="S627" s="159">
        <v>57020</v>
      </c>
      <c r="T627" s="159">
        <v>44</v>
      </c>
      <c r="U627" s="159">
        <v>120</v>
      </c>
      <c r="V627" s="159">
        <v>0</v>
      </c>
      <c r="W627" s="159">
        <v>186</v>
      </c>
      <c r="X627" s="159">
        <v>0</v>
      </c>
      <c r="Y627" s="159">
        <v>0</v>
      </c>
      <c r="Z627" s="159">
        <v>0</v>
      </c>
      <c r="AA627" s="159">
        <v>0</v>
      </c>
      <c r="AB627" s="159">
        <v>0</v>
      </c>
      <c r="AC627" s="159">
        <v>0</v>
      </c>
      <c r="AD627" s="207">
        <v>82458</v>
      </c>
      <c r="AE627" s="200">
        <v>9.6288872711540563</v>
      </c>
      <c r="AF627" s="200">
        <v>13.577168030299376</v>
      </c>
      <c r="AG627" s="200">
        <v>12.009006253733808</v>
      </c>
      <c r="AH627" s="200">
        <v>0</v>
      </c>
      <c r="AI627" s="200">
        <v>0</v>
      </c>
      <c r="AJ627" s="200">
        <v>0</v>
      </c>
      <c r="AL627" s="197">
        <f t="shared" si="85"/>
        <v>94527.024260423423</v>
      </c>
      <c r="AM627" s="197" t="str">
        <f t="shared" si="86"/>
        <v>Box Medium 6</v>
      </c>
      <c r="AN627" s="3">
        <f t="shared" si="87"/>
        <v>19.625033108925695</v>
      </c>
      <c r="AO627" s="3">
        <f t="shared" si="88"/>
        <v>7.5751497638705558</v>
      </c>
      <c r="AP627" s="3">
        <f t="shared" si="89"/>
        <v>0</v>
      </c>
      <c r="AQ627" s="3">
        <f t="shared" si="90"/>
        <v>0</v>
      </c>
      <c r="AR627" s="3">
        <f t="shared" si="91"/>
        <v>7.5751497638705558</v>
      </c>
      <c r="AS627" s="81">
        <f t="shared" si="92"/>
        <v>1</v>
      </c>
      <c r="AT627" s="81">
        <f t="shared" si="93"/>
        <v>0</v>
      </c>
    </row>
    <row r="628" spans="1:46" x14ac:dyDescent="0.25">
      <c r="A628" t="s">
        <v>807</v>
      </c>
      <c r="B628">
        <v>2050</v>
      </c>
      <c r="C628" t="s">
        <v>680</v>
      </c>
      <c r="D628" t="s">
        <v>806</v>
      </c>
      <c r="E628" t="s">
        <v>1028</v>
      </c>
      <c r="F628">
        <v>7</v>
      </c>
      <c r="G628" t="s">
        <v>2364</v>
      </c>
      <c r="H628" s="460">
        <v>8633.8305632177362</v>
      </c>
      <c r="I628">
        <v>4200</v>
      </c>
      <c r="J628">
        <v>0</v>
      </c>
      <c r="K628" s="67">
        <v>4.5144000000000011</v>
      </c>
      <c r="L628" s="159">
        <v>150</v>
      </c>
      <c r="M628" s="159">
        <v>15091</v>
      </c>
      <c r="N628" s="159">
        <v>220</v>
      </c>
      <c r="O628" s="159">
        <v>392</v>
      </c>
      <c r="P628" s="159">
        <v>4089</v>
      </c>
      <c r="Q628" s="159">
        <v>1500</v>
      </c>
      <c r="R628" s="159">
        <v>2000</v>
      </c>
      <c r="S628" s="159">
        <v>57020</v>
      </c>
      <c r="T628" s="159">
        <v>0</v>
      </c>
      <c r="U628" s="159">
        <v>1450</v>
      </c>
      <c r="V628" s="159">
        <v>4500</v>
      </c>
      <c r="W628" s="159">
        <v>186</v>
      </c>
      <c r="X628" s="159">
        <v>120</v>
      </c>
      <c r="Y628" s="159">
        <v>1500</v>
      </c>
      <c r="Z628" s="159">
        <v>1612</v>
      </c>
      <c r="AA628" s="159">
        <v>0</v>
      </c>
      <c r="AB628" s="159">
        <v>0</v>
      </c>
      <c r="AC628" s="159">
        <v>0</v>
      </c>
      <c r="AD628" s="207">
        <v>89830</v>
      </c>
      <c r="AE628" s="200">
        <v>12.281892634528463</v>
      </c>
      <c r="AF628" s="200">
        <v>14.177378465624043</v>
      </c>
      <c r="AG628" s="200">
        <v>11.514021893220798</v>
      </c>
      <c r="AH628" s="200">
        <v>0</v>
      </c>
      <c r="AI628" s="200">
        <v>0</v>
      </c>
      <c r="AJ628" s="200">
        <v>0</v>
      </c>
      <c r="AL628" s="197">
        <f t="shared" si="85"/>
        <v>102978.03232328987</v>
      </c>
      <c r="AM628" s="197" t="str">
        <f t="shared" si="86"/>
        <v>Box Medium 6</v>
      </c>
      <c r="AN628" s="3">
        <f t="shared" si="87"/>
        <v>20.019326423435142</v>
      </c>
      <c r="AO628" s="3">
        <f t="shared" si="88"/>
        <v>7.7273447126242232</v>
      </c>
      <c r="AP628" s="3">
        <f t="shared" si="89"/>
        <v>0</v>
      </c>
      <c r="AQ628" s="3">
        <f t="shared" si="90"/>
        <v>0</v>
      </c>
      <c r="AR628" s="3">
        <f t="shared" si="91"/>
        <v>7.7273447126242232</v>
      </c>
      <c r="AS628" s="81">
        <f t="shared" si="92"/>
        <v>1</v>
      </c>
      <c r="AT628" s="81">
        <f t="shared" si="93"/>
        <v>0</v>
      </c>
    </row>
    <row r="629" spans="1:46" x14ac:dyDescent="0.25">
      <c r="A629" t="s">
        <v>808</v>
      </c>
      <c r="B629">
        <v>2050</v>
      </c>
      <c r="C629" t="s">
        <v>680</v>
      </c>
      <c r="D629" t="s">
        <v>806</v>
      </c>
      <c r="E629" t="s">
        <v>1028</v>
      </c>
      <c r="F629">
        <v>7</v>
      </c>
      <c r="G629" t="s">
        <v>2365</v>
      </c>
      <c r="H629" s="460">
        <v>9056.7230870114017</v>
      </c>
      <c r="I629">
        <v>4200</v>
      </c>
      <c r="J629">
        <v>119.99999997072871</v>
      </c>
      <c r="K629" s="67">
        <v>159.00412500000002</v>
      </c>
      <c r="L629" s="159">
        <v>0</v>
      </c>
      <c r="M629" s="159">
        <v>12034</v>
      </c>
      <c r="N629" s="159">
        <v>220</v>
      </c>
      <c r="O629" s="159">
        <v>0</v>
      </c>
      <c r="P629" s="159">
        <v>3059</v>
      </c>
      <c r="Q629" s="159">
        <v>1500</v>
      </c>
      <c r="R629" s="159">
        <v>2000</v>
      </c>
      <c r="S629" s="159">
        <v>57020</v>
      </c>
      <c r="T629" s="159">
        <v>1603</v>
      </c>
      <c r="U629" s="159">
        <v>14310</v>
      </c>
      <c r="V629" s="159">
        <v>4500</v>
      </c>
      <c r="W629" s="159">
        <v>186</v>
      </c>
      <c r="X629" s="159">
        <v>0</v>
      </c>
      <c r="Y629" s="159">
        <v>1500</v>
      </c>
      <c r="Z629" s="159">
        <v>2450</v>
      </c>
      <c r="AA629" s="159">
        <v>0</v>
      </c>
      <c r="AB629" s="159">
        <v>0</v>
      </c>
      <c r="AC629" s="159">
        <v>0</v>
      </c>
      <c r="AD629" s="207">
        <v>100382</v>
      </c>
      <c r="AE629" s="200">
        <v>13.260773417457964</v>
      </c>
      <c r="AF629" s="200">
        <v>11.590073628254963</v>
      </c>
      <c r="AG629" s="200">
        <v>10.936525227253938</v>
      </c>
      <c r="AH629" s="200">
        <v>1150</v>
      </c>
      <c r="AI629" s="200">
        <v>1306</v>
      </c>
      <c r="AJ629" s="200">
        <v>1580</v>
      </c>
      <c r="AL629" s="197">
        <f t="shared" si="85"/>
        <v>115074.48336498368</v>
      </c>
      <c r="AM629" s="197" t="str">
        <f t="shared" si="86"/>
        <v>Box Medium 6</v>
      </c>
      <c r="AN629" s="3">
        <f t="shared" si="87"/>
        <v>4.2419336427161412</v>
      </c>
      <c r="AO629" s="3">
        <f t="shared" si="88"/>
        <v>1.6373619577416738</v>
      </c>
      <c r="AP629" s="3">
        <f t="shared" si="89"/>
        <v>76.246908670635179</v>
      </c>
      <c r="AQ629" s="3">
        <f t="shared" si="90"/>
        <v>2.7448887121428664</v>
      </c>
      <c r="AR629" s="3">
        <f t="shared" si="91"/>
        <v>4.3822506698845398</v>
      </c>
      <c r="AS629" s="81">
        <f t="shared" si="92"/>
        <v>0.37363493809102749</v>
      </c>
      <c r="AT629" s="81">
        <f t="shared" si="93"/>
        <v>0.62636506190897256</v>
      </c>
    </row>
    <row r="630" spans="1:46" x14ac:dyDescent="0.25">
      <c r="A630" t="s">
        <v>230</v>
      </c>
      <c r="B630">
        <v>2050</v>
      </c>
      <c r="C630" t="s">
        <v>680</v>
      </c>
      <c r="D630" t="s">
        <v>806</v>
      </c>
      <c r="E630" t="s">
        <v>1028</v>
      </c>
      <c r="F630">
        <v>7</v>
      </c>
      <c r="G630" t="s">
        <v>2366</v>
      </c>
      <c r="H630" s="460">
        <v>8738.8186958978531</v>
      </c>
      <c r="I630">
        <v>4200</v>
      </c>
      <c r="J630">
        <v>150.00000001001371</v>
      </c>
      <c r="K630" s="67">
        <v>203.31675000000001</v>
      </c>
      <c r="L630" s="159">
        <v>0</v>
      </c>
      <c r="M630" s="159">
        <v>0</v>
      </c>
      <c r="N630" s="159">
        <v>0</v>
      </c>
      <c r="O630" s="159">
        <v>0</v>
      </c>
      <c r="P630" s="159">
        <v>2932</v>
      </c>
      <c r="Q630" s="159">
        <v>1500</v>
      </c>
      <c r="R630" s="159">
        <v>2000</v>
      </c>
      <c r="S630" s="159">
        <v>57020</v>
      </c>
      <c r="T630" s="159">
        <v>0</v>
      </c>
      <c r="U630" s="159">
        <v>18299</v>
      </c>
      <c r="V630" s="159">
        <v>4500</v>
      </c>
      <c r="W630" s="159">
        <v>186</v>
      </c>
      <c r="X630" s="159">
        <v>0</v>
      </c>
      <c r="Y630" s="159">
        <v>1500</v>
      </c>
      <c r="Z630" s="159">
        <v>2324</v>
      </c>
      <c r="AA630" s="159">
        <v>0</v>
      </c>
      <c r="AB630" s="159">
        <v>0</v>
      </c>
      <c r="AC630" s="159">
        <v>0</v>
      </c>
      <c r="AD630" s="207">
        <v>90261</v>
      </c>
      <c r="AE630" s="200">
        <v>0</v>
      </c>
      <c r="AF630" s="200">
        <v>0</v>
      </c>
      <c r="AG630" s="200">
        <v>0</v>
      </c>
      <c r="AH630" s="200">
        <v>1125</v>
      </c>
      <c r="AI630" s="200">
        <v>1194</v>
      </c>
      <c r="AJ630" s="200">
        <v>1450</v>
      </c>
      <c r="AL630" s="197">
        <f t="shared" si="85"/>
        <v>103472.11594714981</v>
      </c>
      <c r="AM630" s="197" t="str">
        <f t="shared" si="86"/>
        <v>Box Medium 6</v>
      </c>
      <c r="AN630" s="3">
        <f t="shared" si="87"/>
        <v>0</v>
      </c>
      <c r="AO630" s="3">
        <f t="shared" si="88"/>
        <v>0</v>
      </c>
      <c r="AP630" s="3">
        <f t="shared" si="89"/>
        <v>87.657673331924897</v>
      </c>
      <c r="AQ630" s="3">
        <f t="shared" si="90"/>
        <v>3.1556762399492966</v>
      </c>
      <c r="AR630" s="3">
        <f t="shared" si="91"/>
        <v>3.1556762399492966</v>
      </c>
      <c r="AS630" s="81">
        <f t="shared" si="92"/>
        <v>0</v>
      </c>
      <c r="AT630" s="81">
        <f t="shared" si="93"/>
        <v>1</v>
      </c>
    </row>
    <row r="631" spans="1:46" x14ac:dyDescent="0.25">
      <c r="A631" t="s">
        <v>496</v>
      </c>
      <c r="B631">
        <v>2050</v>
      </c>
      <c r="C631" t="s">
        <v>680</v>
      </c>
      <c r="D631" t="s">
        <v>806</v>
      </c>
      <c r="E631" t="s">
        <v>1028</v>
      </c>
      <c r="F631">
        <v>7</v>
      </c>
      <c r="G631" t="s">
        <v>2367</v>
      </c>
      <c r="H631" s="460">
        <v>8444.6395324046225</v>
      </c>
      <c r="I631">
        <v>4200</v>
      </c>
      <c r="J631">
        <v>150.00000001001371</v>
      </c>
      <c r="K631" s="67">
        <v>5.7182400000000007</v>
      </c>
      <c r="L631" s="159">
        <v>0</v>
      </c>
      <c r="M631" s="159">
        <v>0</v>
      </c>
      <c r="N631" s="159">
        <v>0</v>
      </c>
      <c r="O631" s="159">
        <v>0</v>
      </c>
      <c r="P631" s="159">
        <v>3179</v>
      </c>
      <c r="Q631" s="159">
        <v>1500</v>
      </c>
      <c r="R631" s="159">
        <v>2000</v>
      </c>
      <c r="S631" s="159">
        <v>57020</v>
      </c>
      <c r="T631" s="159">
        <v>0</v>
      </c>
      <c r="U631" s="159">
        <v>1837</v>
      </c>
      <c r="V631" s="159">
        <v>4500</v>
      </c>
      <c r="W631" s="159">
        <v>186</v>
      </c>
      <c r="X631" s="159">
        <v>0</v>
      </c>
      <c r="Y631" s="159">
        <v>1500</v>
      </c>
      <c r="Z631" s="159">
        <v>2569</v>
      </c>
      <c r="AA631" s="159">
        <v>12740</v>
      </c>
      <c r="AB631" s="159">
        <v>4385</v>
      </c>
      <c r="AC631" s="159">
        <v>0</v>
      </c>
      <c r="AD631" s="207">
        <v>91416</v>
      </c>
      <c r="AE631" s="200">
        <v>18.114999896686562</v>
      </c>
      <c r="AF631" s="200">
        <v>18.138459920575329</v>
      </c>
      <c r="AG631" s="200">
        <v>14.55281762843409</v>
      </c>
      <c r="AH631" s="200">
        <v>0</v>
      </c>
      <c r="AI631" s="200">
        <v>0</v>
      </c>
      <c r="AJ631" s="200">
        <v>0</v>
      </c>
      <c r="AL631" s="197">
        <f t="shared" si="85"/>
        <v>104796.1683498371</v>
      </c>
      <c r="AM631" s="197" t="str">
        <f t="shared" si="86"/>
        <v>Box Medium 6</v>
      </c>
      <c r="AN631" s="3">
        <f t="shared" si="87"/>
        <v>15.716383066484337</v>
      </c>
      <c r="AO631" s="3">
        <f t="shared" si="88"/>
        <v>6.066433356529263</v>
      </c>
      <c r="AP631" s="3">
        <f t="shared" si="89"/>
        <v>0</v>
      </c>
      <c r="AQ631" s="3">
        <f t="shared" si="90"/>
        <v>0</v>
      </c>
      <c r="AR631" s="3">
        <f t="shared" si="91"/>
        <v>6.066433356529263</v>
      </c>
      <c r="AS631" s="81">
        <f t="shared" si="92"/>
        <v>1</v>
      </c>
      <c r="AT631" s="81">
        <f t="shared" si="93"/>
        <v>0</v>
      </c>
    </row>
    <row r="632" spans="1:46" x14ac:dyDescent="0.25">
      <c r="A632" t="s">
        <v>828</v>
      </c>
      <c r="B632">
        <v>2050</v>
      </c>
      <c r="C632" t="s">
        <v>680</v>
      </c>
      <c r="D632" t="s">
        <v>806</v>
      </c>
      <c r="E632" t="s">
        <v>1028</v>
      </c>
      <c r="F632">
        <v>7</v>
      </c>
      <c r="G632" t="s">
        <v>2368</v>
      </c>
      <c r="H632" s="460">
        <v>8424.9169872084112</v>
      </c>
      <c r="I632">
        <v>4200</v>
      </c>
      <c r="J632">
        <v>150.00000001001371</v>
      </c>
      <c r="K632" s="67">
        <v>37.982250000000001</v>
      </c>
      <c r="L632" s="159">
        <v>0</v>
      </c>
      <c r="M632" s="159">
        <v>0</v>
      </c>
      <c r="N632" s="159">
        <v>0</v>
      </c>
      <c r="O632" s="159">
        <v>0</v>
      </c>
      <c r="P632" s="159">
        <v>3398</v>
      </c>
      <c r="Q632" s="159">
        <v>1500</v>
      </c>
      <c r="R632" s="159">
        <v>2000</v>
      </c>
      <c r="S632" s="159">
        <v>57020</v>
      </c>
      <c r="T632" s="159">
        <v>0</v>
      </c>
      <c r="U632" s="159">
        <v>3418</v>
      </c>
      <c r="V632" s="159">
        <v>4500</v>
      </c>
      <c r="W632" s="159">
        <v>186</v>
      </c>
      <c r="X632" s="159">
        <v>0</v>
      </c>
      <c r="Y632" s="159">
        <v>1500</v>
      </c>
      <c r="Z632" s="159">
        <v>2785</v>
      </c>
      <c r="AA632" s="159">
        <v>6182</v>
      </c>
      <c r="AB632" s="159">
        <v>3312</v>
      </c>
      <c r="AC632" s="159">
        <v>0</v>
      </c>
      <c r="AD632" s="207">
        <v>85801</v>
      </c>
      <c r="AE632" s="200">
        <v>18.613839711989151</v>
      </c>
      <c r="AF632" s="200">
        <v>17.282629748797135</v>
      </c>
      <c r="AG632" s="200">
        <v>15.339138436922081</v>
      </c>
      <c r="AH632" s="200">
        <v>0</v>
      </c>
      <c r="AI632" s="200">
        <v>0</v>
      </c>
      <c r="AJ632" s="200">
        <v>343.77158013617515</v>
      </c>
      <c r="AL632" s="197">
        <f t="shared" si="85"/>
        <v>98359.324851058598</v>
      </c>
      <c r="AM632" s="197" t="str">
        <f t="shared" si="86"/>
        <v>Box Medium 6</v>
      </c>
      <c r="AN632" s="3">
        <f t="shared" si="87"/>
        <v>15.044228377726387</v>
      </c>
      <c r="AO632" s="3">
        <f t="shared" si="88"/>
        <v>5.806985517457159</v>
      </c>
      <c r="AP632" s="3">
        <f t="shared" si="89"/>
        <v>18.37048472772134</v>
      </c>
      <c r="AQ632" s="3">
        <f t="shared" si="90"/>
        <v>0.6613374501979683</v>
      </c>
      <c r="AR632" s="3">
        <f t="shared" si="91"/>
        <v>6.4683229676551273</v>
      </c>
      <c r="AS632" s="81">
        <f t="shared" si="92"/>
        <v>0.89775750940313448</v>
      </c>
      <c r="AT632" s="81">
        <f t="shared" si="93"/>
        <v>0.10224249059686547</v>
      </c>
    </row>
    <row r="633" spans="1:46" x14ac:dyDescent="0.25">
      <c r="A633" t="s">
        <v>805</v>
      </c>
      <c r="B633">
        <v>2023</v>
      </c>
      <c r="C633" t="s">
        <v>680</v>
      </c>
      <c r="D633" t="s">
        <v>809</v>
      </c>
      <c r="E633" t="s">
        <v>1028</v>
      </c>
      <c r="F633">
        <v>7</v>
      </c>
      <c r="G633" t="s">
        <v>2369</v>
      </c>
      <c r="H633" s="460">
        <v>8759.2754549110978</v>
      </c>
      <c r="I633">
        <v>3300</v>
      </c>
      <c r="J633">
        <v>0</v>
      </c>
      <c r="K633" s="67">
        <v>0</v>
      </c>
      <c r="L633" s="159">
        <v>150</v>
      </c>
      <c r="M633" s="159">
        <v>13429</v>
      </c>
      <c r="N633" s="159">
        <v>1920</v>
      </c>
      <c r="O633" s="159">
        <v>506</v>
      </c>
      <c r="P633" s="159">
        <v>4051</v>
      </c>
      <c r="Q633" s="159">
        <v>1500</v>
      </c>
      <c r="R633" s="159">
        <v>2000</v>
      </c>
      <c r="S633" s="159">
        <v>56000</v>
      </c>
      <c r="T633" s="159">
        <v>98</v>
      </c>
      <c r="U633" s="159">
        <v>120</v>
      </c>
      <c r="V633" s="159">
        <v>0</v>
      </c>
      <c r="W633" s="159">
        <v>186</v>
      </c>
      <c r="X633" s="159">
        <v>0</v>
      </c>
      <c r="Y633" s="159">
        <v>0</v>
      </c>
      <c r="Z633" s="159">
        <v>0</v>
      </c>
      <c r="AA633" s="159">
        <v>0</v>
      </c>
      <c r="AB633" s="159">
        <v>0</v>
      </c>
      <c r="AC633" s="159">
        <v>0</v>
      </c>
      <c r="AD633" s="207">
        <v>79960</v>
      </c>
      <c r="AE633" s="200">
        <v>8.5179326158094053</v>
      </c>
      <c r="AF633" s="200">
        <v>13.066304861322568</v>
      </c>
      <c r="AG633" s="200">
        <v>12.219735691053225</v>
      </c>
      <c r="AH633" s="200">
        <v>0</v>
      </c>
      <c r="AI633" s="200">
        <v>0</v>
      </c>
      <c r="AJ633" s="200">
        <v>0</v>
      </c>
      <c r="AL633" s="197">
        <f t="shared" si="85"/>
        <v>91663.402700325707</v>
      </c>
      <c r="AM633" s="197" t="str">
        <f t="shared" si="86"/>
        <v>Transit Heavy 8</v>
      </c>
      <c r="AN633" s="3">
        <f t="shared" si="87"/>
        <v>27.61410894526983</v>
      </c>
      <c r="AO633" s="3">
        <f t="shared" si="88"/>
        <v>10.658887029399128</v>
      </c>
      <c r="AP633" s="3">
        <f t="shared" si="89"/>
        <v>0</v>
      </c>
      <c r="AQ633" s="3">
        <f t="shared" si="90"/>
        <v>0</v>
      </c>
      <c r="AR633" s="3">
        <f t="shared" si="91"/>
        <v>10.658887029399128</v>
      </c>
      <c r="AS633" s="81">
        <f t="shared" si="92"/>
        <v>1</v>
      </c>
      <c r="AT633" s="81">
        <f t="shared" si="93"/>
        <v>0</v>
      </c>
    </row>
    <row r="634" spans="1:46" x14ac:dyDescent="0.25">
      <c r="A634" t="s">
        <v>807</v>
      </c>
      <c r="B634">
        <v>2023</v>
      </c>
      <c r="C634" t="s">
        <v>680</v>
      </c>
      <c r="D634" t="s">
        <v>809</v>
      </c>
      <c r="E634" t="s">
        <v>1028</v>
      </c>
      <c r="F634">
        <v>7</v>
      </c>
      <c r="G634" t="s">
        <v>2370</v>
      </c>
      <c r="H634" s="460">
        <v>8849.4479331758394</v>
      </c>
      <c r="I634">
        <v>3300</v>
      </c>
      <c r="J634">
        <v>0</v>
      </c>
      <c r="K634" s="67">
        <v>2.9779200000000006</v>
      </c>
      <c r="L634" s="159">
        <v>150</v>
      </c>
      <c r="M634" s="159">
        <v>13786</v>
      </c>
      <c r="N634" s="159">
        <v>220</v>
      </c>
      <c r="O634" s="159">
        <v>392</v>
      </c>
      <c r="P634" s="159">
        <v>4155</v>
      </c>
      <c r="Q634" s="159">
        <v>1500</v>
      </c>
      <c r="R634" s="159">
        <v>2000</v>
      </c>
      <c r="S634" s="159">
        <v>56000</v>
      </c>
      <c r="T634" s="159">
        <v>0</v>
      </c>
      <c r="U634" s="159">
        <v>2085</v>
      </c>
      <c r="V634" s="159">
        <v>4500</v>
      </c>
      <c r="W634" s="159">
        <v>186</v>
      </c>
      <c r="X634" s="159">
        <v>120</v>
      </c>
      <c r="Y634" s="159">
        <v>1500</v>
      </c>
      <c r="Z634" s="159">
        <v>4161</v>
      </c>
      <c r="AA634" s="159">
        <v>0</v>
      </c>
      <c r="AB634" s="159">
        <v>0</v>
      </c>
      <c r="AC634" s="159">
        <v>0</v>
      </c>
      <c r="AD634" s="207">
        <v>90755</v>
      </c>
      <c r="AE634" s="200">
        <v>9.0676891604845373</v>
      </c>
      <c r="AF634" s="200">
        <v>13.148201809707899</v>
      </c>
      <c r="AG634" s="200">
        <v>11.247803201159517</v>
      </c>
      <c r="AH634" s="200">
        <v>0</v>
      </c>
      <c r="AI634" s="200">
        <v>0</v>
      </c>
      <c r="AJ634" s="200">
        <v>0</v>
      </c>
      <c r="AL634" s="197">
        <f t="shared" si="85"/>
        <v>104038.42061115633</v>
      </c>
      <c r="AM634" s="197" t="str">
        <f t="shared" si="86"/>
        <v>Transit Heavy 8</v>
      </c>
      <c r="AN634" s="3">
        <f t="shared" si="87"/>
        <v>25.939918658268088</v>
      </c>
      <c r="AO634" s="3">
        <f t="shared" si="88"/>
        <v>10.012659219903735</v>
      </c>
      <c r="AP634" s="3">
        <f t="shared" si="89"/>
        <v>0</v>
      </c>
      <c r="AQ634" s="3">
        <f t="shared" si="90"/>
        <v>0</v>
      </c>
      <c r="AR634" s="3">
        <f t="shared" si="91"/>
        <v>10.012659219903735</v>
      </c>
      <c r="AS634" s="81">
        <f t="shared" si="92"/>
        <v>1</v>
      </c>
      <c r="AT634" s="81">
        <f t="shared" si="93"/>
        <v>0</v>
      </c>
    </row>
    <row r="635" spans="1:46" x14ac:dyDescent="0.25">
      <c r="A635" t="s">
        <v>808</v>
      </c>
      <c r="B635">
        <v>2023</v>
      </c>
      <c r="C635" t="s">
        <v>680</v>
      </c>
      <c r="D635" t="s">
        <v>809</v>
      </c>
      <c r="E635" t="s">
        <v>1028</v>
      </c>
      <c r="F635">
        <v>7</v>
      </c>
      <c r="G635" t="s">
        <v>2371</v>
      </c>
      <c r="H635" s="460">
        <v>10046.808129065928</v>
      </c>
      <c r="I635">
        <v>3300</v>
      </c>
      <c r="J635">
        <v>119.99999997072871</v>
      </c>
      <c r="K635" s="67">
        <v>164.217375</v>
      </c>
      <c r="L635" s="159">
        <v>0</v>
      </c>
      <c r="M635" s="159">
        <v>10037</v>
      </c>
      <c r="N635" s="159">
        <v>220</v>
      </c>
      <c r="O635" s="159">
        <v>0</v>
      </c>
      <c r="P635" s="159">
        <v>3070</v>
      </c>
      <c r="Q635" s="159">
        <v>1500</v>
      </c>
      <c r="R635" s="159">
        <v>2000</v>
      </c>
      <c r="S635" s="159">
        <v>56000</v>
      </c>
      <c r="T635" s="159">
        <v>3204</v>
      </c>
      <c r="U635" s="159">
        <v>57476</v>
      </c>
      <c r="V635" s="159">
        <v>4500</v>
      </c>
      <c r="W635" s="159">
        <v>186</v>
      </c>
      <c r="X635" s="159">
        <v>0</v>
      </c>
      <c r="Y635" s="159">
        <v>1500</v>
      </c>
      <c r="Z635" s="159">
        <v>6180</v>
      </c>
      <c r="AA635" s="159">
        <v>0</v>
      </c>
      <c r="AB635" s="159">
        <v>0</v>
      </c>
      <c r="AC635" s="159">
        <v>0</v>
      </c>
      <c r="AD635" s="207">
        <v>145873</v>
      </c>
      <c r="AE635" s="200">
        <v>9.6025452671567546</v>
      </c>
      <c r="AF635" s="200">
        <v>10.635171893699289</v>
      </c>
      <c r="AG635" s="200">
        <v>10.704090943537064</v>
      </c>
      <c r="AH635" s="200">
        <v>1357</v>
      </c>
      <c r="AI635" s="200">
        <v>1252</v>
      </c>
      <c r="AJ635" s="200">
        <v>1445</v>
      </c>
      <c r="AL635" s="197">
        <f t="shared" si="85"/>
        <v>167223.80617939733</v>
      </c>
      <c r="AM635" s="197" t="str">
        <f t="shared" si="86"/>
        <v>Transit Heavy 8</v>
      </c>
      <c r="AN635" s="3">
        <f t="shared" si="87"/>
        <v>4.899016098282317</v>
      </c>
      <c r="AO635" s="3">
        <f t="shared" si="88"/>
        <v>1.890992001599372</v>
      </c>
      <c r="AP635" s="3">
        <f t="shared" si="89"/>
        <v>67.45622429070302</v>
      </c>
      <c r="AQ635" s="3">
        <f t="shared" si="90"/>
        <v>2.4284240744653087</v>
      </c>
      <c r="AR635" s="3">
        <f t="shared" si="91"/>
        <v>4.3194160760646803</v>
      </c>
      <c r="AS635" s="81">
        <f t="shared" si="92"/>
        <v>0.4377888048521158</v>
      </c>
      <c r="AT635" s="81">
        <f t="shared" si="93"/>
        <v>0.56221119514788431</v>
      </c>
    </row>
    <row r="636" spans="1:46" x14ac:dyDescent="0.25">
      <c r="A636" t="s">
        <v>230</v>
      </c>
      <c r="B636">
        <v>2023</v>
      </c>
      <c r="C636" t="s">
        <v>680</v>
      </c>
      <c r="D636" t="s">
        <v>809</v>
      </c>
      <c r="E636" t="s">
        <v>1028</v>
      </c>
      <c r="F636">
        <v>7</v>
      </c>
      <c r="G636" t="s">
        <v>2372</v>
      </c>
      <c r="H636" s="460">
        <v>9814.2088843379424</v>
      </c>
      <c r="I636">
        <v>3300</v>
      </c>
      <c r="J636">
        <v>150.00000001001371</v>
      </c>
      <c r="K636" s="67">
        <v>197.607</v>
      </c>
      <c r="L636" s="159">
        <v>0</v>
      </c>
      <c r="M636" s="159">
        <v>0</v>
      </c>
      <c r="N636" s="159">
        <v>0</v>
      </c>
      <c r="O636" s="159">
        <v>0</v>
      </c>
      <c r="P636" s="159">
        <v>2929</v>
      </c>
      <c r="Q636" s="159">
        <v>1500</v>
      </c>
      <c r="R636" s="159">
        <v>2000</v>
      </c>
      <c r="S636" s="159">
        <v>56000</v>
      </c>
      <c r="T636" s="159">
        <v>0</v>
      </c>
      <c r="U636" s="159">
        <v>69162</v>
      </c>
      <c r="V636" s="159">
        <v>4500</v>
      </c>
      <c r="W636" s="159">
        <v>186</v>
      </c>
      <c r="X636" s="159">
        <v>0</v>
      </c>
      <c r="Y636" s="159">
        <v>1500</v>
      </c>
      <c r="Z636" s="159">
        <v>5838</v>
      </c>
      <c r="AA636" s="159">
        <v>0</v>
      </c>
      <c r="AB636" s="159">
        <v>0</v>
      </c>
      <c r="AC636" s="159">
        <v>0</v>
      </c>
      <c r="AD636" s="207">
        <v>143615</v>
      </c>
      <c r="AE636" s="200">
        <v>0</v>
      </c>
      <c r="AF636" s="200">
        <v>0</v>
      </c>
      <c r="AG636" s="200">
        <v>0</v>
      </c>
      <c r="AH636" s="200">
        <v>1335</v>
      </c>
      <c r="AI636" s="200">
        <v>1141</v>
      </c>
      <c r="AJ636" s="200">
        <v>1313</v>
      </c>
      <c r="AL636" s="197">
        <f t="shared" si="85"/>
        <v>164635.3123912866</v>
      </c>
      <c r="AM636" s="197" t="str">
        <f t="shared" si="86"/>
        <v>Transit Heavy 8</v>
      </c>
      <c r="AN636" s="3">
        <f t="shared" si="87"/>
        <v>0</v>
      </c>
      <c r="AO636" s="3">
        <f t="shared" si="88"/>
        <v>0</v>
      </c>
      <c r="AP636" s="3">
        <f t="shared" si="89"/>
        <v>82.953260342749203</v>
      </c>
      <c r="AQ636" s="3">
        <f t="shared" si="90"/>
        <v>2.9863173723389713</v>
      </c>
      <c r="AR636" s="3">
        <f t="shared" si="91"/>
        <v>2.9863173723389713</v>
      </c>
      <c r="AS636" s="81">
        <f t="shared" si="92"/>
        <v>0</v>
      </c>
      <c r="AT636" s="81">
        <f t="shared" si="93"/>
        <v>1</v>
      </c>
    </row>
    <row r="637" spans="1:46" x14ac:dyDescent="0.25">
      <c r="A637" t="s">
        <v>496</v>
      </c>
      <c r="B637">
        <v>2023</v>
      </c>
      <c r="C637" t="s">
        <v>680</v>
      </c>
      <c r="D637" t="s">
        <v>809</v>
      </c>
      <c r="E637" t="s">
        <v>1028</v>
      </c>
      <c r="F637">
        <v>7</v>
      </c>
      <c r="G637" t="s">
        <v>2373</v>
      </c>
      <c r="H637" s="460">
        <v>9015.5424617687586</v>
      </c>
      <c r="I637">
        <v>3300</v>
      </c>
      <c r="J637">
        <v>150.00000001001371</v>
      </c>
      <c r="K637" s="67">
        <v>6.0984000000000007</v>
      </c>
      <c r="L637" s="159">
        <v>0</v>
      </c>
      <c r="M637" s="159">
        <v>0</v>
      </c>
      <c r="N637" s="159">
        <v>0</v>
      </c>
      <c r="O637" s="159">
        <v>0</v>
      </c>
      <c r="P637" s="159">
        <v>3179</v>
      </c>
      <c r="Q637" s="159">
        <v>1500</v>
      </c>
      <c r="R637" s="159">
        <v>2000</v>
      </c>
      <c r="S637" s="159">
        <v>56000</v>
      </c>
      <c r="T637" s="159">
        <v>0</v>
      </c>
      <c r="U637" s="159">
        <v>4269</v>
      </c>
      <c r="V637" s="159">
        <v>4500</v>
      </c>
      <c r="W637" s="159">
        <v>186</v>
      </c>
      <c r="X637" s="159">
        <v>0</v>
      </c>
      <c r="Y637" s="159">
        <v>1500</v>
      </c>
      <c r="Z637" s="159">
        <v>6446</v>
      </c>
      <c r="AA637" s="159">
        <v>27196</v>
      </c>
      <c r="AB637" s="159">
        <v>10882</v>
      </c>
      <c r="AC637" s="159">
        <v>0</v>
      </c>
      <c r="AD637" s="207">
        <v>117658</v>
      </c>
      <c r="AE637" s="200">
        <v>15.640460414660897</v>
      </c>
      <c r="AF637" s="200">
        <v>18.866428336621311</v>
      </c>
      <c r="AG637" s="200">
        <v>16.002353992995769</v>
      </c>
      <c r="AH637" s="200">
        <v>0</v>
      </c>
      <c r="AI637" s="200">
        <v>0</v>
      </c>
      <c r="AJ637" s="200">
        <v>0</v>
      </c>
      <c r="AL637" s="197">
        <f t="shared" si="85"/>
        <v>134879.09748517911</v>
      </c>
      <c r="AM637" s="197" t="str">
        <f t="shared" si="86"/>
        <v>Transit Heavy 8</v>
      </c>
      <c r="AN637" s="3">
        <f t="shared" si="87"/>
        <v>15.03888715583747</v>
      </c>
      <c r="AO637" s="3">
        <f t="shared" si="88"/>
        <v>5.8049238365669389</v>
      </c>
      <c r="AP637" s="3">
        <f t="shared" si="89"/>
        <v>0</v>
      </c>
      <c r="AQ637" s="3">
        <f t="shared" si="90"/>
        <v>0</v>
      </c>
      <c r="AR637" s="3">
        <f t="shared" si="91"/>
        <v>5.8049238365669389</v>
      </c>
      <c r="AS637" s="81">
        <f t="shared" si="92"/>
        <v>1</v>
      </c>
      <c r="AT637" s="81">
        <f t="shared" si="93"/>
        <v>0</v>
      </c>
    </row>
    <row r="638" spans="1:46" x14ac:dyDescent="0.25">
      <c r="A638" t="s">
        <v>828</v>
      </c>
      <c r="B638">
        <v>2023</v>
      </c>
      <c r="C638" t="s">
        <v>680</v>
      </c>
      <c r="D638" t="s">
        <v>809</v>
      </c>
      <c r="E638" t="s">
        <v>1028</v>
      </c>
      <c r="F638">
        <v>7</v>
      </c>
      <c r="G638" t="s">
        <v>2374</v>
      </c>
      <c r="H638" s="460">
        <v>9108.6939064364196</v>
      </c>
      <c r="I638">
        <v>3300</v>
      </c>
      <c r="J638">
        <v>150.00000001001371</v>
      </c>
      <c r="K638" s="67">
        <v>43.692</v>
      </c>
      <c r="L638" s="159">
        <v>0</v>
      </c>
      <c r="M638" s="159">
        <v>0</v>
      </c>
      <c r="N638" s="159">
        <v>0</v>
      </c>
      <c r="O638" s="159">
        <v>0</v>
      </c>
      <c r="P638" s="159">
        <v>3412</v>
      </c>
      <c r="Q638" s="159">
        <v>1500</v>
      </c>
      <c r="R638" s="159">
        <v>2000</v>
      </c>
      <c r="S638" s="159">
        <v>56000</v>
      </c>
      <c r="T638" s="159">
        <v>0</v>
      </c>
      <c r="U638" s="159">
        <v>15292</v>
      </c>
      <c r="V638" s="159">
        <v>4500</v>
      </c>
      <c r="W638" s="159">
        <v>186</v>
      </c>
      <c r="X638" s="159">
        <v>0</v>
      </c>
      <c r="Y638" s="159">
        <v>1500</v>
      </c>
      <c r="Z638" s="159">
        <v>7009</v>
      </c>
      <c r="AA638" s="159">
        <v>12633</v>
      </c>
      <c r="AB638" s="159">
        <v>7956</v>
      </c>
      <c r="AC638" s="159">
        <v>0</v>
      </c>
      <c r="AD638" s="207">
        <v>111988</v>
      </c>
      <c r="AE638" s="200">
        <v>15.773750576196234</v>
      </c>
      <c r="AF638" s="200">
        <v>17.838063091446319</v>
      </c>
      <c r="AG638" s="200">
        <v>16.335676765919157</v>
      </c>
      <c r="AH638" s="200">
        <v>0</v>
      </c>
      <c r="AI638" s="200">
        <v>0</v>
      </c>
      <c r="AJ638" s="200">
        <v>221.95367217826271</v>
      </c>
      <c r="AL638" s="197">
        <f t="shared" si="85"/>
        <v>128379.20387198693</v>
      </c>
      <c r="AM638" s="197" t="str">
        <f t="shared" si="86"/>
        <v>Transit Heavy 8</v>
      </c>
      <c r="AN638" s="3">
        <f t="shared" si="87"/>
        <v>14.911806681943183</v>
      </c>
      <c r="AO638" s="3">
        <f t="shared" si="88"/>
        <v>5.7558715054717604</v>
      </c>
      <c r="AP638" s="3">
        <f t="shared" si="89"/>
        <v>0</v>
      </c>
      <c r="AQ638" s="3">
        <f t="shared" si="90"/>
        <v>0</v>
      </c>
      <c r="AR638" s="3">
        <f t="shared" si="91"/>
        <v>5.7558715054717604</v>
      </c>
      <c r="AS638" s="81">
        <f t="shared" si="92"/>
        <v>1</v>
      </c>
      <c r="AT638" s="81">
        <f t="shared" si="93"/>
        <v>0</v>
      </c>
    </row>
    <row r="639" spans="1:46" x14ac:dyDescent="0.25">
      <c r="A639" t="s">
        <v>805</v>
      </c>
      <c r="B639">
        <v>2025</v>
      </c>
      <c r="C639" t="s">
        <v>680</v>
      </c>
      <c r="D639" t="s">
        <v>809</v>
      </c>
      <c r="E639" t="s">
        <v>1028</v>
      </c>
      <c r="F639">
        <v>7</v>
      </c>
      <c r="G639" t="s">
        <v>2375</v>
      </c>
      <c r="H639" s="460">
        <v>8684.8754549110981</v>
      </c>
      <c r="I639">
        <v>3300</v>
      </c>
      <c r="J639">
        <v>0</v>
      </c>
      <c r="K639" s="67">
        <v>0</v>
      </c>
      <c r="L639" s="159">
        <v>150</v>
      </c>
      <c r="M639" s="159">
        <v>13811</v>
      </c>
      <c r="N639" s="159">
        <v>1920</v>
      </c>
      <c r="O639" s="159">
        <v>506</v>
      </c>
      <c r="P639" s="159">
        <v>4051</v>
      </c>
      <c r="Q639" s="159">
        <v>1500</v>
      </c>
      <c r="R639" s="159">
        <v>2000</v>
      </c>
      <c r="S639" s="159">
        <v>56372</v>
      </c>
      <c r="T639" s="159">
        <v>92</v>
      </c>
      <c r="U639" s="159">
        <v>120</v>
      </c>
      <c r="V639" s="159">
        <v>0</v>
      </c>
      <c r="W639" s="159">
        <v>186</v>
      </c>
      <c r="X639" s="159">
        <v>0</v>
      </c>
      <c r="Y639" s="159">
        <v>0</v>
      </c>
      <c r="Z639" s="159">
        <v>0</v>
      </c>
      <c r="AA639" s="159">
        <v>0</v>
      </c>
      <c r="AB639" s="159">
        <v>0</v>
      </c>
      <c r="AC639" s="159">
        <v>0</v>
      </c>
      <c r="AD639" s="207">
        <v>80708</v>
      </c>
      <c r="AE639" s="200">
        <v>9.0510774331299277</v>
      </c>
      <c r="AF639" s="200">
        <v>14.2444799280502</v>
      </c>
      <c r="AG639" s="200">
        <v>13.47325928672843</v>
      </c>
      <c r="AH639" s="200">
        <v>0</v>
      </c>
      <c r="AI639" s="200">
        <v>0</v>
      </c>
      <c r="AJ639" s="200">
        <v>0</v>
      </c>
      <c r="AL639" s="197">
        <f t="shared" si="85"/>
        <v>92520.884256351768</v>
      </c>
      <c r="AM639" s="197" t="str">
        <f t="shared" si="86"/>
        <v>Transit Heavy 8</v>
      </c>
      <c r="AN639" s="3">
        <f t="shared" si="87"/>
        <v>25.987527007609419</v>
      </c>
      <c r="AO639" s="3">
        <f t="shared" si="88"/>
        <v>10.031035768583658</v>
      </c>
      <c r="AP639" s="3">
        <f t="shared" si="89"/>
        <v>0</v>
      </c>
      <c r="AQ639" s="3">
        <f t="shared" si="90"/>
        <v>0</v>
      </c>
      <c r="AR639" s="3">
        <f t="shared" si="91"/>
        <v>10.031035768583658</v>
      </c>
      <c r="AS639" s="81">
        <f t="shared" si="92"/>
        <v>1</v>
      </c>
      <c r="AT639" s="81">
        <f t="shared" si="93"/>
        <v>0</v>
      </c>
    </row>
    <row r="640" spans="1:46" x14ac:dyDescent="0.25">
      <c r="A640" t="s">
        <v>807</v>
      </c>
      <c r="B640">
        <v>2025</v>
      </c>
      <c r="C640" t="s">
        <v>680</v>
      </c>
      <c r="D640" t="s">
        <v>809</v>
      </c>
      <c r="E640" t="s">
        <v>1028</v>
      </c>
      <c r="F640">
        <v>7</v>
      </c>
      <c r="G640" t="s">
        <v>2376</v>
      </c>
      <c r="H640" s="460">
        <v>8783.2914291319394</v>
      </c>
      <c r="I640">
        <v>3300</v>
      </c>
      <c r="J640">
        <v>0</v>
      </c>
      <c r="K640" s="67">
        <v>5.0688000000000004</v>
      </c>
      <c r="L640" s="159">
        <v>150</v>
      </c>
      <c r="M640" s="159">
        <v>14062</v>
      </c>
      <c r="N640" s="159">
        <v>220</v>
      </c>
      <c r="O640" s="159">
        <v>392</v>
      </c>
      <c r="P640" s="159">
        <v>4124</v>
      </c>
      <c r="Q640" s="159">
        <v>1500</v>
      </c>
      <c r="R640" s="159">
        <v>2000</v>
      </c>
      <c r="S640" s="159">
        <v>56372</v>
      </c>
      <c r="T640" s="159">
        <v>0</v>
      </c>
      <c r="U640" s="159">
        <v>2395</v>
      </c>
      <c r="V640" s="159">
        <v>4500</v>
      </c>
      <c r="W640" s="159">
        <v>186</v>
      </c>
      <c r="X640" s="159">
        <v>120</v>
      </c>
      <c r="Y640" s="159">
        <v>1500</v>
      </c>
      <c r="Z640" s="159">
        <v>3458</v>
      </c>
      <c r="AA640" s="159">
        <v>0</v>
      </c>
      <c r="AB640" s="159">
        <v>0</v>
      </c>
      <c r="AC640" s="159">
        <v>0</v>
      </c>
      <c r="AD640" s="207">
        <v>90979</v>
      </c>
      <c r="AE640" s="200">
        <v>10.601003675303318</v>
      </c>
      <c r="AF640" s="200">
        <v>14.687908790745372</v>
      </c>
      <c r="AG640" s="200">
        <v>12.624067090601633</v>
      </c>
      <c r="AH640" s="200">
        <v>0</v>
      </c>
      <c r="AI640" s="200">
        <v>0</v>
      </c>
      <c r="AJ640" s="200">
        <v>0</v>
      </c>
      <c r="AL640" s="197">
        <f t="shared" si="85"/>
        <v>104295.2065316775</v>
      </c>
      <c r="AM640" s="197" t="str">
        <f t="shared" si="86"/>
        <v>Transit Heavy 8</v>
      </c>
      <c r="AN640" s="3">
        <f t="shared" si="87"/>
        <v>22.188004687650306</v>
      </c>
      <c r="AO640" s="3">
        <f t="shared" si="88"/>
        <v>8.5644420336783735</v>
      </c>
      <c r="AP640" s="3">
        <f t="shared" si="89"/>
        <v>0</v>
      </c>
      <c r="AQ640" s="3">
        <f t="shared" si="90"/>
        <v>0</v>
      </c>
      <c r="AR640" s="3">
        <f t="shared" si="91"/>
        <v>8.5644420336783735</v>
      </c>
      <c r="AS640" s="81">
        <f t="shared" si="92"/>
        <v>1</v>
      </c>
      <c r="AT640" s="81">
        <f t="shared" si="93"/>
        <v>0</v>
      </c>
    </row>
    <row r="641" spans="1:46" x14ac:dyDescent="0.25">
      <c r="A641" t="s">
        <v>808</v>
      </c>
      <c r="B641">
        <v>2025</v>
      </c>
      <c r="C641" t="s">
        <v>680</v>
      </c>
      <c r="D641" t="s">
        <v>809</v>
      </c>
      <c r="E641" t="s">
        <v>1028</v>
      </c>
      <c r="F641">
        <v>7</v>
      </c>
      <c r="G641" t="s">
        <v>2377</v>
      </c>
      <c r="H641" s="460">
        <v>9725.8359151437471</v>
      </c>
      <c r="I641">
        <v>3300</v>
      </c>
      <c r="J641">
        <v>119.99999997072871</v>
      </c>
      <c r="K641" s="67">
        <v>155.52862500000001</v>
      </c>
      <c r="L641" s="159">
        <v>0</v>
      </c>
      <c r="M641" s="159">
        <v>10248</v>
      </c>
      <c r="N641" s="159">
        <v>220</v>
      </c>
      <c r="O641" s="159">
        <v>0</v>
      </c>
      <c r="P641" s="159">
        <v>3059</v>
      </c>
      <c r="Q641" s="159">
        <v>1500</v>
      </c>
      <c r="R641" s="159">
        <v>2000</v>
      </c>
      <c r="S641" s="159">
        <v>56372</v>
      </c>
      <c r="T641" s="159">
        <v>2865</v>
      </c>
      <c r="U641" s="159">
        <v>43548</v>
      </c>
      <c r="V641" s="159">
        <v>4500</v>
      </c>
      <c r="W641" s="159">
        <v>186</v>
      </c>
      <c r="X641" s="159">
        <v>0</v>
      </c>
      <c r="Y641" s="159">
        <v>1500</v>
      </c>
      <c r="Z641" s="159">
        <v>5170</v>
      </c>
      <c r="AA641" s="159">
        <v>0</v>
      </c>
      <c r="AB641" s="159">
        <v>0</v>
      </c>
      <c r="AC641" s="159">
        <v>0</v>
      </c>
      <c r="AD641" s="207">
        <v>131168</v>
      </c>
      <c r="AE641" s="200">
        <v>10.785764932887245</v>
      </c>
      <c r="AF641" s="200">
        <v>11.805457375370837</v>
      </c>
      <c r="AG641" s="200">
        <v>11.908709340824405</v>
      </c>
      <c r="AH641" s="200">
        <v>1265</v>
      </c>
      <c r="AI641" s="200">
        <v>1166</v>
      </c>
      <c r="AJ641" s="200">
        <v>1343</v>
      </c>
      <c r="AL641" s="197">
        <f t="shared" si="85"/>
        <v>150366.49831661233</v>
      </c>
      <c r="AM641" s="197" t="str">
        <f t="shared" si="86"/>
        <v>Transit Heavy 8</v>
      </c>
      <c r="AN641" s="3">
        <f t="shared" si="87"/>
        <v>4.3615843791333821</v>
      </c>
      <c r="AO641" s="3">
        <f t="shared" si="88"/>
        <v>1.6835464529569086</v>
      </c>
      <c r="AP641" s="3">
        <f t="shared" si="89"/>
        <v>62.882920948960447</v>
      </c>
      <c r="AQ641" s="3">
        <f t="shared" si="90"/>
        <v>2.263785154162576</v>
      </c>
      <c r="AR641" s="3">
        <f t="shared" si="91"/>
        <v>3.9473316071194846</v>
      </c>
      <c r="AS641" s="81">
        <f t="shared" si="92"/>
        <v>0.42650241239434539</v>
      </c>
      <c r="AT641" s="81">
        <f t="shared" si="93"/>
        <v>0.57349758760565461</v>
      </c>
    </row>
    <row r="642" spans="1:46" x14ac:dyDescent="0.25">
      <c r="A642" t="s">
        <v>230</v>
      </c>
      <c r="B642">
        <v>2025</v>
      </c>
      <c r="C642" t="s">
        <v>680</v>
      </c>
      <c r="D642" t="s">
        <v>809</v>
      </c>
      <c r="E642" t="s">
        <v>1028</v>
      </c>
      <c r="F642">
        <v>7</v>
      </c>
      <c r="G642" t="s">
        <v>2378</v>
      </c>
      <c r="H642" s="460">
        <v>9522.3773695924156</v>
      </c>
      <c r="I642">
        <v>3300</v>
      </c>
      <c r="J642">
        <v>150.00000001001371</v>
      </c>
      <c r="K642" s="67">
        <v>193.63499999999999</v>
      </c>
      <c r="L642" s="159">
        <v>0</v>
      </c>
      <c r="M642" s="159">
        <v>0</v>
      </c>
      <c r="N642" s="159">
        <v>0</v>
      </c>
      <c r="O642" s="159">
        <v>0</v>
      </c>
      <c r="P642" s="159">
        <v>2922</v>
      </c>
      <c r="Q642" s="159">
        <v>1500</v>
      </c>
      <c r="R642" s="159">
        <v>2000</v>
      </c>
      <c r="S642" s="159">
        <v>56372</v>
      </c>
      <c r="T642" s="159">
        <v>0</v>
      </c>
      <c r="U642" s="159">
        <v>54218</v>
      </c>
      <c r="V642" s="159">
        <v>4500</v>
      </c>
      <c r="W642" s="159">
        <v>186</v>
      </c>
      <c r="X642" s="159">
        <v>0</v>
      </c>
      <c r="Y642" s="159">
        <v>1500</v>
      </c>
      <c r="Z642" s="159">
        <v>4887</v>
      </c>
      <c r="AA642" s="159">
        <v>0</v>
      </c>
      <c r="AB642" s="159">
        <v>0</v>
      </c>
      <c r="AC642" s="159">
        <v>0</v>
      </c>
      <c r="AD642" s="207">
        <v>128085</v>
      </c>
      <c r="AE642" s="200">
        <v>0</v>
      </c>
      <c r="AF642" s="200">
        <v>0</v>
      </c>
      <c r="AG642" s="200">
        <v>0</v>
      </c>
      <c r="AH642" s="200">
        <v>1246</v>
      </c>
      <c r="AI642" s="200">
        <v>1059</v>
      </c>
      <c r="AJ642" s="200">
        <v>1214</v>
      </c>
      <c r="AL642" s="197">
        <f t="shared" si="85"/>
        <v>146832.25281229638</v>
      </c>
      <c r="AM642" s="197" t="str">
        <f t="shared" si="86"/>
        <v>Transit Heavy 8</v>
      </c>
      <c r="AN642" s="3">
        <f t="shared" si="87"/>
        <v>0</v>
      </c>
      <c r="AO642" s="3">
        <f t="shared" si="88"/>
        <v>0</v>
      </c>
      <c r="AP642" s="3">
        <f t="shared" si="89"/>
        <v>77.423042986565918</v>
      </c>
      <c r="AQ642" s="3">
        <f t="shared" si="90"/>
        <v>2.7872295475163731</v>
      </c>
      <c r="AR642" s="3">
        <f t="shared" si="91"/>
        <v>2.7872295475163731</v>
      </c>
      <c r="AS642" s="81">
        <f t="shared" si="92"/>
        <v>0</v>
      </c>
      <c r="AT642" s="81">
        <f t="shared" si="93"/>
        <v>1</v>
      </c>
    </row>
    <row r="643" spans="1:46" x14ac:dyDescent="0.25">
      <c r="A643" t="s">
        <v>496</v>
      </c>
      <c r="B643">
        <v>2025</v>
      </c>
      <c r="C643" t="s">
        <v>680</v>
      </c>
      <c r="D643" t="s">
        <v>809</v>
      </c>
      <c r="E643" t="s">
        <v>1028</v>
      </c>
      <c r="F643">
        <v>7</v>
      </c>
      <c r="G643" t="s">
        <v>2379</v>
      </c>
      <c r="H643" s="460">
        <v>8784.3718781605203</v>
      </c>
      <c r="I643">
        <v>3300</v>
      </c>
      <c r="J643">
        <v>150.00000001001371</v>
      </c>
      <c r="K643" s="67">
        <v>6.0192000000000005</v>
      </c>
      <c r="L643" s="159">
        <v>0</v>
      </c>
      <c r="M643" s="159">
        <v>0</v>
      </c>
      <c r="N643" s="159">
        <v>0</v>
      </c>
      <c r="O643" s="159">
        <v>0</v>
      </c>
      <c r="P643" s="159">
        <v>3168</v>
      </c>
      <c r="Q643" s="159">
        <v>1500</v>
      </c>
      <c r="R643" s="159">
        <v>2000</v>
      </c>
      <c r="S643" s="159">
        <v>56372</v>
      </c>
      <c r="T643" s="159">
        <v>0</v>
      </c>
      <c r="U643" s="159">
        <v>2844</v>
      </c>
      <c r="V643" s="159">
        <v>4500</v>
      </c>
      <c r="W643" s="159">
        <v>186</v>
      </c>
      <c r="X643" s="159">
        <v>0</v>
      </c>
      <c r="Y643" s="159">
        <v>1500</v>
      </c>
      <c r="Z643" s="159">
        <v>5395</v>
      </c>
      <c r="AA643" s="159">
        <v>20035</v>
      </c>
      <c r="AB643" s="159">
        <v>8164</v>
      </c>
      <c r="AC643" s="159">
        <v>0</v>
      </c>
      <c r="AD643" s="207">
        <v>105664</v>
      </c>
      <c r="AE643" s="200">
        <v>16.649769603497582</v>
      </c>
      <c r="AF643" s="200">
        <v>20.373307706246639</v>
      </c>
      <c r="AG643" s="200">
        <v>17.356949791427201</v>
      </c>
      <c r="AH643" s="200">
        <v>0</v>
      </c>
      <c r="AI643" s="200">
        <v>0</v>
      </c>
      <c r="AJ643" s="200">
        <v>0</v>
      </c>
      <c r="AL643" s="197">
        <f t="shared" ref="AL643:AL706" si="94">AD643*USD2023_to_CAD2020</f>
        <v>121129.58708013025</v>
      </c>
      <c r="AM643" s="197" t="str">
        <f t="shared" ref="AM643:AM706" si="95">IF(AND(F643&lt;5, D643="School"), $BF$2, IF(F643&lt;5, $BA$2,
IF(AND(F643&lt;=7, D643="School"), $BE$2, IF(F643&lt;7, $AZ$2,
IF(AND(F643&lt;8, E643="DayCab"), $BC$2, IF(F643&lt;8, $AZ$2,
IF(VLOOKUP(D643, $BH$3:$BI$10, 2, FALSE)="Longhaul", $AY$2,
IF(VLOOKUP(D643, $BH$3:$BI$10, 2, FALSE)="Drayage", $BB$2,
IF(VLOOKUP(D643, $BH$3:$BI$10, 2, FALSE)="Regional", $BC$2,
IF(VLOOKUP(D643, $BH$3:$BI$10, 2, FALSE)="Transit", $BE$2,
IF(VLOOKUP(D643, $BH$3:$BI$10, 2, FALSE)="Vocational", $BD$2, NA())))))))))))</f>
        <v>Transit Heavy 8</v>
      </c>
      <c r="AN643" s="3">
        <f t="shared" ref="AN643:AN706" si="96">(IFERROR(L_100km_to_mpg/AE643 * HLOOKUP($AM643, $AY$2:$BF$6, 2, FALSE) +
L_100km_to_mpg/AF643 * HLOOKUP($AM643, $AY$2:$BF$6, 3, FALSE) +
L_100km_to_mpg/AG643 * HLOOKUP($AM643, $AY$2:$BF$6, 4, FALSE), 0)) *
IF(ISERROR(SEARCH("PHEV",$A643)), 1, 1-HLOOKUP($AM643, $AY$2:$BF$6, 5, FALSE))</f>
        <v>14.127229676020081</v>
      </c>
      <c r="AO643" s="3">
        <f t="shared" ref="AO643:AO706" si="97">AN643*DSL_PJ_ML*10</f>
        <v>5.4530292993888789</v>
      </c>
      <c r="AP643" s="3">
        <f t="shared" ref="AP643:AP706" si="98">(AH643/km_mile/10 * HLOOKUP($AM643, $AY$2:$BF$6, 2, FALSE) +
AI643/km_mile/10 * HLOOKUP($AM643, $AY$2:$BF$6, 3, FALSE) +
AJ643/km_mile/10 * HLOOKUP($AM643, $AY$2:$BF$6, 4, FALSE)) *
IF(ISERROR(SEARCH("PHEV",$A643)), 1, HLOOKUP($AM643, $AY$2:$BF$6, 5, FALSE))</f>
        <v>0</v>
      </c>
      <c r="AQ643" s="3">
        <f t="shared" si="90"/>
        <v>0</v>
      </c>
      <c r="AR643" s="3">
        <f t="shared" si="91"/>
        <v>5.4530292993888789</v>
      </c>
      <c r="AS643" s="81">
        <f t="shared" si="92"/>
        <v>1</v>
      </c>
      <c r="AT643" s="81">
        <f t="shared" si="93"/>
        <v>0</v>
      </c>
    </row>
    <row r="644" spans="1:46" x14ac:dyDescent="0.25">
      <c r="A644" t="s">
        <v>828</v>
      </c>
      <c r="B644">
        <v>2025</v>
      </c>
      <c r="C644" t="s">
        <v>680</v>
      </c>
      <c r="D644" t="s">
        <v>809</v>
      </c>
      <c r="E644" t="s">
        <v>1028</v>
      </c>
      <c r="F644">
        <v>7</v>
      </c>
      <c r="G644" t="s">
        <v>2380</v>
      </c>
      <c r="H644" s="460">
        <v>8850.6923409216997</v>
      </c>
      <c r="I644">
        <v>3300</v>
      </c>
      <c r="J644">
        <v>150.00000001001371</v>
      </c>
      <c r="K644" s="67">
        <v>42.202500000000001</v>
      </c>
      <c r="L644" s="159">
        <v>0</v>
      </c>
      <c r="M644" s="159">
        <v>0</v>
      </c>
      <c r="N644" s="159">
        <v>0</v>
      </c>
      <c r="O644" s="159">
        <v>0</v>
      </c>
      <c r="P644" s="159">
        <v>3400</v>
      </c>
      <c r="Q644" s="159">
        <v>1500</v>
      </c>
      <c r="R644" s="159">
        <v>2000</v>
      </c>
      <c r="S644" s="159">
        <v>56372</v>
      </c>
      <c r="T644" s="159">
        <v>0</v>
      </c>
      <c r="U644" s="159">
        <v>11817</v>
      </c>
      <c r="V644" s="159">
        <v>4500</v>
      </c>
      <c r="W644" s="159">
        <v>186</v>
      </c>
      <c r="X644" s="159">
        <v>0</v>
      </c>
      <c r="Y644" s="159">
        <v>1500</v>
      </c>
      <c r="Z644" s="159">
        <v>5874</v>
      </c>
      <c r="AA644" s="159">
        <v>8802</v>
      </c>
      <c r="AB644" s="159">
        <v>5920</v>
      </c>
      <c r="AC644" s="159">
        <v>0</v>
      </c>
      <c r="AD644" s="207">
        <v>101871</v>
      </c>
      <c r="AE644" s="200">
        <v>16.847408999307905</v>
      </c>
      <c r="AF644" s="200">
        <v>19.201194998509241</v>
      </c>
      <c r="AG644" s="200">
        <v>17.530445049676459</v>
      </c>
      <c r="AH644" s="200">
        <v>0</v>
      </c>
      <c r="AI644" s="200">
        <v>0</v>
      </c>
      <c r="AJ644" s="200">
        <v>187.89263909034838</v>
      </c>
      <c r="AL644" s="197">
        <f t="shared" si="94"/>
        <v>116781.42191701951</v>
      </c>
      <c r="AM644" s="197" t="str">
        <f t="shared" si="95"/>
        <v>Transit Heavy 8</v>
      </c>
      <c r="AN644" s="3">
        <f t="shared" si="96"/>
        <v>13.9615010979487</v>
      </c>
      <c r="AO644" s="3">
        <f t="shared" si="97"/>
        <v>5.3890590226471256</v>
      </c>
      <c r="AP644" s="3">
        <f t="shared" si="98"/>
        <v>0</v>
      </c>
      <c r="AQ644" s="3">
        <f t="shared" si="90"/>
        <v>0</v>
      </c>
      <c r="AR644" s="3">
        <f t="shared" si="91"/>
        <v>5.3890590226471256</v>
      </c>
      <c r="AS644" s="81">
        <f t="shared" si="92"/>
        <v>1</v>
      </c>
      <c r="AT644" s="81">
        <f t="shared" si="93"/>
        <v>0</v>
      </c>
    </row>
    <row r="645" spans="1:46" x14ac:dyDescent="0.25">
      <c r="A645" t="s">
        <v>805</v>
      </c>
      <c r="B645">
        <v>2030</v>
      </c>
      <c r="C645" t="s">
        <v>680</v>
      </c>
      <c r="D645" t="s">
        <v>809</v>
      </c>
      <c r="E645" t="s">
        <v>1028</v>
      </c>
      <c r="F645">
        <v>7</v>
      </c>
      <c r="G645" t="s">
        <v>2381</v>
      </c>
      <c r="H645" s="460">
        <v>8601.6754549110974</v>
      </c>
      <c r="I645">
        <v>3300</v>
      </c>
      <c r="J645">
        <v>0</v>
      </c>
      <c r="K645" s="67">
        <v>0</v>
      </c>
      <c r="L645" s="159">
        <v>150</v>
      </c>
      <c r="M645" s="159">
        <v>14155</v>
      </c>
      <c r="N645" s="159">
        <v>1920</v>
      </c>
      <c r="O645" s="159">
        <v>506</v>
      </c>
      <c r="P645" s="159">
        <v>4051</v>
      </c>
      <c r="Q645" s="159">
        <v>1500</v>
      </c>
      <c r="R645" s="159">
        <v>2000</v>
      </c>
      <c r="S645" s="159">
        <v>56788</v>
      </c>
      <c r="T645" s="159">
        <v>73</v>
      </c>
      <c r="U645" s="159">
        <v>120</v>
      </c>
      <c r="V645" s="159">
        <v>0</v>
      </c>
      <c r="W645" s="159">
        <v>186</v>
      </c>
      <c r="X645" s="159">
        <v>0</v>
      </c>
      <c r="Y645" s="159">
        <v>0</v>
      </c>
      <c r="Z645" s="159">
        <v>0</v>
      </c>
      <c r="AA645" s="159">
        <v>0</v>
      </c>
      <c r="AB645" s="159">
        <v>0</v>
      </c>
      <c r="AC645" s="159">
        <v>0</v>
      </c>
      <c r="AD645" s="207">
        <v>81449</v>
      </c>
      <c r="AE645" s="200">
        <v>9.5631818784752731</v>
      </c>
      <c r="AF645" s="200">
        <v>15.445770950221323</v>
      </c>
      <c r="AG645" s="200">
        <v>14.788764434997832</v>
      </c>
      <c r="AH645" s="200">
        <v>0</v>
      </c>
      <c r="AI645" s="200">
        <v>0</v>
      </c>
      <c r="AJ645" s="200">
        <v>0</v>
      </c>
      <c r="AL645" s="197">
        <f t="shared" si="94"/>
        <v>93370.341252361541</v>
      </c>
      <c r="AM645" s="197" t="str">
        <f t="shared" si="95"/>
        <v>Transit Heavy 8</v>
      </c>
      <c r="AN645" s="3">
        <f t="shared" si="96"/>
        <v>24.595905654670052</v>
      </c>
      <c r="AO645" s="3">
        <f t="shared" si="97"/>
        <v>9.4938779403850724</v>
      </c>
      <c r="AP645" s="3">
        <f t="shared" si="98"/>
        <v>0</v>
      </c>
      <c r="AQ645" s="3">
        <f t="shared" si="90"/>
        <v>0</v>
      </c>
      <c r="AR645" s="3">
        <f t="shared" si="91"/>
        <v>9.4938779403850724</v>
      </c>
      <c r="AS645" s="81">
        <f t="shared" si="92"/>
        <v>1</v>
      </c>
      <c r="AT645" s="81">
        <f t="shared" si="93"/>
        <v>0</v>
      </c>
    </row>
    <row r="646" spans="1:46" x14ac:dyDescent="0.25">
      <c r="A646" t="s">
        <v>807</v>
      </c>
      <c r="B646">
        <v>2030</v>
      </c>
      <c r="C646" t="s">
        <v>680</v>
      </c>
      <c r="D646" t="s">
        <v>809</v>
      </c>
      <c r="E646" t="s">
        <v>1028</v>
      </c>
      <c r="F646">
        <v>7</v>
      </c>
      <c r="G646" t="s">
        <v>2382</v>
      </c>
      <c r="H646" s="460">
        <v>8685.2934849530047</v>
      </c>
      <c r="I646">
        <v>3300</v>
      </c>
      <c r="J646">
        <v>0</v>
      </c>
      <c r="K646" s="67">
        <v>4.2768000000000006</v>
      </c>
      <c r="L646" s="159">
        <v>150</v>
      </c>
      <c r="M646" s="159">
        <v>14301</v>
      </c>
      <c r="N646" s="159">
        <v>220</v>
      </c>
      <c r="O646" s="159">
        <v>392</v>
      </c>
      <c r="P646" s="159">
        <v>4094</v>
      </c>
      <c r="Q646" s="159">
        <v>1500</v>
      </c>
      <c r="R646" s="159">
        <v>2000</v>
      </c>
      <c r="S646" s="159">
        <v>56788</v>
      </c>
      <c r="T646" s="159">
        <v>0</v>
      </c>
      <c r="U646" s="159">
        <v>1536</v>
      </c>
      <c r="V646" s="159">
        <v>4500</v>
      </c>
      <c r="W646" s="159">
        <v>186</v>
      </c>
      <c r="X646" s="159">
        <v>120</v>
      </c>
      <c r="Y646" s="159">
        <v>1500</v>
      </c>
      <c r="Z646" s="159">
        <v>2713</v>
      </c>
      <c r="AA646" s="159">
        <v>0</v>
      </c>
      <c r="AB646" s="159">
        <v>0</v>
      </c>
      <c r="AC646" s="159">
        <v>0</v>
      </c>
      <c r="AD646" s="207">
        <v>90000</v>
      </c>
      <c r="AE646" s="200">
        <v>11.20499790880212</v>
      </c>
      <c r="AF646" s="200">
        <v>16.154304429501209</v>
      </c>
      <c r="AG646" s="200">
        <v>13.959868082289175</v>
      </c>
      <c r="AH646" s="200">
        <v>0</v>
      </c>
      <c r="AI646" s="200">
        <v>0</v>
      </c>
      <c r="AJ646" s="200">
        <v>0</v>
      </c>
      <c r="AL646" s="197">
        <f t="shared" si="94"/>
        <v>103172.91449511398</v>
      </c>
      <c r="AM646" s="197" t="str">
        <f t="shared" si="95"/>
        <v>Transit Heavy 8</v>
      </c>
      <c r="AN646" s="3">
        <f t="shared" si="96"/>
        <v>20.991982431041258</v>
      </c>
      <c r="AO646" s="3">
        <f t="shared" si="97"/>
        <v>8.1027843302518594</v>
      </c>
      <c r="AP646" s="3">
        <f t="shared" si="98"/>
        <v>0</v>
      </c>
      <c r="AQ646" s="3">
        <f t="shared" si="90"/>
        <v>0</v>
      </c>
      <c r="AR646" s="3">
        <f t="shared" si="91"/>
        <v>8.1027843302518594</v>
      </c>
      <c r="AS646" s="81">
        <f t="shared" si="92"/>
        <v>1</v>
      </c>
      <c r="AT646" s="81">
        <f t="shared" si="93"/>
        <v>0</v>
      </c>
    </row>
    <row r="647" spans="1:46" x14ac:dyDescent="0.25">
      <c r="A647" t="s">
        <v>808</v>
      </c>
      <c r="B647">
        <v>2030</v>
      </c>
      <c r="C647" t="s">
        <v>680</v>
      </c>
      <c r="D647" t="s">
        <v>809</v>
      </c>
      <c r="E647" t="s">
        <v>1028</v>
      </c>
      <c r="F647">
        <v>7</v>
      </c>
      <c r="G647" t="s">
        <v>2383</v>
      </c>
      <c r="H647" s="460">
        <v>9404.3818592618227</v>
      </c>
      <c r="I647">
        <v>3300</v>
      </c>
      <c r="J647">
        <v>119.99999997072871</v>
      </c>
      <c r="K647" s="67">
        <v>147.4605</v>
      </c>
      <c r="L647" s="159">
        <v>0</v>
      </c>
      <c r="M647" s="159">
        <v>10415</v>
      </c>
      <c r="N647" s="159">
        <v>220</v>
      </c>
      <c r="O647" s="159">
        <v>0</v>
      </c>
      <c r="P647" s="159">
        <v>3049</v>
      </c>
      <c r="Q647" s="159">
        <v>1500</v>
      </c>
      <c r="R647" s="159">
        <v>2000</v>
      </c>
      <c r="S647" s="159">
        <v>56788</v>
      </c>
      <c r="T647" s="159">
        <v>2172</v>
      </c>
      <c r="U647" s="159">
        <v>29492</v>
      </c>
      <c r="V647" s="159">
        <v>4500</v>
      </c>
      <c r="W647" s="159">
        <v>186</v>
      </c>
      <c r="X647" s="159">
        <v>0</v>
      </c>
      <c r="Y647" s="159">
        <v>1500</v>
      </c>
      <c r="Z647" s="159">
        <v>4065</v>
      </c>
      <c r="AA647" s="159">
        <v>0</v>
      </c>
      <c r="AB647" s="159">
        <v>0</v>
      </c>
      <c r="AC647" s="159">
        <v>0</v>
      </c>
      <c r="AD647" s="207">
        <v>115887</v>
      </c>
      <c r="AE647" s="200">
        <v>11.900936788408652</v>
      </c>
      <c r="AF647" s="200">
        <v>13.027444533725204</v>
      </c>
      <c r="AG647" s="200">
        <v>13.143156959953982</v>
      </c>
      <c r="AH647" s="200">
        <v>1197</v>
      </c>
      <c r="AI647" s="200">
        <v>1094</v>
      </c>
      <c r="AJ647" s="200">
        <v>1256</v>
      </c>
      <c r="AL647" s="197">
        <f t="shared" si="94"/>
        <v>132848.8838010586</v>
      </c>
      <c r="AM647" s="197" t="str">
        <f t="shared" si="95"/>
        <v>Transit Heavy 8</v>
      </c>
      <c r="AN647" s="3">
        <f t="shared" si="96"/>
        <v>3.9528841035526607</v>
      </c>
      <c r="AO647" s="3">
        <f t="shared" si="97"/>
        <v>1.5257905001961944</v>
      </c>
      <c r="AP647" s="3">
        <f t="shared" si="98"/>
        <v>59.502653261585493</v>
      </c>
      <c r="AQ647" s="3">
        <f t="shared" si="90"/>
        <v>2.1420955174170775</v>
      </c>
      <c r="AR647" s="3">
        <f t="shared" si="91"/>
        <v>3.6678860176132719</v>
      </c>
      <c r="AS647" s="81">
        <f t="shared" si="92"/>
        <v>0.41598634550509855</v>
      </c>
      <c r="AT647" s="81">
        <f t="shared" si="93"/>
        <v>0.5840136544949015</v>
      </c>
    </row>
    <row r="648" spans="1:46" x14ac:dyDescent="0.25">
      <c r="A648" t="s">
        <v>230</v>
      </c>
      <c r="B648">
        <v>2030</v>
      </c>
      <c r="C648" t="s">
        <v>680</v>
      </c>
      <c r="D648" t="s">
        <v>809</v>
      </c>
      <c r="E648" t="s">
        <v>1028</v>
      </c>
      <c r="F648">
        <v>7</v>
      </c>
      <c r="G648" t="s">
        <v>2384</v>
      </c>
      <c r="H648" s="460">
        <v>9143.0579674389028</v>
      </c>
      <c r="I648">
        <v>3300</v>
      </c>
      <c r="J648">
        <v>150.00000001001371</v>
      </c>
      <c r="K648" s="67">
        <v>178.74</v>
      </c>
      <c r="L648" s="159">
        <v>0</v>
      </c>
      <c r="M648" s="159">
        <v>0</v>
      </c>
      <c r="N648" s="159">
        <v>0</v>
      </c>
      <c r="O648" s="159">
        <v>0</v>
      </c>
      <c r="P648" s="159">
        <v>2897</v>
      </c>
      <c r="Q648" s="159">
        <v>1500</v>
      </c>
      <c r="R648" s="159">
        <v>2000</v>
      </c>
      <c r="S648" s="159">
        <v>56788</v>
      </c>
      <c r="T648" s="159">
        <v>0</v>
      </c>
      <c r="U648" s="159">
        <v>35748</v>
      </c>
      <c r="V648" s="159">
        <v>4500</v>
      </c>
      <c r="W648" s="159">
        <v>186</v>
      </c>
      <c r="X648" s="159">
        <v>0</v>
      </c>
      <c r="Y648" s="159">
        <v>1500</v>
      </c>
      <c r="Z648" s="159">
        <v>3815</v>
      </c>
      <c r="AA648" s="159">
        <v>0</v>
      </c>
      <c r="AB648" s="159">
        <v>0</v>
      </c>
      <c r="AC648" s="159">
        <v>0</v>
      </c>
      <c r="AD648" s="207">
        <v>108934</v>
      </c>
      <c r="AE648" s="200">
        <v>0</v>
      </c>
      <c r="AF648" s="200">
        <v>0</v>
      </c>
      <c r="AG648" s="200">
        <v>0</v>
      </c>
      <c r="AH648" s="200">
        <v>1176</v>
      </c>
      <c r="AI648" s="200">
        <v>986</v>
      </c>
      <c r="AJ648" s="200">
        <v>1128</v>
      </c>
      <c r="AL648" s="197">
        <f t="shared" si="94"/>
        <v>124878.20297345273</v>
      </c>
      <c r="AM648" s="197" t="str">
        <f t="shared" si="95"/>
        <v>Transit Heavy 8</v>
      </c>
      <c r="AN648" s="3">
        <f t="shared" si="96"/>
        <v>0</v>
      </c>
      <c r="AO648" s="3">
        <f t="shared" si="97"/>
        <v>0</v>
      </c>
      <c r="AP648" s="3">
        <f t="shared" si="98"/>
        <v>73.073433830017279</v>
      </c>
      <c r="AQ648" s="3">
        <f t="shared" si="90"/>
        <v>2.6306436178806223</v>
      </c>
      <c r="AR648" s="3">
        <f t="shared" si="91"/>
        <v>2.6306436178806223</v>
      </c>
      <c r="AS648" s="81">
        <f t="shared" si="92"/>
        <v>0</v>
      </c>
      <c r="AT648" s="81">
        <f t="shared" si="93"/>
        <v>1</v>
      </c>
    </row>
    <row r="649" spans="1:46" x14ac:dyDescent="0.25">
      <c r="A649" t="s">
        <v>496</v>
      </c>
      <c r="B649">
        <v>2030</v>
      </c>
      <c r="C649" t="s">
        <v>680</v>
      </c>
      <c r="D649" t="s">
        <v>809</v>
      </c>
      <c r="E649" t="s">
        <v>1028</v>
      </c>
      <c r="F649">
        <v>7</v>
      </c>
      <c r="G649" t="s">
        <v>2385</v>
      </c>
      <c r="H649" s="460">
        <v>8588.5610198286631</v>
      </c>
      <c r="I649">
        <v>3300</v>
      </c>
      <c r="J649">
        <v>150.00000001001371</v>
      </c>
      <c r="K649" s="67">
        <v>6.1776000000000009</v>
      </c>
      <c r="L649" s="159">
        <v>0</v>
      </c>
      <c r="M649" s="159">
        <v>0</v>
      </c>
      <c r="N649" s="159">
        <v>0</v>
      </c>
      <c r="O649" s="159">
        <v>0</v>
      </c>
      <c r="P649" s="159">
        <v>3156</v>
      </c>
      <c r="Q649" s="159">
        <v>1500</v>
      </c>
      <c r="R649" s="159">
        <v>2000</v>
      </c>
      <c r="S649" s="159">
        <v>56788</v>
      </c>
      <c r="T649" s="159">
        <v>0</v>
      </c>
      <c r="U649" s="159">
        <v>2218</v>
      </c>
      <c r="V649" s="159">
        <v>4500</v>
      </c>
      <c r="W649" s="159">
        <v>186</v>
      </c>
      <c r="X649" s="159">
        <v>0</v>
      </c>
      <c r="Y649" s="159">
        <v>1500</v>
      </c>
      <c r="Z649" s="159">
        <v>4240</v>
      </c>
      <c r="AA649" s="159">
        <v>17339</v>
      </c>
      <c r="AB649" s="159">
        <v>6647</v>
      </c>
      <c r="AC649" s="159">
        <v>0</v>
      </c>
      <c r="AD649" s="207">
        <v>100074</v>
      </c>
      <c r="AE649" s="200">
        <v>17.77656241353408</v>
      </c>
      <c r="AF649" s="200">
        <v>22.136649805612695</v>
      </c>
      <c r="AG649" s="200">
        <v>18.952979631062345</v>
      </c>
      <c r="AH649" s="200">
        <v>0</v>
      </c>
      <c r="AI649" s="200">
        <v>0</v>
      </c>
      <c r="AJ649" s="200">
        <v>0</v>
      </c>
      <c r="AL649" s="197">
        <f t="shared" si="94"/>
        <v>114721.40272426707</v>
      </c>
      <c r="AM649" s="197" t="str">
        <f t="shared" si="95"/>
        <v>Transit Heavy 8</v>
      </c>
      <c r="AN649" s="3">
        <f t="shared" si="96"/>
        <v>13.231755036190153</v>
      </c>
      <c r="AO649" s="3">
        <f t="shared" si="97"/>
        <v>5.1073812452526237</v>
      </c>
      <c r="AP649" s="3">
        <f t="shared" si="98"/>
        <v>0</v>
      </c>
      <c r="AQ649" s="3">
        <f t="shared" si="90"/>
        <v>0</v>
      </c>
      <c r="AR649" s="3">
        <f t="shared" si="91"/>
        <v>5.1073812452526237</v>
      </c>
      <c r="AS649" s="81">
        <f t="shared" si="92"/>
        <v>1</v>
      </c>
      <c r="AT649" s="81">
        <f t="shared" si="93"/>
        <v>0</v>
      </c>
    </row>
    <row r="650" spans="1:46" x14ac:dyDescent="0.25">
      <c r="A650" t="s">
        <v>828</v>
      </c>
      <c r="B650">
        <v>2030</v>
      </c>
      <c r="C650" t="s">
        <v>680</v>
      </c>
      <c r="D650" t="s">
        <v>809</v>
      </c>
      <c r="E650" t="s">
        <v>1028</v>
      </c>
      <c r="F650">
        <v>7</v>
      </c>
      <c r="G650" t="s">
        <v>2386</v>
      </c>
      <c r="H650" s="460">
        <v>8637.4921256805737</v>
      </c>
      <c r="I650">
        <v>3300</v>
      </c>
      <c r="J650">
        <v>150.00000001001371</v>
      </c>
      <c r="K650" s="67">
        <v>43.195500000000003</v>
      </c>
      <c r="L650" s="159">
        <v>0</v>
      </c>
      <c r="M650" s="159">
        <v>0</v>
      </c>
      <c r="N650" s="159">
        <v>0</v>
      </c>
      <c r="O650" s="159">
        <v>0</v>
      </c>
      <c r="P650" s="159">
        <v>3388</v>
      </c>
      <c r="Q650" s="159">
        <v>1500</v>
      </c>
      <c r="R650" s="159">
        <v>2000</v>
      </c>
      <c r="S650" s="159">
        <v>56788</v>
      </c>
      <c r="T650" s="159">
        <v>0</v>
      </c>
      <c r="U650" s="159">
        <v>8639</v>
      </c>
      <c r="V650" s="159">
        <v>4500</v>
      </c>
      <c r="W650" s="159">
        <v>186</v>
      </c>
      <c r="X650" s="159">
        <v>0</v>
      </c>
      <c r="Y650" s="159">
        <v>1500</v>
      </c>
      <c r="Z650" s="159">
        <v>4622</v>
      </c>
      <c r="AA650" s="159">
        <v>7249</v>
      </c>
      <c r="AB650" s="159">
        <v>4684</v>
      </c>
      <c r="AC650" s="159">
        <v>0</v>
      </c>
      <c r="AD650" s="207">
        <v>95056</v>
      </c>
      <c r="AE650" s="200">
        <v>18.020796130733473</v>
      </c>
      <c r="AF650" s="200">
        <v>20.819487417504728</v>
      </c>
      <c r="AG650" s="200">
        <v>20.632511805866908</v>
      </c>
      <c r="AH650" s="200">
        <v>0</v>
      </c>
      <c r="AI650" s="200">
        <v>0</v>
      </c>
      <c r="AJ650" s="200">
        <v>0</v>
      </c>
      <c r="AL650" s="197">
        <f t="shared" si="94"/>
        <v>108968.93955830616</v>
      </c>
      <c r="AM650" s="197" t="str">
        <f t="shared" si="95"/>
        <v>Transit Heavy 8</v>
      </c>
      <c r="AN650" s="3">
        <f t="shared" si="96"/>
        <v>13.052426626162301</v>
      </c>
      <c r="AO650" s="3">
        <f t="shared" si="97"/>
        <v>5.0381615116940628</v>
      </c>
      <c r="AP650" s="3">
        <f t="shared" si="98"/>
        <v>0</v>
      </c>
      <c r="AQ650" s="3">
        <f t="shared" si="90"/>
        <v>0</v>
      </c>
      <c r="AR650" s="3">
        <f t="shared" si="91"/>
        <v>5.0381615116940628</v>
      </c>
      <c r="AS650" s="81">
        <f t="shared" si="92"/>
        <v>1</v>
      </c>
      <c r="AT650" s="81">
        <f t="shared" si="93"/>
        <v>0</v>
      </c>
    </row>
    <row r="651" spans="1:46" x14ac:dyDescent="0.25">
      <c r="A651" t="s">
        <v>805</v>
      </c>
      <c r="B651">
        <v>2035</v>
      </c>
      <c r="C651" t="s">
        <v>680</v>
      </c>
      <c r="D651" t="s">
        <v>809</v>
      </c>
      <c r="E651" t="s">
        <v>1028</v>
      </c>
      <c r="F651">
        <v>7</v>
      </c>
      <c r="G651" t="s">
        <v>2387</v>
      </c>
      <c r="H651" s="460">
        <v>8601.6754549110974</v>
      </c>
      <c r="I651">
        <v>3300</v>
      </c>
      <c r="J651">
        <v>0</v>
      </c>
      <c r="K651" s="67">
        <v>0</v>
      </c>
      <c r="L651" s="159">
        <v>150</v>
      </c>
      <c r="M651" s="159">
        <v>14385</v>
      </c>
      <c r="N651" s="159">
        <v>1920</v>
      </c>
      <c r="O651" s="159">
        <v>506</v>
      </c>
      <c r="P651" s="159">
        <v>4051</v>
      </c>
      <c r="Q651" s="159">
        <v>1500</v>
      </c>
      <c r="R651" s="159">
        <v>2000</v>
      </c>
      <c r="S651" s="159">
        <v>56788</v>
      </c>
      <c r="T651" s="159">
        <v>63</v>
      </c>
      <c r="U651" s="159">
        <v>120</v>
      </c>
      <c r="V651" s="159">
        <v>0</v>
      </c>
      <c r="W651" s="159">
        <v>186</v>
      </c>
      <c r="X651" s="159">
        <v>0</v>
      </c>
      <c r="Y651" s="159">
        <v>0</v>
      </c>
      <c r="Z651" s="159">
        <v>0</v>
      </c>
      <c r="AA651" s="159">
        <v>0</v>
      </c>
      <c r="AB651" s="159">
        <v>0</v>
      </c>
      <c r="AC651" s="159">
        <v>0</v>
      </c>
      <c r="AD651" s="207">
        <v>81669</v>
      </c>
      <c r="AE651" s="200">
        <v>9.9110095547431936</v>
      </c>
      <c r="AF651" s="200">
        <v>16.468057631510057</v>
      </c>
      <c r="AG651" s="200">
        <v>15.961516236179717</v>
      </c>
      <c r="AH651" s="200">
        <v>0</v>
      </c>
      <c r="AI651" s="200">
        <v>0</v>
      </c>
      <c r="AJ651" s="200">
        <v>0</v>
      </c>
      <c r="AL651" s="197">
        <f t="shared" si="94"/>
        <v>93622.541710016259</v>
      </c>
      <c r="AM651" s="197" t="str">
        <f t="shared" si="95"/>
        <v>Transit Heavy 8</v>
      </c>
      <c r="AN651" s="3">
        <f t="shared" si="96"/>
        <v>23.732710370444483</v>
      </c>
      <c r="AO651" s="3">
        <f t="shared" si="97"/>
        <v>9.1606895316225128</v>
      </c>
      <c r="AP651" s="3">
        <f t="shared" si="98"/>
        <v>0</v>
      </c>
      <c r="AQ651" s="3">
        <f t="shared" si="90"/>
        <v>0</v>
      </c>
      <c r="AR651" s="3">
        <f t="shared" si="91"/>
        <v>9.1606895316225128</v>
      </c>
      <c r="AS651" s="81">
        <f t="shared" si="92"/>
        <v>1</v>
      </c>
      <c r="AT651" s="81">
        <f t="shared" si="93"/>
        <v>0</v>
      </c>
    </row>
    <row r="652" spans="1:46" x14ac:dyDescent="0.25">
      <c r="A652" t="s">
        <v>807</v>
      </c>
      <c r="B652">
        <v>2035</v>
      </c>
      <c r="C652" t="s">
        <v>680</v>
      </c>
      <c r="D652" t="s">
        <v>809</v>
      </c>
      <c r="E652" t="s">
        <v>1028</v>
      </c>
      <c r="F652">
        <v>7</v>
      </c>
      <c r="G652" t="s">
        <v>2388</v>
      </c>
      <c r="H652" s="460">
        <v>8681.6623467944173</v>
      </c>
      <c r="I652">
        <v>3300</v>
      </c>
      <c r="J652">
        <v>0</v>
      </c>
      <c r="K652" s="67">
        <v>4.7520000000000007</v>
      </c>
      <c r="L652" s="159">
        <v>150</v>
      </c>
      <c r="M652" s="159">
        <v>14429</v>
      </c>
      <c r="N652" s="159">
        <v>220</v>
      </c>
      <c r="O652" s="159">
        <v>392</v>
      </c>
      <c r="P652" s="159">
        <v>4064</v>
      </c>
      <c r="Q652" s="159">
        <v>1500</v>
      </c>
      <c r="R652" s="159">
        <v>2000</v>
      </c>
      <c r="S652" s="159">
        <v>56788</v>
      </c>
      <c r="T652" s="159">
        <v>0</v>
      </c>
      <c r="U652" s="159">
        <v>1616</v>
      </c>
      <c r="V652" s="159">
        <v>4500</v>
      </c>
      <c r="W652" s="159">
        <v>186</v>
      </c>
      <c r="X652" s="159">
        <v>120</v>
      </c>
      <c r="Y652" s="159">
        <v>1500</v>
      </c>
      <c r="Z652" s="159">
        <v>2250</v>
      </c>
      <c r="AA652" s="159">
        <v>0</v>
      </c>
      <c r="AB652" s="159">
        <v>0</v>
      </c>
      <c r="AC652" s="159">
        <v>0</v>
      </c>
      <c r="AD652" s="207">
        <v>89715</v>
      </c>
      <c r="AE652" s="200">
        <v>12.193482956124898</v>
      </c>
      <c r="AF652" s="200">
        <v>17.575152003671789</v>
      </c>
      <c r="AG652" s="200">
        <v>15.308046814048684</v>
      </c>
      <c r="AH652" s="200">
        <v>0</v>
      </c>
      <c r="AI652" s="200">
        <v>0</v>
      </c>
      <c r="AJ652" s="200">
        <v>0</v>
      </c>
      <c r="AL652" s="197">
        <f t="shared" si="94"/>
        <v>102846.20026587945</v>
      </c>
      <c r="AM652" s="197" t="str">
        <f t="shared" si="95"/>
        <v>Transit Heavy 8</v>
      </c>
      <c r="AN652" s="3">
        <f t="shared" si="96"/>
        <v>19.290232338683627</v>
      </c>
      <c r="AO652" s="3">
        <f t="shared" si="97"/>
        <v>7.4459185945998456</v>
      </c>
      <c r="AP652" s="3">
        <f t="shared" si="98"/>
        <v>0</v>
      </c>
      <c r="AQ652" s="3">
        <f t="shared" si="90"/>
        <v>0</v>
      </c>
      <c r="AR652" s="3">
        <f t="shared" si="91"/>
        <v>7.4459185945998456</v>
      </c>
      <c r="AS652" s="81">
        <f t="shared" si="92"/>
        <v>1</v>
      </c>
      <c r="AT652" s="81">
        <f t="shared" si="93"/>
        <v>0</v>
      </c>
    </row>
    <row r="653" spans="1:46" x14ac:dyDescent="0.25">
      <c r="A653" t="s">
        <v>808</v>
      </c>
      <c r="B653">
        <v>2035</v>
      </c>
      <c r="C653" t="s">
        <v>680</v>
      </c>
      <c r="D653" t="s">
        <v>809</v>
      </c>
      <c r="E653" t="s">
        <v>1028</v>
      </c>
      <c r="F653">
        <v>7</v>
      </c>
      <c r="G653" t="s">
        <v>2389</v>
      </c>
      <c r="H653" s="460">
        <v>9196.6277997581019</v>
      </c>
      <c r="I653">
        <v>3300</v>
      </c>
      <c r="J653">
        <v>119.99999997072871</v>
      </c>
      <c r="K653" s="67">
        <v>135.5445</v>
      </c>
      <c r="L653" s="159">
        <v>0</v>
      </c>
      <c r="M653" s="159">
        <v>10386</v>
      </c>
      <c r="N653" s="159">
        <v>220</v>
      </c>
      <c r="O653" s="159">
        <v>0</v>
      </c>
      <c r="P653" s="159">
        <v>3038</v>
      </c>
      <c r="Q653" s="159">
        <v>1500</v>
      </c>
      <c r="R653" s="159">
        <v>2000</v>
      </c>
      <c r="S653" s="159">
        <v>56788</v>
      </c>
      <c r="T653" s="159">
        <v>1722</v>
      </c>
      <c r="U653" s="159">
        <v>21687</v>
      </c>
      <c r="V653" s="159">
        <v>4500</v>
      </c>
      <c r="W653" s="159">
        <v>186</v>
      </c>
      <c r="X653" s="159">
        <v>0</v>
      </c>
      <c r="Y653" s="159">
        <v>1500</v>
      </c>
      <c r="Z653" s="159">
        <v>3332</v>
      </c>
      <c r="AA653" s="159">
        <v>0</v>
      </c>
      <c r="AB653" s="159">
        <v>0</v>
      </c>
      <c r="AC653" s="159">
        <v>0</v>
      </c>
      <c r="AD653" s="207">
        <v>106859</v>
      </c>
      <c r="AE653" s="200">
        <v>12.997846409420063</v>
      </c>
      <c r="AF653" s="200">
        <v>14.470834713531344</v>
      </c>
      <c r="AG653" s="200">
        <v>14.56133265795456</v>
      </c>
      <c r="AH653" s="200">
        <v>1127</v>
      </c>
      <c r="AI653" s="200">
        <v>1022</v>
      </c>
      <c r="AJ653" s="200">
        <v>1169</v>
      </c>
      <c r="AL653" s="197">
        <f t="shared" si="94"/>
        <v>122499.49411148205</v>
      </c>
      <c r="AM653" s="197" t="str">
        <f t="shared" si="95"/>
        <v>Transit Heavy 8</v>
      </c>
      <c r="AN653" s="3">
        <f t="shared" si="96"/>
        <v>3.6192937173185582</v>
      </c>
      <c r="AO653" s="3">
        <f t="shared" si="97"/>
        <v>1.3970265321822275</v>
      </c>
      <c r="AP653" s="3">
        <f t="shared" si="98"/>
        <v>56.02296593634658</v>
      </c>
      <c r="AQ653" s="3">
        <f t="shared" si="90"/>
        <v>2.0168267737084768</v>
      </c>
      <c r="AR653" s="3">
        <f t="shared" si="91"/>
        <v>3.4138533058907043</v>
      </c>
      <c r="AS653" s="81">
        <f t="shared" si="92"/>
        <v>0.40922277760781844</v>
      </c>
      <c r="AT653" s="81">
        <f t="shared" si="93"/>
        <v>0.59077722239218156</v>
      </c>
    </row>
    <row r="654" spans="1:46" x14ac:dyDescent="0.25">
      <c r="A654" t="s">
        <v>230</v>
      </c>
      <c r="B654">
        <v>2035</v>
      </c>
      <c r="C654" t="s">
        <v>680</v>
      </c>
      <c r="D654" t="s">
        <v>809</v>
      </c>
      <c r="E654" t="s">
        <v>1028</v>
      </c>
      <c r="F654">
        <v>7</v>
      </c>
      <c r="G654" t="s">
        <v>2390</v>
      </c>
      <c r="H654" s="460">
        <v>8921.5132130008169</v>
      </c>
      <c r="I654">
        <v>3300</v>
      </c>
      <c r="J654">
        <v>150.00000001001371</v>
      </c>
      <c r="K654" s="67">
        <v>165.95512500000001</v>
      </c>
      <c r="L654" s="159">
        <v>0</v>
      </c>
      <c r="M654" s="159">
        <v>0</v>
      </c>
      <c r="N654" s="159">
        <v>0</v>
      </c>
      <c r="O654" s="159">
        <v>0</v>
      </c>
      <c r="P654" s="159">
        <v>2889</v>
      </c>
      <c r="Q654" s="159">
        <v>1500</v>
      </c>
      <c r="R654" s="159">
        <v>2000</v>
      </c>
      <c r="S654" s="159">
        <v>56788</v>
      </c>
      <c r="T654" s="159">
        <v>0</v>
      </c>
      <c r="U654" s="159">
        <v>26553</v>
      </c>
      <c r="V654" s="159">
        <v>4500</v>
      </c>
      <c r="W654" s="159">
        <v>186</v>
      </c>
      <c r="X654" s="159">
        <v>0</v>
      </c>
      <c r="Y654" s="159">
        <v>1500</v>
      </c>
      <c r="Z654" s="159">
        <v>3130</v>
      </c>
      <c r="AA654" s="159">
        <v>0</v>
      </c>
      <c r="AB654" s="159">
        <v>0</v>
      </c>
      <c r="AC654" s="159">
        <v>0</v>
      </c>
      <c r="AD654" s="207">
        <v>99046</v>
      </c>
      <c r="AE654" s="200">
        <v>0</v>
      </c>
      <c r="AF654" s="200">
        <v>0</v>
      </c>
      <c r="AG654" s="200">
        <v>0</v>
      </c>
      <c r="AH654" s="200">
        <v>1104</v>
      </c>
      <c r="AI654" s="200">
        <v>915</v>
      </c>
      <c r="AJ654" s="200">
        <v>1043</v>
      </c>
      <c r="AL654" s="197">
        <f t="shared" si="94"/>
        <v>113542.93876758954</v>
      </c>
      <c r="AM654" s="197" t="str">
        <f t="shared" si="95"/>
        <v>Transit Heavy 8</v>
      </c>
      <c r="AN654" s="3">
        <f t="shared" si="96"/>
        <v>0</v>
      </c>
      <c r="AO654" s="3">
        <f t="shared" si="97"/>
        <v>0</v>
      </c>
      <c r="AP654" s="3">
        <f t="shared" si="98"/>
        <v>68.599550126138666</v>
      </c>
      <c r="AQ654" s="3">
        <f t="shared" si="90"/>
        <v>2.4695838045409921</v>
      </c>
      <c r="AR654" s="3">
        <f t="shared" si="91"/>
        <v>2.4695838045409921</v>
      </c>
      <c r="AS654" s="81">
        <f t="shared" si="92"/>
        <v>0</v>
      </c>
      <c r="AT654" s="81">
        <f t="shared" si="93"/>
        <v>1</v>
      </c>
    </row>
    <row r="655" spans="1:46" x14ac:dyDescent="0.25">
      <c r="A655" t="s">
        <v>496</v>
      </c>
      <c r="B655">
        <v>2035</v>
      </c>
      <c r="C655" t="s">
        <v>680</v>
      </c>
      <c r="D655" t="s">
        <v>809</v>
      </c>
      <c r="E655" t="s">
        <v>1028</v>
      </c>
      <c r="F655">
        <v>7</v>
      </c>
      <c r="G655" t="s">
        <v>2391</v>
      </c>
      <c r="H655" s="460">
        <v>8522.5440831692158</v>
      </c>
      <c r="I655">
        <v>3300</v>
      </c>
      <c r="J655">
        <v>150.00000001001371</v>
      </c>
      <c r="K655" s="67">
        <v>6.0825600000000009</v>
      </c>
      <c r="L655" s="159">
        <v>0</v>
      </c>
      <c r="M655" s="159">
        <v>0</v>
      </c>
      <c r="N655" s="159">
        <v>0</v>
      </c>
      <c r="O655" s="159">
        <v>0</v>
      </c>
      <c r="P655" s="159">
        <v>3059</v>
      </c>
      <c r="Q655" s="159">
        <v>1500</v>
      </c>
      <c r="R655" s="159">
        <v>2000</v>
      </c>
      <c r="S655" s="159">
        <v>56788</v>
      </c>
      <c r="T655" s="159">
        <v>0</v>
      </c>
      <c r="U655" s="159">
        <v>2069</v>
      </c>
      <c r="V655" s="159">
        <v>4500</v>
      </c>
      <c r="W655" s="159">
        <v>186</v>
      </c>
      <c r="X655" s="159">
        <v>0</v>
      </c>
      <c r="Y655" s="159">
        <v>1500</v>
      </c>
      <c r="Z655" s="159">
        <v>3359</v>
      </c>
      <c r="AA655" s="159">
        <v>14337</v>
      </c>
      <c r="AB655" s="159">
        <v>5375</v>
      </c>
      <c r="AC655" s="159">
        <v>0</v>
      </c>
      <c r="AD655" s="207">
        <v>94673</v>
      </c>
      <c r="AE655" s="200">
        <v>18.648399899653761</v>
      </c>
      <c r="AF655" s="200">
        <v>23.675745182585235</v>
      </c>
      <c r="AG655" s="200">
        <v>20.384399774828232</v>
      </c>
      <c r="AH655" s="200">
        <v>0</v>
      </c>
      <c r="AI655" s="200">
        <v>0</v>
      </c>
      <c r="AJ655" s="200">
        <v>0</v>
      </c>
      <c r="AL655" s="197">
        <f t="shared" si="94"/>
        <v>108529.88148884362</v>
      </c>
      <c r="AM655" s="197" t="str">
        <f t="shared" si="95"/>
        <v>Transit Heavy 8</v>
      </c>
      <c r="AN655" s="3">
        <f t="shared" si="96"/>
        <v>12.613152898217038</v>
      </c>
      <c r="AO655" s="3">
        <f t="shared" si="97"/>
        <v>4.868604382386307</v>
      </c>
      <c r="AP655" s="3">
        <f t="shared" si="98"/>
        <v>0</v>
      </c>
      <c r="AQ655" s="3">
        <f t="shared" si="90"/>
        <v>0</v>
      </c>
      <c r="AR655" s="3">
        <f t="shared" si="91"/>
        <v>4.868604382386307</v>
      </c>
      <c r="AS655" s="81">
        <f t="shared" si="92"/>
        <v>1</v>
      </c>
      <c r="AT655" s="81">
        <f t="shared" si="93"/>
        <v>0</v>
      </c>
    </row>
    <row r="656" spans="1:46" x14ac:dyDescent="0.25">
      <c r="A656" t="s">
        <v>828</v>
      </c>
      <c r="B656">
        <v>2035</v>
      </c>
      <c r="C656" t="s">
        <v>680</v>
      </c>
      <c r="D656" t="s">
        <v>809</v>
      </c>
      <c r="E656" t="s">
        <v>1028</v>
      </c>
      <c r="F656">
        <v>7</v>
      </c>
      <c r="G656" t="s">
        <v>2392</v>
      </c>
      <c r="H656" s="460">
        <v>8564.8515288018243</v>
      </c>
      <c r="I656">
        <v>3300</v>
      </c>
      <c r="J656">
        <v>150.00000001001371</v>
      </c>
      <c r="K656" s="67">
        <v>45.926250000000003</v>
      </c>
      <c r="L656" s="159">
        <v>0</v>
      </c>
      <c r="M656" s="159">
        <v>0</v>
      </c>
      <c r="N656" s="159">
        <v>0</v>
      </c>
      <c r="O656" s="159">
        <v>0</v>
      </c>
      <c r="P656" s="159">
        <v>3377</v>
      </c>
      <c r="Q656" s="159">
        <v>1500</v>
      </c>
      <c r="R656" s="159">
        <v>2000</v>
      </c>
      <c r="S656" s="159">
        <v>56788</v>
      </c>
      <c r="T656" s="159">
        <v>0</v>
      </c>
      <c r="U656" s="159">
        <v>7348</v>
      </c>
      <c r="V656" s="159">
        <v>4500</v>
      </c>
      <c r="W656" s="159">
        <v>186</v>
      </c>
      <c r="X656" s="159">
        <v>0</v>
      </c>
      <c r="Y656" s="159">
        <v>1500</v>
      </c>
      <c r="Z656" s="159">
        <v>3788</v>
      </c>
      <c r="AA656" s="159">
        <v>5857</v>
      </c>
      <c r="AB656" s="159">
        <v>3517</v>
      </c>
      <c r="AC656" s="159">
        <v>0</v>
      </c>
      <c r="AD656" s="207">
        <v>90361</v>
      </c>
      <c r="AE656" s="200">
        <v>19.03498148959866</v>
      </c>
      <c r="AF656" s="200">
        <v>22.294053409153065</v>
      </c>
      <c r="AG656" s="200">
        <v>22.055603088092042</v>
      </c>
      <c r="AH656" s="200">
        <v>0</v>
      </c>
      <c r="AI656" s="200">
        <v>0</v>
      </c>
      <c r="AJ656" s="200">
        <v>0</v>
      </c>
      <c r="AL656" s="197">
        <f t="shared" si="94"/>
        <v>103586.75251881104</v>
      </c>
      <c r="AM656" s="197" t="str">
        <f t="shared" si="95"/>
        <v>Transit Heavy 8</v>
      </c>
      <c r="AN656" s="3">
        <f t="shared" si="96"/>
        <v>12.356992276034385</v>
      </c>
      <c r="AO656" s="3">
        <f t="shared" si="97"/>
        <v>4.7697278573955124</v>
      </c>
      <c r="AP656" s="3">
        <f t="shared" si="98"/>
        <v>0</v>
      </c>
      <c r="AQ656" s="3">
        <f t="shared" si="90"/>
        <v>0</v>
      </c>
      <c r="AR656" s="3">
        <f t="shared" si="91"/>
        <v>4.7697278573955124</v>
      </c>
      <c r="AS656" s="81">
        <f t="shared" si="92"/>
        <v>1</v>
      </c>
      <c r="AT656" s="81">
        <f t="shared" si="93"/>
        <v>0</v>
      </c>
    </row>
    <row r="657" spans="1:46" x14ac:dyDescent="0.25">
      <c r="A657" t="s">
        <v>805</v>
      </c>
      <c r="B657">
        <v>2050</v>
      </c>
      <c r="C657" t="s">
        <v>680</v>
      </c>
      <c r="D657" t="s">
        <v>809</v>
      </c>
      <c r="E657" t="s">
        <v>1028</v>
      </c>
      <c r="F657">
        <v>7</v>
      </c>
      <c r="G657" t="s">
        <v>2393</v>
      </c>
      <c r="H657" s="460">
        <v>8546.8864997022683</v>
      </c>
      <c r="I657">
        <v>3300</v>
      </c>
      <c r="J657">
        <v>0</v>
      </c>
      <c r="K657" s="67">
        <v>0</v>
      </c>
      <c r="L657" s="159">
        <v>150</v>
      </c>
      <c r="M657" s="159">
        <v>14776</v>
      </c>
      <c r="N657" s="159">
        <v>1920</v>
      </c>
      <c r="O657" s="159">
        <v>506</v>
      </c>
      <c r="P657" s="159">
        <v>3968</v>
      </c>
      <c r="Q657" s="159">
        <v>1500</v>
      </c>
      <c r="R657" s="159">
        <v>2000</v>
      </c>
      <c r="S657" s="159">
        <v>57020</v>
      </c>
      <c r="T657" s="159">
        <v>44</v>
      </c>
      <c r="U657" s="159">
        <v>120</v>
      </c>
      <c r="V657" s="159">
        <v>0</v>
      </c>
      <c r="W657" s="159">
        <v>186</v>
      </c>
      <c r="X657" s="159">
        <v>0</v>
      </c>
      <c r="Y657" s="159">
        <v>0</v>
      </c>
      <c r="Z657" s="159">
        <v>0</v>
      </c>
      <c r="AA657" s="159">
        <v>0</v>
      </c>
      <c r="AB657" s="159">
        <v>0</v>
      </c>
      <c r="AC657" s="159">
        <v>0</v>
      </c>
      <c r="AD657" s="207">
        <v>82190</v>
      </c>
      <c r="AE657" s="200">
        <v>10.579792581407665</v>
      </c>
      <c r="AF657" s="200">
        <v>18.148006301898086</v>
      </c>
      <c r="AG657" s="200">
        <v>17.705813815901848</v>
      </c>
      <c r="AH657" s="200">
        <v>0</v>
      </c>
      <c r="AI657" s="200">
        <v>0</v>
      </c>
      <c r="AJ657" s="200">
        <v>0</v>
      </c>
      <c r="AL657" s="197">
        <f t="shared" si="94"/>
        <v>94219.798248371313</v>
      </c>
      <c r="AM657" s="197" t="str">
        <f t="shared" si="95"/>
        <v>Transit Heavy 8</v>
      </c>
      <c r="AN657" s="3">
        <f t="shared" si="96"/>
        <v>22.232488721450174</v>
      </c>
      <c r="AO657" s="3">
        <f t="shared" si="97"/>
        <v>8.5816126145515241</v>
      </c>
      <c r="AP657" s="3">
        <f t="shared" si="98"/>
        <v>0</v>
      </c>
      <c r="AQ657" s="3">
        <f t="shared" si="90"/>
        <v>0</v>
      </c>
      <c r="AR657" s="3">
        <f t="shared" si="91"/>
        <v>8.5816126145515241</v>
      </c>
      <c r="AS657" s="81">
        <f t="shared" si="92"/>
        <v>1</v>
      </c>
      <c r="AT657" s="81">
        <f t="shared" si="93"/>
        <v>0</v>
      </c>
    </row>
    <row r="658" spans="1:46" x14ac:dyDescent="0.25">
      <c r="A658" t="s">
        <v>807</v>
      </c>
      <c r="B658">
        <v>2050</v>
      </c>
      <c r="C658" t="s">
        <v>680</v>
      </c>
      <c r="D658" t="s">
        <v>809</v>
      </c>
      <c r="E658" t="s">
        <v>1028</v>
      </c>
      <c r="F658">
        <v>7</v>
      </c>
      <c r="G658" t="s">
        <v>2394</v>
      </c>
      <c r="H658" s="460">
        <v>8623.3296927987303</v>
      </c>
      <c r="I658">
        <v>3300</v>
      </c>
      <c r="J658">
        <v>0</v>
      </c>
      <c r="K658" s="67">
        <v>3.6115200000000005</v>
      </c>
      <c r="L658" s="159">
        <v>150</v>
      </c>
      <c r="M658" s="159">
        <v>14883</v>
      </c>
      <c r="N658" s="159">
        <v>220</v>
      </c>
      <c r="O658" s="159">
        <v>392</v>
      </c>
      <c r="P658" s="159">
        <v>4016</v>
      </c>
      <c r="Q658" s="159">
        <v>1500</v>
      </c>
      <c r="R658" s="159">
        <v>2000</v>
      </c>
      <c r="S658" s="159">
        <v>57020</v>
      </c>
      <c r="T658" s="159">
        <v>0</v>
      </c>
      <c r="U658" s="159">
        <v>1160</v>
      </c>
      <c r="V658" s="159">
        <v>4500</v>
      </c>
      <c r="W658" s="159">
        <v>186</v>
      </c>
      <c r="X658" s="159">
        <v>120</v>
      </c>
      <c r="Y658" s="159">
        <v>1500</v>
      </c>
      <c r="Z658" s="159">
        <v>1612</v>
      </c>
      <c r="AA658" s="159">
        <v>0</v>
      </c>
      <c r="AB658" s="159">
        <v>0</v>
      </c>
      <c r="AC658" s="159">
        <v>0</v>
      </c>
      <c r="AD658" s="207">
        <v>89259</v>
      </c>
      <c r="AE658" s="200">
        <v>13.373973844110575</v>
      </c>
      <c r="AF658" s="200">
        <v>19.805049001445347</v>
      </c>
      <c r="AG658" s="200">
        <v>17.227516741309508</v>
      </c>
      <c r="AH658" s="200">
        <v>0</v>
      </c>
      <c r="AI658" s="200">
        <v>0</v>
      </c>
      <c r="AJ658" s="200">
        <v>0</v>
      </c>
      <c r="AL658" s="197">
        <f t="shared" si="94"/>
        <v>102323.4574991042</v>
      </c>
      <c r="AM658" s="197" t="str">
        <f t="shared" si="95"/>
        <v>Transit Heavy 8</v>
      </c>
      <c r="AN658" s="3">
        <f t="shared" si="96"/>
        <v>17.587526488621673</v>
      </c>
      <c r="AO658" s="3">
        <f t="shared" si="97"/>
        <v>6.7886839419779577</v>
      </c>
      <c r="AP658" s="3">
        <f t="shared" si="98"/>
        <v>0</v>
      </c>
      <c r="AQ658" s="3">
        <f t="shared" si="90"/>
        <v>0</v>
      </c>
      <c r="AR658" s="3">
        <f t="shared" si="91"/>
        <v>6.7886839419779577</v>
      </c>
      <c r="AS658" s="81">
        <f t="shared" si="92"/>
        <v>1</v>
      </c>
      <c r="AT658" s="81">
        <f t="shared" si="93"/>
        <v>0</v>
      </c>
    </row>
    <row r="659" spans="1:46" x14ac:dyDescent="0.25">
      <c r="A659" t="s">
        <v>808</v>
      </c>
      <c r="B659">
        <v>2050</v>
      </c>
      <c r="C659" t="s">
        <v>680</v>
      </c>
      <c r="D659" t="s">
        <v>809</v>
      </c>
      <c r="E659" t="s">
        <v>1028</v>
      </c>
      <c r="F659">
        <v>7</v>
      </c>
      <c r="G659" t="s">
        <v>2395</v>
      </c>
      <c r="H659" s="460">
        <v>8854.4495032797313</v>
      </c>
      <c r="I659">
        <v>3300</v>
      </c>
      <c r="J659">
        <v>119.99999997072871</v>
      </c>
      <c r="K659" s="67">
        <v>120.40125</v>
      </c>
      <c r="L659" s="159">
        <v>0</v>
      </c>
      <c r="M659" s="159">
        <v>10723</v>
      </c>
      <c r="N659" s="159">
        <v>220</v>
      </c>
      <c r="O659" s="159">
        <v>0</v>
      </c>
      <c r="P659" s="159">
        <v>3019</v>
      </c>
      <c r="Q659" s="159">
        <v>1500</v>
      </c>
      <c r="R659" s="159">
        <v>2000</v>
      </c>
      <c r="S659" s="159">
        <v>57020</v>
      </c>
      <c r="T659" s="159">
        <v>1123</v>
      </c>
      <c r="U659" s="159">
        <v>10836</v>
      </c>
      <c r="V659" s="159">
        <v>4500</v>
      </c>
      <c r="W659" s="159">
        <v>186</v>
      </c>
      <c r="X659" s="159">
        <v>0</v>
      </c>
      <c r="Y659" s="159">
        <v>1500</v>
      </c>
      <c r="Z659" s="159">
        <v>2411</v>
      </c>
      <c r="AA659" s="159">
        <v>0</v>
      </c>
      <c r="AB659" s="159">
        <v>0</v>
      </c>
      <c r="AC659" s="159">
        <v>0</v>
      </c>
      <c r="AD659" s="207">
        <v>95038</v>
      </c>
      <c r="AE659" s="200">
        <v>15.295046491051147</v>
      </c>
      <c r="AF659" s="200">
        <v>16.639456608286885</v>
      </c>
      <c r="AG659" s="200">
        <v>16.584885797599146</v>
      </c>
      <c r="AH659" s="200">
        <v>1003</v>
      </c>
      <c r="AI659" s="200">
        <v>921</v>
      </c>
      <c r="AJ659" s="200">
        <v>1057</v>
      </c>
      <c r="AL659" s="197">
        <f t="shared" si="94"/>
        <v>108948.30497540714</v>
      </c>
      <c r="AM659" s="197" t="str">
        <f t="shared" si="95"/>
        <v>Transit Heavy 8</v>
      </c>
      <c r="AN659" s="3">
        <f t="shared" si="96"/>
        <v>3.0757032269113815</v>
      </c>
      <c r="AO659" s="3">
        <f t="shared" si="97"/>
        <v>1.1872037333010683</v>
      </c>
      <c r="AP659" s="3">
        <f t="shared" si="98"/>
        <v>49.858948388780497</v>
      </c>
      <c r="AQ659" s="3">
        <f t="shared" si="90"/>
        <v>1.7949221419960981</v>
      </c>
      <c r="AR659" s="3">
        <f t="shared" si="91"/>
        <v>2.9821258752971662</v>
      </c>
      <c r="AS659" s="81">
        <f t="shared" si="92"/>
        <v>0.39810651291933291</v>
      </c>
      <c r="AT659" s="81">
        <f t="shared" si="93"/>
        <v>0.60189348708066714</v>
      </c>
    </row>
    <row r="660" spans="1:46" x14ac:dyDescent="0.25">
      <c r="A660" t="s">
        <v>230</v>
      </c>
      <c r="B660">
        <v>2050</v>
      </c>
      <c r="C660" t="s">
        <v>680</v>
      </c>
      <c r="D660" t="s">
        <v>809</v>
      </c>
      <c r="E660" t="s">
        <v>1028</v>
      </c>
      <c r="F660">
        <v>7</v>
      </c>
      <c r="G660" t="s">
        <v>2396</v>
      </c>
      <c r="H660" s="460">
        <v>8551.7479141546009</v>
      </c>
      <c r="I660">
        <v>3300</v>
      </c>
      <c r="J660">
        <v>150.00000001001371</v>
      </c>
      <c r="K660" s="67">
        <v>150.31537500000002</v>
      </c>
      <c r="L660" s="159">
        <v>0</v>
      </c>
      <c r="M660" s="159">
        <v>0</v>
      </c>
      <c r="N660" s="159">
        <v>0</v>
      </c>
      <c r="O660" s="159">
        <v>0</v>
      </c>
      <c r="P660" s="159">
        <v>2878</v>
      </c>
      <c r="Q660" s="159">
        <v>1500</v>
      </c>
      <c r="R660" s="159">
        <v>2000</v>
      </c>
      <c r="S660" s="159">
        <v>57020</v>
      </c>
      <c r="T660" s="159">
        <v>0</v>
      </c>
      <c r="U660" s="159">
        <v>13528</v>
      </c>
      <c r="V660" s="159">
        <v>4500</v>
      </c>
      <c r="W660" s="159">
        <v>186</v>
      </c>
      <c r="X660" s="159">
        <v>0</v>
      </c>
      <c r="Y660" s="159">
        <v>1500</v>
      </c>
      <c r="Z660" s="159">
        <v>2272</v>
      </c>
      <c r="AA660" s="159">
        <v>0</v>
      </c>
      <c r="AB660" s="159">
        <v>0</v>
      </c>
      <c r="AC660" s="159">
        <v>0</v>
      </c>
      <c r="AD660" s="207">
        <v>85384</v>
      </c>
      <c r="AE660" s="200">
        <v>0</v>
      </c>
      <c r="AF660" s="200">
        <v>0</v>
      </c>
      <c r="AG660" s="200">
        <v>0</v>
      </c>
      <c r="AH660" s="200">
        <v>978</v>
      </c>
      <c r="AI660" s="200">
        <v>817</v>
      </c>
      <c r="AJ660" s="200">
        <v>934</v>
      </c>
      <c r="AL660" s="197">
        <f t="shared" si="94"/>
        <v>97881.290347231246</v>
      </c>
      <c r="AM660" s="197" t="str">
        <f t="shared" si="95"/>
        <v>Transit Heavy 8</v>
      </c>
      <c r="AN660" s="3">
        <f t="shared" si="96"/>
        <v>0</v>
      </c>
      <c r="AO660" s="3">
        <f t="shared" si="97"/>
        <v>0</v>
      </c>
      <c r="AP660" s="3">
        <f t="shared" si="98"/>
        <v>60.770253644351101</v>
      </c>
      <c r="AQ660" s="3">
        <f t="shared" si="90"/>
        <v>2.1877291311966398</v>
      </c>
      <c r="AR660" s="3">
        <f t="shared" si="91"/>
        <v>2.1877291311966398</v>
      </c>
      <c r="AS660" s="81">
        <f t="shared" si="92"/>
        <v>0</v>
      </c>
      <c r="AT660" s="81">
        <f t="shared" si="93"/>
        <v>1</v>
      </c>
    </row>
    <row r="661" spans="1:46" x14ac:dyDescent="0.25">
      <c r="A661" t="s">
        <v>496</v>
      </c>
      <c r="B661">
        <v>2050</v>
      </c>
      <c r="C661" t="s">
        <v>680</v>
      </c>
      <c r="D661" t="s">
        <v>809</v>
      </c>
      <c r="E661" t="s">
        <v>1028</v>
      </c>
      <c r="F661">
        <v>7</v>
      </c>
      <c r="G661" t="s">
        <v>2397</v>
      </c>
      <c r="H661" s="460">
        <v>8373.2600288747999</v>
      </c>
      <c r="I661">
        <v>3300</v>
      </c>
      <c r="J661">
        <v>150.00000001001371</v>
      </c>
      <c r="K661" s="67">
        <v>6.0192000000000005</v>
      </c>
      <c r="L661" s="159">
        <v>0</v>
      </c>
      <c r="M661" s="159">
        <v>0</v>
      </c>
      <c r="N661" s="159">
        <v>0</v>
      </c>
      <c r="O661" s="159">
        <v>0</v>
      </c>
      <c r="P661" s="159">
        <v>3040</v>
      </c>
      <c r="Q661" s="159">
        <v>1500</v>
      </c>
      <c r="R661" s="159">
        <v>2000</v>
      </c>
      <c r="S661" s="159">
        <v>57020</v>
      </c>
      <c r="T661" s="159">
        <v>0</v>
      </c>
      <c r="U661" s="159">
        <v>1934</v>
      </c>
      <c r="V661" s="159">
        <v>4500</v>
      </c>
      <c r="W661" s="159">
        <v>186</v>
      </c>
      <c r="X661" s="159">
        <v>0</v>
      </c>
      <c r="Y661" s="159">
        <v>1500</v>
      </c>
      <c r="Z661" s="159">
        <v>2431</v>
      </c>
      <c r="AA661" s="159">
        <v>11968</v>
      </c>
      <c r="AB661" s="159">
        <v>3196</v>
      </c>
      <c r="AC661" s="159">
        <v>0</v>
      </c>
      <c r="AD661" s="207">
        <v>89275</v>
      </c>
      <c r="AE661" s="200">
        <v>20.928401989177075</v>
      </c>
      <c r="AF661" s="200">
        <v>26.749380372691078</v>
      </c>
      <c r="AG661" s="200">
        <v>23.025415840440356</v>
      </c>
      <c r="AH661" s="200">
        <v>0</v>
      </c>
      <c r="AI661" s="200">
        <v>0</v>
      </c>
      <c r="AJ661" s="200">
        <v>0</v>
      </c>
      <c r="AL661" s="197">
        <f t="shared" si="94"/>
        <v>102341.79935057</v>
      </c>
      <c r="AM661" s="197" t="str">
        <f t="shared" si="95"/>
        <v>Transit Heavy 8</v>
      </c>
      <c r="AN661" s="3">
        <f t="shared" si="96"/>
        <v>11.23903866922412</v>
      </c>
      <c r="AO661" s="3">
        <f t="shared" si="97"/>
        <v>4.3382042032114407</v>
      </c>
      <c r="AP661" s="3">
        <f t="shared" si="98"/>
        <v>0</v>
      </c>
      <c r="AQ661" s="3">
        <f t="shared" si="90"/>
        <v>0</v>
      </c>
      <c r="AR661" s="3">
        <f t="shared" si="91"/>
        <v>4.3382042032114407</v>
      </c>
      <c r="AS661" s="81">
        <f t="shared" si="92"/>
        <v>1</v>
      </c>
      <c r="AT661" s="81">
        <f t="shared" si="93"/>
        <v>0</v>
      </c>
    </row>
    <row r="662" spans="1:46" x14ac:dyDescent="0.25">
      <c r="A662" t="s">
        <v>828</v>
      </c>
      <c r="B662">
        <v>2050</v>
      </c>
      <c r="C662" t="s">
        <v>680</v>
      </c>
      <c r="D662" t="s">
        <v>809</v>
      </c>
      <c r="E662" t="s">
        <v>1028</v>
      </c>
      <c r="F662">
        <v>7</v>
      </c>
      <c r="G662" t="s">
        <v>2398</v>
      </c>
      <c r="H662" s="460">
        <v>8363.8954487456886</v>
      </c>
      <c r="I662">
        <v>3300</v>
      </c>
      <c r="J662">
        <v>150.00000001001371</v>
      </c>
      <c r="K662" s="67">
        <v>46.422750000000001</v>
      </c>
      <c r="L662" s="159">
        <v>0</v>
      </c>
      <c r="M662" s="159">
        <v>0</v>
      </c>
      <c r="N662" s="159">
        <v>0</v>
      </c>
      <c r="O662" s="159">
        <v>0</v>
      </c>
      <c r="P662" s="159">
        <v>3355</v>
      </c>
      <c r="Q662" s="159">
        <v>1500</v>
      </c>
      <c r="R662" s="159">
        <v>2000</v>
      </c>
      <c r="S662" s="159">
        <v>57020</v>
      </c>
      <c r="T662" s="159">
        <v>0</v>
      </c>
      <c r="U662" s="159">
        <v>4178</v>
      </c>
      <c r="V662" s="159">
        <v>4500</v>
      </c>
      <c r="W662" s="159">
        <v>186</v>
      </c>
      <c r="X662" s="159">
        <v>0</v>
      </c>
      <c r="Y662" s="159">
        <v>1500</v>
      </c>
      <c r="Z662" s="159">
        <v>2742</v>
      </c>
      <c r="AA662" s="159">
        <v>4448</v>
      </c>
      <c r="AB662" s="159">
        <v>1927</v>
      </c>
      <c r="AC662" s="159">
        <v>0</v>
      </c>
      <c r="AD662" s="207">
        <v>83356</v>
      </c>
      <c r="AE662" s="200">
        <v>21.576098231353971</v>
      </c>
      <c r="AF662" s="200">
        <v>25.151950515613123</v>
      </c>
      <c r="AG662" s="200">
        <v>24.828084819830977</v>
      </c>
      <c r="AH662" s="200">
        <v>0</v>
      </c>
      <c r="AI662" s="200">
        <v>0</v>
      </c>
      <c r="AJ662" s="200">
        <v>0</v>
      </c>
      <c r="AL662" s="197">
        <f t="shared" si="94"/>
        <v>95556.460673941343</v>
      </c>
      <c r="AM662" s="197" t="str">
        <f t="shared" si="95"/>
        <v>Transit Heavy 8</v>
      </c>
      <c r="AN662" s="3">
        <f t="shared" si="96"/>
        <v>10.901652222718289</v>
      </c>
      <c r="AO662" s="3">
        <f t="shared" si="97"/>
        <v>4.2079749777932483</v>
      </c>
      <c r="AP662" s="3">
        <f t="shared" si="98"/>
        <v>0</v>
      </c>
      <c r="AQ662" s="3">
        <f t="shared" si="90"/>
        <v>0</v>
      </c>
      <c r="AR662" s="3">
        <f t="shared" si="91"/>
        <v>4.2079749777932483</v>
      </c>
      <c r="AS662" s="81">
        <f t="shared" si="92"/>
        <v>1</v>
      </c>
      <c r="AT662" s="81">
        <f t="shared" si="93"/>
        <v>0</v>
      </c>
    </row>
    <row r="663" spans="1:46" x14ac:dyDescent="0.25">
      <c r="A663" t="s">
        <v>805</v>
      </c>
      <c r="B663">
        <v>2023</v>
      </c>
      <c r="C663" t="s">
        <v>680</v>
      </c>
      <c r="D663" t="s">
        <v>811</v>
      </c>
      <c r="E663" t="s">
        <v>2399</v>
      </c>
      <c r="F663">
        <v>8</v>
      </c>
      <c r="G663" t="s">
        <v>2400</v>
      </c>
      <c r="H663" s="460">
        <v>13381.291068393712</v>
      </c>
      <c r="I663">
        <v>17273</v>
      </c>
      <c r="J663">
        <v>0</v>
      </c>
      <c r="K663" s="67">
        <v>0</v>
      </c>
      <c r="L663" s="159">
        <v>300</v>
      </c>
      <c r="M663" s="159">
        <v>38271</v>
      </c>
      <c r="N663" s="159">
        <v>1920</v>
      </c>
      <c r="O663" s="159">
        <v>392</v>
      </c>
      <c r="P663" s="159">
        <v>12947</v>
      </c>
      <c r="Q663" s="159">
        <v>1500</v>
      </c>
      <c r="R663" s="159">
        <v>1800</v>
      </c>
      <c r="S663" s="159">
        <v>75000</v>
      </c>
      <c r="T663" s="159">
        <v>246</v>
      </c>
      <c r="U663" s="159">
        <v>120</v>
      </c>
      <c r="V663" s="159">
        <v>0</v>
      </c>
      <c r="W663" s="159">
        <v>186</v>
      </c>
      <c r="X663" s="159">
        <v>0</v>
      </c>
      <c r="Y663" s="159">
        <v>0</v>
      </c>
      <c r="Z663" s="159">
        <v>0</v>
      </c>
      <c r="AA663" s="159">
        <v>0</v>
      </c>
      <c r="AB663" s="159">
        <v>0</v>
      </c>
      <c r="AC663" s="159">
        <v>1500</v>
      </c>
      <c r="AD663" s="207">
        <v>134182</v>
      </c>
      <c r="AE663" s="200">
        <v>4.2329684746112095</v>
      </c>
      <c r="AF663" s="200">
        <v>8.0420767299234281</v>
      </c>
      <c r="AG663" s="200">
        <v>7.1516957365073219</v>
      </c>
      <c r="AH663" s="200">
        <v>0</v>
      </c>
      <c r="AI663" s="200">
        <v>0</v>
      </c>
      <c r="AJ663" s="200">
        <v>0</v>
      </c>
      <c r="AL663" s="197">
        <f t="shared" si="94"/>
        <v>153821.64458648203</v>
      </c>
      <c r="AM663" s="197" t="str">
        <f t="shared" si="95"/>
        <v>Longhaul Sleeper 8</v>
      </c>
      <c r="AN663" s="3">
        <f t="shared" si="96"/>
        <v>33.695596459329437</v>
      </c>
      <c r="AO663" s="3">
        <f t="shared" si="97"/>
        <v>13.006306187900218</v>
      </c>
      <c r="AP663" s="3">
        <f t="shared" si="98"/>
        <v>0</v>
      </c>
      <c r="AQ663" s="3">
        <f t="shared" si="90"/>
        <v>0</v>
      </c>
      <c r="AR663" s="3">
        <f t="shared" si="91"/>
        <v>13.006306187900218</v>
      </c>
      <c r="AS663" s="81">
        <f t="shared" si="92"/>
        <v>1</v>
      </c>
      <c r="AT663" s="81">
        <f t="shared" si="93"/>
        <v>0</v>
      </c>
    </row>
    <row r="664" spans="1:46" x14ac:dyDescent="0.25">
      <c r="A664" t="s">
        <v>807</v>
      </c>
      <c r="B664">
        <v>2023</v>
      </c>
      <c r="C664" t="s">
        <v>680</v>
      </c>
      <c r="D664" t="s">
        <v>811</v>
      </c>
      <c r="E664" t="s">
        <v>2399</v>
      </c>
      <c r="F664">
        <v>8</v>
      </c>
      <c r="G664" t="s">
        <v>2401</v>
      </c>
      <c r="H664" s="460">
        <v>13522.786651064758</v>
      </c>
      <c r="I664">
        <v>17273</v>
      </c>
      <c r="J664">
        <v>0</v>
      </c>
      <c r="K664" s="67">
        <v>6.9696000000000007</v>
      </c>
      <c r="L664" s="159">
        <v>300</v>
      </c>
      <c r="M664" s="159">
        <v>38235</v>
      </c>
      <c r="N664" s="159">
        <v>220</v>
      </c>
      <c r="O664" s="159">
        <v>392</v>
      </c>
      <c r="P664" s="159">
        <v>12917</v>
      </c>
      <c r="Q664" s="159">
        <v>1500</v>
      </c>
      <c r="R664" s="159">
        <v>1800</v>
      </c>
      <c r="S664" s="159">
        <v>75000</v>
      </c>
      <c r="T664" s="159">
        <v>0</v>
      </c>
      <c r="U664" s="159">
        <v>4879</v>
      </c>
      <c r="V664" s="159">
        <v>4500</v>
      </c>
      <c r="W664" s="159">
        <v>186</v>
      </c>
      <c r="X664" s="159">
        <v>120</v>
      </c>
      <c r="Y664" s="159">
        <v>1500</v>
      </c>
      <c r="Z664" s="159">
        <v>6187</v>
      </c>
      <c r="AA664" s="159">
        <v>0</v>
      </c>
      <c r="AB664" s="159">
        <v>0</v>
      </c>
      <c r="AC664" s="159">
        <v>1500</v>
      </c>
      <c r="AD664" s="207">
        <v>149236</v>
      </c>
      <c r="AE664" s="200">
        <v>5.9763361745736185</v>
      </c>
      <c r="AF664" s="200">
        <v>8.3276268214072573</v>
      </c>
      <c r="AG664" s="200">
        <v>6.9669640834431323</v>
      </c>
      <c r="AH664" s="200">
        <v>0</v>
      </c>
      <c r="AI664" s="200">
        <v>0</v>
      </c>
      <c r="AJ664" s="200">
        <v>0</v>
      </c>
      <c r="AL664" s="197">
        <f t="shared" si="94"/>
        <v>171079.03408436477</v>
      </c>
      <c r="AM664" s="197" t="str">
        <f t="shared" si="95"/>
        <v>Longhaul Sleeper 8</v>
      </c>
      <c r="AN664" s="3">
        <f t="shared" si="96"/>
        <v>33.544836557538709</v>
      </c>
      <c r="AO664" s="3">
        <f t="shared" si="97"/>
        <v>12.948113734001542</v>
      </c>
      <c r="AP664" s="3">
        <f t="shared" si="98"/>
        <v>0</v>
      </c>
      <c r="AQ664" s="3">
        <f t="shared" si="90"/>
        <v>0</v>
      </c>
      <c r="AR664" s="3">
        <f t="shared" si="91"/>
        <v>12.948113734001542</v>
      </c>
      <c r="AS664" s="81">
        <f t="shared" si="92"/>
        <v>1</v>
      </c>
      <c r="AT664" s="81">
        <f t="shared" si="93"/>
        <v>0</v>
      </c>
    </row>
    <row r="665" spans="1:46" x14ac:dyDescent="0.25">
      <c r="A665" t="s">
        <v>808</v>
      </c>
      <c r="B665">
        <v>2023</v>
      </c>
      <c r="C665" t="s">
        <v>680</v>
      </c>
      <c r="D665" t="s">
        <v>811</v>
      </c>
      <c r="E665" t="s">
        <v>2399</v>
      </c>
      <c r="F665">
        <v>8</v>
      </c>
      <c r="G665" t="s">
        <v>2402</v>
      </c>
      <c r="H665" s="460">
        <v>21157.814009130852</v>
      </c>
      <c r="I665">
        <v>17273</v>
      </c>
      <c r="J665">
        <v>400.00000002670322</v>
      </c>
      <c r="K665" s="67">
        <v>1117.125</v>
      </c>
      <c r="L665" s="159">
        <v>0</v>
      </c>
      <c r="M665" s="159">
        <v>21131</v>
      </c>
      <c r="N665" s="159">
        <v>220</v>
      </c>
      <c r="O665" s="159">
        <v>0</v>
      </c>
      <c r="P665" s="159">
        <v>6595</v>
      </c>
      <c r="Q665" s="159">
        <v>1500</v>
      </c>
      <c r="R665" s="159">
        <v>1800</v>
      </c>
      <c r="S665" s="159">
        <v>75000</v>
      </c>
      <c r="T665" s="159">
        <v>8689</v>
      </c>
      <c r="U665" s="159">
        <v>390994</v>
      </c>
      <c r="V665" s="159">
        <v>4500</v>
      </c>
      <c r="W665" s="159">
        <v>186</v>
      </c>
      <c r="X665" s="159">
        <v>0</v>
      </c>
      <c r="Y665" s="159">
        <v>1500</v>
      </c>
      <c r="Z665" s="159">
        <v>14442</v>
      </c>
      <c r="AA665" s="159">
        <v>0</v>
      </c>
      <c r="AB665" s="159">
        <v>0</v>
      </c>
      <c r="AC665" s="159">
        <v>1500</v>
      </c>
      <c r="AD665" s="207">
        <v>528057</v>
      </c>
      <c r="AE665" s="200">
        <v>5.8311436300761494</v>
      </c>
      <c r="AF665" s="200">
        <v>5.6849293955856544</v>
      </c>
      <c r="AG665" s="200">
        <v>5.5631445706407936</v>
      </c>
      <c r="AH665" s="200">
        <v>2486</v>
      </c>
      <c r="AI665" s="200">
        <v>2516</v>
      </c>
      <c r="AJ665" s="200">
        <v>2951</v>
      </c>
      <c r="AL665" s="197">
        <f t="shared" si="94"/>
        <v>605346.4412171822</v>
      </c>
      <c r="AM665" s="197" t="str">
        <f t="shared" si="95"/>
        <v>Longhaul Sleeper 8</v>
      </c>
      <c r="AN665" s="3">
        <f t="shared" si="96"/>
        <v>8.4204569571394607</v>
      </c>
      <c r="AO665" s="3">
        <f t="shared" si="97"/>
        <v>3.2502478939282113</v>
      </c>
      <c r="AP665" s="3">
        <f t="shared" si="98"/>
        <v>143.59178296693054</v>
      </c>
      <c r="AQ665" s="3">
        <f t="shared" si="90"/>
        <v>5.1693041868094998</v>
      </c>
      <c r="AR665" s="3">
        <f t="shared" si="91"/>
        <v>8.4195520807377111</v>
      </c>
      <c r="AS665" s="81">
        <f t="shared" si="92"/>
        <v>0.38603572526906071</v>
      </c>
      <c r="AT665" s="81">
        <f t="shared" si="93"/>
        <v>0.61396427473093929</v>
      </c>
    </row>
    <row r="666" spans="1:46" x14ac:dyDescent="0.25">
      <c r="A666" t="s">
        <v>230</v>
      </c>
      <c r="B666">
        <v>2023</v>
      </c>
      <c r="C666" t="s">
        <v>680</v>
      </c>
      <c r="D666" t="s">
        <v>811</v>
      </c>
      <c r="E666" t="s">
        <v>2399</v>
      </c>
      <c r="F666">
        <v>8</v>
      </c>
      <c r="G666" t="s">
        <v>2403</v>
      </c>
      <c r="H666" s="460">
        <v>21355.465382981572</v>
      </c>
      <c r="I666">
        <v>17273</v>
      </c>
      <c r="J666">
        <v>499.99999997124189</v>
      </c>
      <c r="K666" s="67">
        <v>1358.548125</v>
      </c>
      <c r="L666" s="159">
        <v>0</v>
      </c>
      <c r="M666" s="159">
        <v>0</v>
      </c>
      <c r="N666" s="159">
        <v>0</v>
      </c>
      <c r="O666" s="159">
        <v>0</v>
      </c>
      <c r="P666" s="159">
        <v>5736</v>
      </c>
      <c r="Q666" s="159">
        <v>1500</v>
      </c>
      <c r="R666" s="159">
        <v>1800</v>
      </c>
      <c r="S666" s="159">
        <v>75000</v>
      </c>
      <c r="T666" s="159">
        <v>0</v>
      </c>
      <c r="U666" s="159">
        <v>475492</v>
      </c>
      <c r="V666" s="159">
        <v>4500</v>
      </c>
      <c r="W666" s="159">
        <v>186</v>
      </c>
      <c r="X666" s="159">
        <v>0</v>
      </c>
      <c r="Y666" s="159">
        <v>1500</v>
      </c>
      <c r="Z666" s="159">
        <v>12361</v>
      </c>
      <c r="AA666" s="159">
        <v>0</v>
      </c>
      <c r="AB666" s="159">
        <v>0</v>
      </c>
      <c r="AC666" s="159">
        <v>1500</v>
      </c>
      <c r="AD666" s="207">
        <v>579575</v>
      </c>
      <c r="AE666" s="200">
        <v>0</v>
      </c>
      <c r="AF666" s="200">
        <v>0</v>
      </c>
      <c r="AG666" s="200">
        <v>0</v>
      </c>
      <c r="AH666" s="200">
        <v>2412</v>
      </c>
      <c r="AI666" s="200">
        <v>2221</v>
      </c>
      <c r="AJ666" s="200">
        <v>2590</v>
      </c>
      <c r="AL666" s="197">
        <f t="shared" si="94"/>
        <v>664404.91020561871</v>
      </c>
      <c r="AM666" s="197" t="str">
        <f t="shared" si="95"/>
        <v>Longhaul Sleeper 8</v>
      </c>
      <c r="AN666" s="3">
        <f t="shared" si="96"/>
        <v>0</v>
      </c>
      <c r="AO666" s="3">
        <f t="shared" si="97"/>
        <v>0</v>
      </c>
      <c r="AP666" s="3">
        <f t="shared" si="98"/>
        <v>158.31893819826763</v>
      </c>
      <c r="AQ666" s="3">
        <f t="shared" si="90"/>
        <v>5.6994817751376354</v>
      </c>
      <c r="AR666" s="3">
        <f t="shared" si="91"/>
        <v>5.6994817751376354</v>
      </c>
      <c r="AS666" s="81">
        <f t="shared" si="92"/>
        <v>0</v>
      </c>
      <c r="AT666" s="81">
        <f t="shared" si="93"/>
        <v>1</v>
      </c>
    </row>
    <row r="667" spans="1:46" x14ac:dyDescent="0.25">
      <c r="A667" t="s">
        <v>496</v>
      </c>
      <c r="B667">
        <v>2023</v>
      </c>
      <c r="C667" t="s">
        <v>680</v>
      </c>
      <c r="D667" t="s">
        <v>811</v>
      </c>
      <c r="E667" t="s">
        <v>2399</v>
      </c>
      <c r="F667">
        <v>8</v>
      </c>
      <c r="G667" t="s">
        <v>2404</v>
      </c>
      <c r="H667" s="460">
        <v>14889.448154333557</v>
      </c>
      <c r="I667">
        <v>17273</v>
      </c>
      <c r="J667">
        <v>499.99999997124189</v>
      </c>
      <c r="K667" s="67">
        <v>17.962560000000003</v>
      </c>
      <c r="L667" s="159">
        <v>0</v>
      </c>
      <c r="M667" s="159">
        <v>0</v>
      </c>
      <c r="N667" s="159">
        <v>0</v>
      </c>
      <c r="O667" s="159">
        <v>0</v>
      </c>
      <c r="P667" s="159">
        <v>6401</v>
      </c>
      <c r="Q667" s="159">
        <v>1500</v>
      </c>
      <c r="R667" s="159">
        <v>1800</v>
      </c>
      <c r="S667" s="159">
        <v>75000</v>
      </c>
      <c r="T667" s="159">
        <v>0</v>
      </c>
      <c r="U667" s="159">
        <v>12574</v>
      </c>
      <c r="V667" s="159">
        <v>4500</v>
      </c>
      <c r="W667" s="159">
        <v>186</v>
      </c>
      <c r="X667" s="159">
        <v>0</v>
      </c>
      <c r="Y667" s="159">
        <v>1500</v>
      </c>
      <c r="Z667" s="159">
        <v>13972</v>
      </c>
      <c r="AA667" s="159">
        <v>123371</v>
      </c>
      <c r="AB667" s="159">
        <v>83804</v>
      </c>
      <c r="AC667" s="159">
        <v>1500</v>
      </c>
      <c r="AD667" s="207">
        <v>326108</v>
      </c>
      <c r="AE667" s="200">
        <v>7.9982022049541133</v>
      </c>
      <c r="AF667" s="200">
        <v>9.4017336447605615</v>
      </c>
      <c r="AG667" s="200">
        <v>7.8346728650551771</v>
      </c>
      <c r="AH667" s="200">
        <v>0</v>
      </c>
      <c r="AI667" s="200">
        <v>0</v>
      </c>
      <c r="AJ667" s="200">
        <v>0</v>
      </c>
      <c r="AL667" s="197">
        <f t="shared" si="94"/>
        <v>373839.03111302922</v>
      </c>
      <c r="AM667" s="197" t="str">
        <f t="shared" si="95"/>
        <v>Longhaul Sleeper 8</v>
      </c>
      <c r="AN667" s="3">
        <f t="shared" si="96"/>
        <v>29.541271474848401</v>
      </c>
      <c r="AO667" s="3">
        <f t="shared" si="97"/>
        <v>11.402760667718635</v>
      </c>
      <c r="AP667" s="3">
        <f t="shared" si="98"/>
        <v>0</v>
      </c>
      <c r="AQ667" s="3">
        <f t="shared" si="90"/>
        <v>0</v>
      </c>
      <c r="AR667" s="3">
        <f t="shared" si="91"/>
        <v>11.402760667718635</v>
      </c>
      <c r="AS667" s="81">
        <f t="shared" si="92"/>
        <v>1</v>
      </c>
      <c r="AT667" s="81">
        <f t="shared" si="93"/>
        <v>0</v>
      </c>
    </row>
    <row r="668" spans="1:46" x14ac:dyDescent="0.25">
      <c r="A668" t="s">
        <v>828</v>
      </c>
      <c r="B668">
        <v>2023</v>
      </c>
      <c r="C668" t="s">
        <v>680</v>
      </c>
      <c r="D668" t="s">
        <v>811</v>
      </c>
      <c r="E668" t="s">
        <v>2399</v>
      </c>
      <c r="F668">
        <v>8</v>
      </c>
      <c r="G668" t="s">
        <v>2405</v>
      </c>
      <c r="H668" s="460">
        <v>14594.413229627713</v>
      </c>
      <c r="I668">
        <v>17273</v>
      </c>
      <c r="J668">
        <v>499.99999997124189</v>
      </c>
      <c r="K668" s="67">
        <v>96.817499999999995</v>
      </c>
      <c r="L668" s="159">
        <v>0</v>
      </c>
      <c r="M668" s="159">
        <v>0</v>
      </c>
      <c r="N668" s="159">
        <v>0</v>
      </c>
      <c r="O668" s="159">
        <v>0</v>
      </c>
      <c r="P668" s="159">
        <v>6967</v>
      </c>
      <c r="Q668" s="159">
        <v>1500</v>
      </c>
      <c r="R668" s="159">
        <v>1800</v>
      </c>
      <c r="S668" s="159">
        <v>75000</v>
      </c>
      <c r="T668" s="159">
        <v>0</v>
      </c>
      <c r="U668" s="159">
        <v>33886</v>
      </c>
      <c r="V668" s="159">
        <v>4500</v>
      </c>
      <c r="W668" s="159">
        <v>186</v>
      </c>
      <c r="X668" s="159">
        <v>0</v>
      </c>
      <c r="Y668" s="159">
        <v>1500</v>
      </c>
      <c r="Z668" s="159">
        <v>15344</v>
      </c>
      <c r="AA668" s="159">
        <v>59063</v>
      </c>
      <c r="AB668" s="159">
        <v>59808</v>
      </c>
      <c r="AC668" s="159">
        <v>1500</v>
      </c>
      <c r="AD668" s="207">
        <v>261054</v>
      </c>
      <c r="AE668" s="200">
        <v>8.3004284531004799</v>
      </c>
      <c r="AF668" s="200">
        <v>9.0575749172479263</v>
      </c>
      <c r="AG668" s="200">
        <v>7.5776894082337289</v>
      </c>
      <c r="AH668" s="200">
        <v>0</v>
      </c>
      <c r="AI668" s="200">
        <v>0</v>
      </c>
      <c r="AJ668" s="200">
        <v>0</v>
      </c>
      <c r="AL668" s="197">
        <f t="shared" si="94"/>
        <v>299263.35578452761</v>
      </c>
      <c r="AM668" s="197" t="str">
        <f t="shared" si="95"/>
        <v>Longhaul Sleeper 8</v>
      </c>
      <c r="AN668" s="3">
        <f t="shared" si="96"/>
        <v>30.448898145888151</v>
      </c>
      <c r="AO668" s="3">
        <f t="shared" si="97"/>
        <v>11.753099335921052</v>
      </c>
      <c r="AP668" s="3">
        <f t="shared" si="98"/>
        <v>0</v>
      </c>
      <c r="AQ668" s="3">
        <f t="shared" si="90"/>
        <v>0</v>
      </c>
      <c r="AR668" s="3">
        <f t="shared" si="91"/>
        <v>11.753099335921052</v>
      </c>
      <c r="AS668" s="81">
        <f t="shared" si="92"/>
        <v>1</v>
      </c>
      <c r="AT668" s="81">
        <f t="shared" si="93"/>
        <v>0</v>
      </c>
    </row>
    <row r="669" spans="1:46" x14ac:dyDescent="0.25">
      <c r="A669" t="s">
        <v>805</v>
      </c>
      <c r="B669">
        <v>2025</v>
      </c>
      <c r="C669" t="s">
        <v>680</v>
      </c>
      <c r="D669" t="s">
        <v>811</v>
      </c>
      <c r="E669" t="s">
        <v>2399</v>
      </c>
      <c r="F669">
        <v>8</v>
      </c>
      <c r="G669" t="s">
        <v>2406</v>
      </c>
      <c r="H669" s="460">
        <v>13235.82437329536</v>
      </c>
      <c r="I669">
        <v>17273</v>
      </c>
      <c r="J669">
        <v>0</v>
      </c>
      <c r="K669" s="67">
        <v>0</v>
      </c>
      <c r="L669" s="159">
        <v>300</v>
      </c>
      <c r="M669" s="159">
        <v>38505</v>
      </c>
      <c r="N669" s="159">
        <v>1920</v>
      </c>
      <c r="O669" s="159">
        <v>392</v>
      </c>
      <c r="P669" s="159">
        <v>12677</v>
      </c>
      <c r="Q669" s="159">
        <v>1500</v>
      </c>
      <c r="R669" s="159">
        <v>1800</v>
      </c>
      <c r="S669" s="159">
        <v>75504</v>
      </c>
      <c r="T669" s="159">
        <v>230</v>
      </c>
      <c r="U669" s="159">
        <v>120</v>
      </c>
      <c r="V669" s="159">
        <v>0</v>
      </c>
      <c r="W669" s="159">
        <v>186</v>
      </c>
      <c r="X669" s="159">
        <v>0</v>
      </c>
      <c r="Y669" s="159">
        <v>0</v>
      </c>
      <c r="Z669" s="159">
        <v>0</v>
      </c>
      <c r="AA669" s="159">
        <v>0</v>
      </c>
      <c r="AB669" s="159">
        <v>0</v>
      </c>
      <c r="AC669" s="159">
        <v>1500</v>
      </c>
      <c r="AD669" s="207">
        <v>134634</v>
      </c>
      <c r="AE669" s="200">
        <v>4.505092151568526</v>
      </c>
      <c r="AF669" s="200">
        <v>8.8279319793416064</v>
      </c>
      <c r="AG669" s="200">
        <v>7.9026124807959386</v>
      </c>
      <c r="AH669" s="200">
        <v>0</v>
      </c>
      <c r="AI669" s="200">
        <v>0</v>
      </c>
      <c r="AJ669" s="200">
        <v>0</v>
      </c>
      <c r="AL669" s="197">
        <f t="shared" si="94"/>
        <v>154339.80189039084</v>
      </c>
      <c r="AM669" s="197" t="str">
        <f t="shared" si="95"/>
        <v>Longhaul Sleeper 8</v>
      </c>
      <c r="AN669" s="3">
        <f t="shared" si="96"/>
        <v>30.605776654588688</v>
      </c>
      <c r="AO669" s="3">
        <f t="shared" si="97"/>
        <v>11.813653536851227</v>
      </c>
      <c r="AP669" s="3">
        <f t="shared" si="98"/>
        <v>0</v>
      </c>
      <c r="AQ669" s="3">
        <f t="shared" si="90"/>
        <v>0</v>
      </c>
      <c r="AR669" s="3">
        <f t="shared" si="91"/>
        <v>11.813653536851227</v>
      </c>
      <c r="AS669" s="81">
        <f t="shared" si="92"/>
        <v>1</v>
      </c>
      <c r="AT669" s="81">
        <f t="shared" si="93"/>
        <v>0</v>
      </c>
    </row>
    <row r="670" spans="1:46" x14ac:dyDescent="0.25">
      <c r="A670" t="s">
        <v>807</v>
      </c>
      <c r="B670">
        <v>2025</v>
      </c>
      <c r="C670" t="s">
        <v>680</v>
      </c>
      <c r="D670" t="s">
        <v>811</v>
      </c>
      <c r="E670" t="s">
        <v>2399</v>
      </c>
      <c r="F670">
        <v>8</v>
      </c>
      <c r="G670" t="s">
        <v>2407</v>
      </c>
      <c r="H670" s="460">
        <v>13405.73498496231</v>
      </c>
      <c r="I670">
        <v>17273</v>
      </c>
      <c r="J670">
        <v>0</v>
      </c>
      <c r="K670" s="67">
        <v>6.4944000000000006</v>
      </c>
      <c r="L670" s="159">
        <v>300</v>
      </c>
      <c r="M670" s="159">
        <v>38722</v>
      </c>
      <c r="N670" s="159">
        <v>220</v>
      </c>
      <c r="O670" s="159">
        <v>392</v>
      </c>
      <c r="P670" s="159">
        <v>12861</v>
      </c>
      <c r="Q670" s="159">
        <v>1500</v>
      </c>
      <c r="R670" s="159">
        <v>1800</v>
      </c>
      <c r="S670" s="159">
        <v>75504</v>
      </c>
      <c r="T670" s="159">
        <v>0</v>
      </c>
      <c r="U670" s="159">
        <v>3068</v>
      </c>
      <c r="V670" s="159">
        <v>4500</v>
      </c>
      <c r="W670" s="159">
        <v>186</v>
      </c>
      <c r="X670" s="159">
        <v>120</v>
      </c>
      <c r="Y670" s="159">
        <v>1500</v>
      </c>
      <c r="Z670" s="159">
        <v>5231</v>
      </c>
      <c r="AA670" s="159">
        <v>0</v>
      </c>
      <c r="AB670" s="159">
        <v>0</v>
      </c>
      <c r="AC670" s="159">
        <v>1500</v>
      </c>
      <c r="AD670" s="207">
        <v>147404</v>
      </c>
      <c r="AE670" s="200">
        <v>6.3889329423718095</v>
      </c>
      <c r="AF670" s="200">
        <v>9.2259471663769563</v>
      </c>
      <c r="AG670" s="200">
        <v>7.7400491367082038</v>
      </c>
      <c r="AH670" s="200">
        <v>0</v>
      </c>
      <c r="AI670" s="200">
        <v>0</v>
      </c>
      <c r="AJ670" s="200">
        <v>0</v>
      </c>
      <c r="AL670" s="197">
        <f t="shared" si="94"/>
        <v>168978.8920915309</v>
      </c>
      <c r="AM670" s="197" t="str">
        <f t="shared" si="95"/>
        <v>Longhaul Sleeper 8</v>
      </c>
      <c r="AN670" s="3">
        <f t="shared" si="96"/>
        <v>30.27019467924551</v>
      </c>
      <c r="AO670" s="3">
        <f t="shared" si="97"/>
        <v>11.684120826910274</v>
      </c>
      <c r="AP670" s="3">
        <f t="shared" si="98"/>
        <v>0</v>
      </c>
      <c r="AQ670" s="3">
        <f t="shared" si="90"/>
        <v>0</v>
      </c>
      <c r="AR670" s="3">
        <f t="shared" si="91"/>
        <v>11.684120826910274</v>
      </c>
      <c r="AS670" s="81">
        <f t="shared" si="92"/>
        <v>1</v>
      </c>
      <c r="AT670" s="81">
        <f t="shared" si="93"/>
        <v>0</v>
      </c>
    </row>
    <row r="671" spans="1:46" x14ac:dyDescent="0.25">
      <c r="A671" t="s">
        <v>808</v>
      </c>
      <c r="B671">
        <v>2025</v>
      </c>
      <c r="C671" t="s">
        <v>680</v>
      </c>
      <c r="D671" t="s">
        <v>811</v>
      </c>
      <c r="E671" t="s">
        <v>2399</v>
      </c>
      <c r="F671">
        <v>8</v>
      </c>
      <c r="G671" t="s">
        <v>2408</v>
      </c>
      <c r="H671" s="460">
        <v>19709.543133120758</v>
      </c>
      <c r="I671">
        <v>17273</v>
      </c>
      <c r="J671">
        <v>400.00000002670322</v>
      </c>
      <c r="K671" s="67">
        <v>1042.6500000000001</v>
      </c>
      <c r="L671" s="159">
        <v>0</v>
      </c>
      <c r="M671" s="159">
        <v>20544</v>
      </c>
      <c r="N671" s="159">
        <v>220</v>
      </c>
      <c r="O671" s="159">
        <v>0</v>
      </c>
      <c r="P671" s="159">
        <v>6310</v>
      </c>
      <c r="Q671" s="159">
        <v>1500</v>
      </c>
      <c r="R671" s="159">
        <v>1800</v>
      </c>
      <c r="S671" s="159">
        <v>75504</v>
      </c>
      <c r="T671" s="159">
        <v>7900</v>
      </c>
      <c r="U671" s="159">
        <v>291942</v>
      </c>
      <c r="V671" s="159">
        <v>4500</v>
      </c>
      <c r="W671" s="159">
        <v>186</v>
      </c>
      <c r="X671" s="159">
        <v>0</v>
      </c>
      <c r="Y671" s="159">
        <v>1500</v>
      </c>
      <c r="Z671" s="159">
        <v>11663</v>
      </c>
      <c r="AA671" s="159">
        <v>0</v>
      </c>
      <c r="AB671" s="159">
        <v>0</v>
      </c>
      <c r="AC671" s="159">
        <v>1500</v>
      </c>
      <c r="AD671" s="207">
        <v>425069</v>
      </c>
      <c r="AE671" s="200">
        <v>6.640893325617836</v>
      </c>
      <c r="AF671" s="200">
        <v>6.492010126220654</v>
      </c>
      <c r="AG671" s="200">
        <v>6.1231241822031137</v>
      </c>
      <c r="AH671" s="200">
        <v>2263</v>
      </c>
      <c r="AI671" s="200">
        <v>2279</v>
      </c>
      <c r="AJ671" s="200">
        <v>2672</v>
      </c>
      <c r="AL671" s="197">
        <f t="shared" si="94"/>
        <v>487284.52879470668</v>
      </c>
      <c r="AM671" s="197" t="str">
        <f t="shared" si="95"/>
        <v>Longhaul Sleeper 8</v>
      </c>
      <c r="AN671" s="3">
        <f t="shared" si="96"/>
        <v>7.6136066637954585</v>
      </c>
      <c r="AO671" s="3">
        <f t="shared" si="97"/>
        <v>2.9388083271677412</v>
      </c>
      <c r="AP671" s="3">
        <f t="shared" si="98"/>
        <v>130.04983409347932</v>
      </c>
      <c r="AQ671" s="3">
        <f t="shared" si="90"/>
        <v>4.6817940273652559</v>
      </c>
      <c r="AR671" s="3">
        <f t="shared" si="91"/>
        <v>7.6206023545329966</v>
      </c>
      <c r="AS671" s="81">
        <f t="shared" si="92"/>
        <v>0.38563989963596995</v>
      </c>
      <c r="AT671" s="81">
        <f t="shared" si="93"/>
        <v>0.6143601003640301</v>
      </c>
    </row>
    <row r="672" spans="1:46" x14ac:dyDescent="0.25">
      <c r="A672" t="s">
        <v>230</v>
      </c>
      <c r="B672">
        <v>2025</v>
      </c>
      <c r="C672" t="s">
        <v>680</v>
      </c>
      <c r="D672" t="s">
        <v>811</v>
      </c>
      <c r="E672" t="s">
        <v>2399</v>
      </c>
      <c r="F672">
        <v>8</v>
      </c>
      <c r="G672" t="s">
        <v>2409</v>
      </c>
      <c r="H672" s="460">
        <v>19802.265183680262</v>
      </c>
      <c r="I672">
        <v>17273</v>
      </c>
      <c r="J672">
        <v>499.99999997124189</v>
      </c>
      <c r="K672" s="67">
        <v>1271.5364999999999</v>
      </c>
      <c r="L672" s="159">
        <v>0</v>
      </c>
      <c r="M672" s="159">
        <v>0</v>
      </c>
      <c r="N672" s="159">
        <v>0</v>
      </c>
      <c r="O672" s="159">
        <v>0</v>
      </c>
      <c r="P672" s="159">
        <v>5736</v>
      </c>
      <c r="Q672" s="159">
        <v>1500</v>
      </c>
      <c r="R672" s="159">
        <v>1800</v>
      </c>
      <c r="S672" s="159">
        <v>75504</v>
      </c>
      <c r="T672" s="159">
        <v>0</v>
      </c>
      <c r="U672" s="159">
        <v>356030</v>
      </c>
      <c r="V672" s="159">
        <v>4500</v>
      </c>
      <c r="W672" s="159">
        <v>186</v>
      </c>
      <c r="X672" s="159">
        <v>0</v>
      </c>
      <c r="Y672" s="159">
        <v>1500</v>
      </c>
      <c r="Z672" s="159">
        <v>10478</v>
      </c>
      <c r="AA672" s="159">
        <v>0</v>
      </c>
      <c r="AB672" s="159">
        <v>0</v>
      </c>
      <c r="AC672" s="159">
        <v>1500</v>
      </c>
      <c r="AD672" s="207">
        <v>458734</v>
      </c>
      <c r="AE672" s="200">
        <v>0</v>
      </c>
      <c r="AF672" s="200">
        <v>0</v>
      </c>
      <c r="AG672" s="200">
        <v>0</v>
      </c>
      <c r="AH672" s="200">
        <v>2164</v>
      </c>
      <c r="AI672" s="200">
        <v>1997</v>
      </c>
      <c r="AJ672" s="200">
        <v>2330</v>
      </c>
      <c r="AL672" s="197">
        <f t="shared" si="94"/>
        <v>525876.93064446235</v>
      </c>
      <c r="AM672" s="197" t="str">
        <f t="shared" si="95"/>
        <v>Longhaul Sleeper 8</v>
      </c>
      <c r="AN672" s="3">
        <f t="shared" si="96"/>
        <v>0</v>
      </c>
      <c r="AO672" s="3">
        <f t="shared" si="97"/>
        <v>0</v>
      </c>
      <c r="AP672" s="3">
        <f t="shared" si="98"/>
        <v>142.40185417624616</v>
      </c>
      <c r="AQ672" s="3">
        <f t="shared" si="90"/>
        <v>5.1264667503448615</v>
      </c>
      <c r="AR672" s="3">
        <f t="shared" si="91"/>
        <v>5.1264667503448615</v>
      </c>
      <c r="AS672" s="81">
        <f t="shared" si="92"/>
        <v>0</v>
      </c>
      <c r="AT672" s="81">
        <f t="shared" si="93"/>
        <v>1</v>
      </c>
    </row>
    <row r="673" spans="1:46" x14ac:dyDescent="0.25">
      <c r="A673" t="s">
        <v>496</v>
      </c>
      <c r="B673">
        <v>2025</v>
      </c>
      <c r="C673" t="s">
        <v>680</v>
      </c>
      <c r="D673" t="s">
        <v>811</v>
      </c>
      <c r="E673" t="s">
        <v>2399</v>
      </c>
      <c r="F673">
        <v>8</v>
      </c>
      <c r="G673" t="s">
        <v>2410</v>
      </c>
      <c r="H673" s="460">
        <v>14235.222945268917</v>
      </c>
      <c r="I673">
        <v>17273</v>
      </c>
      <c r="J673">
        <v>499.99999997124189</v>
      </c>
      <c r="K673" s="67">
        <v>17.962560000000003</v>
      </c>
      <c r="L673" s="159">
        <v>0</v>
      </c>
      <c r="M673" s="159">
        <v>0</v>
      </c>
      <c r="N673" s="159">
        <v>0</v>
      </c>
      <c r="O673" s="159">
        <v>0</v>
      </c>
      <c r="P673" s="159">
        <v>6360</v>
      </c>
      <c r="Q673" s="159">
        <v>1500</v>
      </c>
      <c r="R673" s="159">
        <v>1800</v>
      </c>
      <c r="S673" s="159">
        <v>75504</v>
      </c>
      <c r="T673" s="159">
        <v>0</v>
      </c>
      <c r="U673" s="159">
        <v>8486</v>
      </c>
      <c r="V673" s="159">
        <v>4500</v>
      </c>
      <c r="W673" s="159">
        <v>186</v>
      </c>
      <c r="X673" s="159">
        <v>0</v>
      </c>
      <c r="Y673" s="159">
        <v>1500</v>
      </c>
      <c r="Z673" s="159">
        <v>11766</v>
      </c>
      <c r="AA673" s="159">
        <v>104259</v>
      </c>
      <c r="AB673" s="159">
        <v>59497</v>
      </c>
      <c r="AC673" s="159">
        <v>1500</v>
      </c>
      <c r="AD673" s="207">
        <v>276858</v>
      </c>
      <c r="AE673" s="200">
        <v>8.8875126278201382</v>
      </c>
      <c r="AF673" s="200">
        <v>10.691264974882225</v>
      </c>
      <c r="AG673" s="200">
        <v>8.935764904298992</v>
      </c>
      <c r="AH673" s="200">
        <v>0</v>
      </c>
      <c r="AI673" s="200">
        <v>0</v>
      </c>
      <c r="AJ673" s="200">
        <v>0</v>
      </c>
      <c r="AL673" s="197">
        <f t="shared" si="94"/>
        <v>317380.51956986962</v>
      </c>
      <c r="AM673" s="197" t="str">
        <f t="shared" si="95"/>
        <v>Longhaul Sleeper 8</v>
      </c>
      <c r="AN673" s="3">
        <f t="shared" si="96"/>
        <v>25.941033096504277</v>
      </c>
      <c r="AO673" s="3">
        <f t="shared" si="97"/>
        <v>10.013089386645104</v>
      </c>
      <c r="AP673" s="3">
        <f t="shared" si="98"/>
        <v>0</v>
      </c>
      <c r="AQ673" s="3">
        <f t="shared" si="90"/>
        <v>0</v>
      </c>
      <c r="AR673" s="3">
        <f t="shared" si="91"/>
        <v>10.013089386645104</v>
      </c>
      <c r="AS673" s="81">
        <f t="shared" si="92"/>
        <v>1</v>
      </c>
      <c r="AT673" s="81">
        <f t="shared" si="93"/>
        <v>0</v>
      </c>
    </row>
    <row r="674" spans="1:46" x14ac:dyDescent="0.25">
      <c r="A674" t="s">
        <v>828</v>
      </c>
      <c r="B674">
        <v>2025</v>
      </c>
      <c r="C674" t="s">
        <v>680</v>
      </c>
      <c r="D674" t="s">
        <v>811</v>
      </c>
      <c r="E674" t="s">
        <v>2399</v>
      </c>
      <c r="F674">
        <v>8</v>
      </c>
      <c r="G674" t="s">
        <v>2411</v>
      </c>
      <c r="H674" s="460">
        <v>13912.762094826547</v>
      </c>
      <c r="I674">
        <v>17273</v>
      </c>
      <c r="J674">
        <v>499.99999997124189</v>
      </c>
      <c r="K674" s="67">
        <v>101.16187500000001</v>
      </c>
      <c r="L674" s="159">
        <v>0</v>
      </c>
      <c r="M674" s="159">
        <v>0</v>
      </c>
      <c r="N674" s="159">
        <v>0</v>
      </c>
      <c r="O674" s="159">
        <v>0</v>
      </c>
      <c r="P674" s="159">
        <v>6935</v>
      </c>
      <c r="Q674" s="159">
        <v>1500</v>
      </c>
      <c r="R674" s="159">
        <v>1800</v>
      </c>
      <c r="S674" s="159">
        <v>75504</v>
      </c>
      <c r="T674" s="159">
        <v>0</v>
      </c>
      <c r="U674" s="159">
        <v>28325</v>
      </c>
      <c r="V674" s="159">
        <v>4500</v>
      </c>
      <c r="W674" s="159">
        <v>186</v>
      </c>
      <c r="X674" s="159">
        <v>0</v>
      </c>
      <c r="Y674" s="159">
        <v>1500</v>
      </c>
      <c r="Z674" s="159">
        <v>12953</v>
      </c>
      <c r="AA674" s="159">
        <v>45983</v>
      </c>
      <c r="AB674" s="159">
        <v>40342</v>
      </c>
      <c r="AC674" s="159">
        <v>1500</v>
      </c>
      <c r="AD674" s="207">
        <v>221028</v>
      </c>
      <c r="AE674" s="200">
        <v>9.2869585417268787</v>
      </c>
      <c r="AF674" s="200">
        <v>10.271499278083828</v>
      </c>
      <c r="AG674" s="200">
        <v>8.6177013632005419</v>
      </c>
      <c r="AH674" s="200">
        <v>0</v>
      </c>
      <c r="AI674" s="200">
        <v>0</v>
      </c>
      <c r="AJ674" s="200">
        <v>0</v>
      </c>
      <c r="AL674" s="197">
        <f t="shared" si="94"/>
        <v>253378.92161140058</v>
      </c>
      <c r="AM674" s="197" t="str">
        <f t="shared" si="95"/>
        <v>Longhaul Sleeper 8</v>
      </c>
      <c r="AN674" s="3">
        <f t="shared" si="96"/>
        <v>26.800550946927814</v>
      </c>
      <c r="AO674" s="3">
        <f t="shared" si="97"/>
        <v>10.344858327137597</v>
      </c>
      <c r="AP674" s="3">
        <f t="shared" si="98"/>
        <v>0</v>
      </c>
      <c r="AQ674" s="3">
        <f t="shared" si="90"/>
        <v>0</v>
      </c>
      <c r="AR674" s="3">
        <f t="shared" si="91"/>
        <v>10.344858327137597</v>
      </c>
      <c r="AS674" s="81">
        <f t="shared" si="92"/>
        <v>1</v>
      </c>
      <c r="AT674" s="81">
        <f t="shared" si="93"/>
        <v>0</v>
      </c>
    </row>
    <row r="675" spans="1:46" x14ac:dyDescent="0.25">
      <c r="A675" t="s">
        <v>805</v>
      </c>
      <c r="B675">
        <v>2030</v>
      </c>
      <c r="C675" t="s">
        <v>680</v>
      </c>
      <c r="D675" t="s">
        <v>811</v>
      </c>
      <c r="E675" t="s">
        <v>2399</v>
      </c>
      <c r="F675">
        <v>8</v>
      </c>
      <c r="G675" t="s">
        <v>2412</v>
      </c>
      <c r="H675" s="460">
        <v>13119.477364079288</v>
      </c>
      <c r="I675">
        <v>17273</v>
      </c>
      <c r="J675">
        <v>0</v>
      </c>
      <c r="K675" s="67">
        <v>0</v>
      </c>
      <c r="L675" s="159">
        <v>300</v>
      </c>
      <c r="M675" s="159">
        <v>39176</v>
      </c>
      <c r="N675" s="159">
        <v>1920</v>
      </c>
      <c r="O675" s="159">
        <v>392</v>
      </c>
      <c r="P675" s="159">
        <v>12653</v>
      </c>
      <c r="Q675" s="159">
        <v>1500</v>
      </c>
      <c r="R675" s="159">
        <v>1800</v>
      </c>
      <c r="S675" s="159">
        <v>76067</v>
      </c>
      <c r="T675" s="159">
        <v>183</v>
      </c>
      <c r="U675" s="159">
        <v>120</v>
      </c>
      <c r="V675" s="159">
        <v>0</v>
      </c>
      <c r="W675" s="159">
        <v>186</v>
      </c>
      <c r="X675" s="159">
        <v>0</v>
      </c>
      <c r="Y675" s="159">
        <v>0</v>
      </c>
      <c r="Z675" s="159">
        <v>0</v>
      </c>
      <c r="AA675" s="159">
        <v>0</v>
      </c>
      <c r="AB675" s="159">
        <v>0</v>
      </c>
      <c r="AC675" s="159">
        <v>1500</v>
      </c>
      <c r="AD675" s="207">
        <v>135797</v>
      </c>
      <c r="AE675" s="200">
        <v>4.7692087322085737</v>
      </c>
      <c r="AF675" s="200">
        <v>9.6702867657589184</v>
      </c>
      <c r="AG675" s="200">
        <v>8.7257451697403763</v>
      </c>
      <c r="AH675" s="200">
        <v>0</v>
      </c>
      <c r="AI675" s="200">
        <v>0</v>
      </c>
      <c r="AJ675" s="200">
        <v>0</v>
      </c>
      <c r="AL675" s="197">
        <f t="shared" si="94"/>
        <v>155673.02521881103</v>
      </c>
      <c r="AM675" s="197" t="str">
        <f t="shared" si="95"/>
        <v>Longhaul Sleeper 8</v>
      </c>
      <c r="AN675" s="3">
        <f t="shared" si="96"/>
        <v>27.837637992741172</v>
      </c>
      <c r="AO675" s="3">
        <f t="shared" si="97"/>
        <v>10.745167954469295</v>
      </c>
      <c r="AP675" s="3">
        <f t="shared" si="98"/>
        <v>0</v>
      </c>
      <c r="AQ675" s="3">
        <f t="shared" si="90"/>
        <v>0</v>
      </c>
      <c r="AR675" s="3">
        <f t="shared" si="91"/>
        <v>10.745167954469295</v>
      </c>
      <c r="AS675" s="81">
        <f t="shared" si="92"/>
        <v>1</v>
      </c>
      <c r="AT675" s="81">
        <f t="shared" si="93"/>
        <v>0</v>
      </c>
    </row>
    <row r="676" spans="1:46" x14ac:dyDescent="0.25">
      <c r="A676" t="s">
        <v>807</v>
      </c>
      <c r="B676">
        <v>2030</v>
      </c>
      <c r="C676" t="s">
        <v>680</v>
      </c>
      <c r="D676" t="s">
        <v>811</v>
      </c>
      <c r="E676" t="s">
        <v>2399</v>
      </c>
      <c r="F676">
        <v>8</v>
      </c>
      <c r="G676" t="s">
        <v>2413</v>
      </c>
      <c r="H676" s="460">
        <v>13289.489782636938</v>
      </c>
      <c r="I676">
        <v>17273</v>
      </c>
      <c r="J676">
        <v>0</v>
      </c>
      <c r="K676" s="67">
        <v>7.128000000000001</v>
      </c>
      <c r="L676" s="159">
        <v>300</v>
      </c>
      <c r="M676" s="159">
        <v>39452</v>
      </c>
      <c r="N676" s="159">
        <v>220</v>
      </c>
      <c r="O676" s="159">
        <v>392</v>
      </c>
      <c r="P676" s="159">
        <v>12887</v>
      </c>
      <c r="Q676" s="159">
        <v>1500</v>
      </c>
      <c r="R676" s="159">
        <v>1800</v>
      </c>
      <c r="S676" s="159">
        <v>76067</v>
      </c>
      <c r="T676" s="159">
        <v>0</v>
      </c>
      <c r="U676" s="159">
        <v>2559</v>
      </c>
      <c r="V676" s="159">
        <v>4500</v>
      </c>
      <c r="W676" s="159">
        <v>186</v>
      </c>
      <c r="X676" s="159">
        <v>120</v>
      </c>
      <c r="Y676" s="159">
        <v>1500</v>
      </c>
      <c r="Z676" s="159">
        <v>4106</v>
      </c>
      <c r="AA676" s="159">
        <v>0</v>
      </c>
      <c r="AB676" s="159">
        <v>0</v>
      </c>
      <c r="AC676" s="159">
        <v>1500</v>
      </c>
      <c r="AD676" s="207">
        <v>147089</v>
      </c>
      <c r="AE676" s="200">
        <v>6.9529096219379865</v>
      </c>
      <c r="AF676" s="200">
        <v>10.291345365611066</v>
      </c>
      <c r="AG676" s="200">
        <v>8.6512821136392866</v>
      </c>
      <c r="AH676" s="200">
        <v>0</v>
      </c>
      <c r="AI676" s="200">
        <v>0</v>
      </c>
      <c r="AJ676" s="200">
        <v>0</v>
      </c>
      <c r="AL676" s="197">
        <f t="shared" si="94"/>
        <v>168617.78689079799</v>
      </c>
      <c r="AM676" s="197" t="str">
        <f t="shared" si="95"/>
        <v>Longhaul Sleeper 8</v>
      </c>
      <c r="AN676" s="3">
        <f t="shared" si="96"/>
        <v>27.130576818849836</v>
      </c>
      <c r="AO676" s="3">
        <f t="shared" si="97"/>
        <v>10.472246413154343</v>
      </c>
      <c r="AP676" s="3">
        <f t="shared" si="98"/>
        <v>0</v>
      </c>
      <c r="AQ676" s="3">
        <f t="shared" si="90"/>
        <v>0</v>
      </c>
      <c r="AR676" s="3">
        <f t="shared" si="91"/>
        <v>10.472246413154343</v>
      </c>
      <c r="AS676" s="81">
        <f t="shared" si="92"/>
        <v>1</v>
      </c>
      <c r="AT676" s="81">
        <f t="shared" si="93"/>
        <v>0</v>
      </c>
    </row>
    <row r="677" spans="1:46" x14ac:dyDescent="0.25">
      <c r="A677" t="s">
        <v>808</v>
      </c>
      <c r="B677">
        <v>2030</v>
      </c>
      <c r="C677" t="s">
        <v>680</v>
      </c>
      <c r="D677" t="s">
        <v>811</v>
      </c>
      <c r="E677" t="s">
        <v>2399</v>
      </c>
      <c r="F677">
        <v>8</v>
      </c>
      <c r="G677" t="s">
        <v>2414</v>
      </c>
      <c r="H677" s="460">
        <v>18178.576470301559</v>
      </c>
      <c r="I677">
        <v>17273</v>
      </c>
      <c r="J677">
        <v>400.00000002670322</v>
      </c>
      <c r="K677" s="67">
        <v>983.07</v>
      </c>
      <c r="L677" s="159">
        <v>0</v>
      </c>
      <c r="M677" s="159">
        <v>18520</v>
      </c>
      <c r="N677" s="159">
        <v>220</v>
      </c>
      <c r="O677" s="159">
        <v>0</v>
      </c>
      <c r="P677" s="159">
        <v>6064</v>
      </c>
      <c r="Q677" s="159">
        <v>1500</v>
      </c>
      <c r="R677" s="159">
        <v>1800</v>
      </c>
      <c r="S677" s="159">
        <v>76067</v>
      </c>
      <c r="T677" s="159">
        <v>5707</v>
      </c>
      <c r="U677" s="159">
        <v>196614</v>
      </c>
      <c r="V677" s="159">
        <v>4500</v>
      </c>
      <c r="W677" s="159">
        <v>186</v>
      </c>
      <c r="X677" s="159">
        <v>0</v>
      </c>
      <c r="Y677" s="159">
        <v>1500</v>
      </c>
      <c r="Z677" s="159">
        <v>8854</v>
      </c>
      <c r="AA677" s="159">
        <v>0</v>
      </c>
      <c r="AB677" s="159">
        <v>0</v>
      </c>
      <c r="AC677" s="159">
        <v>1500</v>
      </c>
      <c r="AD677" s="207">
        <v>323032</v>
      </c>
      <c r="AE677" s="200">
        <v>7.3991351686196856</v>
      </c>
      <c r="AF677" s="200">
        <v>7.3836527185575038</v>
      </c>
      <c r="AG677" s="200">
        <v>6.9764233747633941</v>
      </c>
      <c r="AH677" s="200">
        <v>2103</v>
      </c>
      <c r="AI677" s="200">
        <v>2075</v>
      </c>
      <c r="AJ677" s="200">
        <v>2433</v>
      </c>
      <c r="AL677" s="197">
        <f t="shared" si="94"/>
        <v>370312.81016872951</v>
      </c>
      <c r="AM677" s="197" t="str">
        <f t="shared" si="95"/>
        <v>Longhaul Sleeper 8</v>
      </c>
      <c r="AN677" s="3">
        <f t="shared" si="96"/>
        <v>6.690410424659893</v>
      </c>
      <c r="AO677" s="3">
        <f t="shared" si="97"/>
        <v>2.5824598953419979</v>
      </c>
      <c r="AP677" s="3">
        <f t="shared" si="98"/>
        <v>118.5221270831521</v>
      </c>
      <c r="AQ677" s="3">
        <f t="shared" si="90"/>
        <v>4.2667965749934753</v>
      </c>
      <c r="AR677" s="3">
        <f t="shared" si="91"/>
        <v>6.8492564703354732</v>
      </c>
      <c r="AS677" s="81">
        <f t="shared" si="92"/>
        <v>0.37704237044221972</v>
      </c>
      <c r="AT677" s="81">
        <f t="shared" si="93"/>
        <v>0.62295762955778022</v>
      </c>
    </row>
    <row r="678" spans="1:46" x14ac:dyDescent="0.25">
      <c r="A678" t="s">
        <v>230</v>
      </c>
      <c r="B678">
        <v>2030</v>
      </c>
      <c r="C678" t="s">
        <v>680</v>
      </c>
      <c r="D678" t="s">
        <v>811</v>
      </c>
      <c r="E678" t="s">
        <v>2399</v>
      </c>
      <c r="F678">
        <v>8</v>
      </c>
      <c r="G678" t="s">
        <v>2415</v>
      </c>
      <c r="H678" s="460">
        <v>18021.088710735756</v>
      </c>
      <c r="I678">
        <v>17273</v>
      </c>
      <c r="J678">
        <v>499.99999997124189</v>
      </c>
      <c r="K678" s="67">
        <v>1179.684</v>
      </c>
      <c r="L678" s="159">
        <v>0</v>
      </c>
      <c r="M678" s="159">
        <v>0</v>
      </c>
      <c r="N678" s="159">
        <v>0</v>
      </c>
      <c r="O678" s="159">
        <v>0</v>
      </c>
      <c r="P678" s="159">
        <v>5736</v>
      </c>
      <c r="Q678" s="159">
        <v>1500</v>
      </c>
      <c r="R678" s="159">
        <v>1800</v>
      </c>
      <c r="S678" s="159">
        <v>76067</v>
      </c>
      <c r="T678" s="159">
        <v>0</v>
      </c>
      <c r="U678" s="159">
        <v>235937</v>
      </c>
      <c r="V678" s="159">
        <v>4500</v>
      </c>
      <c r="W678" s="159">
        <v>186</v>
      </c>
      <c r="X678" s="159">
        <v>0</v>
      </c>
      <c r="Y678" s="159">
        <v>1500</v>
      </c>
      <c r="Z678" s="159">
        <v>8317</v>
      </c>
      <c r="AA678" s="159">
        <v>0</v>
      </c>
      <c r="AB678" s="159">
        <v>0</v>
      </c>
      <c r="AC678" s="159">
        <v>1500</v>
      </c>
      <c r="AD678" s="207">
        <v>337043</v>
      </c>
      <c r="AE678" s="200">
        <v>0</v>
      </c>
      <c r="AF678" s="200">
        <v>0</v>
      </c>
      <c r="AG678" s="200">
        <v>0</v>
      </c>
      <c r="AH678" s="200">
        <v>1973</v>
      </c>
      <c r="AI678" s="200">
        <v>1801</v>
      </c>
      <c r="AJ678" s="200">
        <v>2101</v>
      </c>
      <c r="AL678" s="197">
        <f t="shared" si="94"/>
        <v>386374.54022418556</v>
      </c>
      <c r="AM678" s="197" t="str">
        <f t="shared" si="95"/>
        <v>Longhaul Sleeper 8</v>
      </c>
      <c r="AN678" s="3">
        <f t="shared" si="96"/>
        <v>0</v>
      </c>
      <c r="AO678" s="3">
        <f t="shared" si="97"/>
        <v>0</v>
      </c>
      <c r="AP678" s="3">
        <f t="shared" si="98"/>
        <v>128.47502702971406</v>
      </c>
      <c r="AQ678" s="3">
        <f t="shared" si="90"/>
        <v>4.6251009730697064</v>
      </c>
      <c r="AR678" s="3">
        <f t="shared" si="91"/>
        <v>4.6251009730697064</v>
      </c>
      <c r="AS678" s="81">
        <f t="shared" si="92"/>
        <v>0</v>
      </c>
      <c r="AT678" s="81">
        <f t="shared" si="93"/>
        <v>1</v>
      </c>
    </row>
    <row r="679" spans="1:46" x14ac:dyDescent="0.25">
      <c r="A679" t="s">
        <v>496</v>
      </c>
      <c r="B679">
        <v>2030</v>
      </c>
      <c r="C679" t="s">
        <v>680</v>
      </c>
      <c r="D679" t="s">
        <v>811</v>
      </c>
      <c r="E679" t="s">
        <v>2399</v>
      </c>
      <c r="F679">
        <v>8</v>
      </c>
      <c r="G679" t="s">
        <v>2416</v>
      </c>
      <c r="H679" s="460">
        <v>13695.752075790781</v>
      </c>
      <c r="I679">
        <v>17273</v>
      </c>
      <c r="J679">
        <v>499.99999997124189</v>
      </c>
      <c r="K679" s="67">
        <v>16.632000000000001</v>
      </c>
      <c r="L679" s="159">
        <v>0</v>
      </c>
      <c r="M679" s="159">
        <v>0</v>
      </c>
      <c r="N679" s="159">
        <v>0</v>
      </c>
      <c r="O679" s="159">
        <v>0</v>
      </c>
      <c r="P679" s="159">
        <v>6317</v>
      </c>
      <c r="Q679" s="159">
        <v>1500</v>
      </c>
      <c r="R679" s="159">
        <v>1800</v>
      </c>
      <c r="S679" s="159">
        <v>76067</v>
      </c>
      <c r="T679" s="159">
        <v>0</v>
      </c>
      <c r="U679" s="159">
        <v>5972</v>
      </c>
      <c r="V679" s="159">
        <v>4500</v>
      </c>
      <c r="W679" s="159">
        <v>186</v>
      </c>
      <c r="X679" s="159">
        <v>0</v>
      </c>
      <c r="Y679" s="159">
        <v>1500</v>
      </c>
      <c r="Z679" s="159">
        <v>9270</v>
      </c>
      <c r="AA679" s="159">
        <v>85380</v>
      </c>
      <c r="AB679" s="159">
        <v>46480</v>
      </c>
      <c r="AC679" s="159">
        <v>1500</v>
      </c>
      <c r="AD679" s="207">
        <v>240472</v>
      </c>
      <c r="AE679" s="200">
        <v>9.5961644849501724</v>
      </c>
      <c r="AF679" s="200">
        <v>12.014099787363079</v>
      </c>
      <c r="AG679" s="200">
        <v>10.088447553281869</v>
      </c>
      <c r="AH679" s="200">
        <v>0</v>
      </c>
      <c r="AI679" s="200">
        <v>0</v>
      </c>
      <c r="AJ679" s="200">
        <v>0</v>
      </c>
      <c r="AL679" s="197">
        <f t="shared" si="94"/>
        <v>275668.85660521162</v>
      </c>
      <c r="AM679" s="197" t="str">
        <f t="shared" si="95"/>
        <v>Longhaul Sleeper 8</v>
      </c>
      <c r="AN679" s="3">
        <f t="shared" si="96"/>
        <v>23.038764140775843</v>
      </c>
      <c r="AO679" s="3">
        <f t="shared" si="97"/>
        <v>8.8928302832514898</v>
      </c>
      <c r="AP679" s="3">
        <f t="shared" si="98"/>
        <v>0</v>
      </c>
      <c r="AQ679" s="3">
        <f t="shared" si="90"/>
        <v>0</v>
      </c>
      <c r="AR679" s="3">
        <f t="shared" si="91"/>
        <v>8.8928302832514898</v>
      </c>
      <c r="AS679" s="81">
        <f t="shared" si="92"/>
        <v>1</v>
      </c>
      <c r="AT679" s="81">
        <f t="shared" si="93"/>
        <v>0</v>
      </c>
    </row>
    <row r="680" spans="1:46" x14ac:dyDescent="0.25">
      <c r="A680" t="s">
        <v>828</v>
      </c>
      <c r="B680">
        <v>2030</v>
      </c>
      <c r="C680" t="s">
        <v>680</v>
      </c>
      <c r="D680" t="s">
        <v>811</v>
      </c>
      <c r="E680" t="s">
        <v>2399</v>
      </c>
      <c r="F680">
        <v>8</v>
      </c>
      <c r="G680" t="s">
        <v>2417</v>
      </c>
      <c r="H680" s="460">
        <v>13345.968424178776</v>
      </c>
      <c r="I680">
        <v>17273</v>
      </c>
      <c r="J680">
        <v>499.99999997124189</v>
      </c>
      <c r="K680" s="67">
        <v>105.50625000000001</v>
      </c>
      <c r="L680" s="159">
        <v>0</v>
      </c>
      <c r="M680" s="159">
        <v>0</v>
      </c>
      <c r="N680" s="159">
        <v>0</v>
      </c>
      <c r="O680" s="159">
        <v>0</v>
      </c>
      <c r="P680" s="159">
        <v>6903</v>
      </c>
      <c r="Q680" s="159">
        <v>1500</v>
      </c>
      <c r="R680" s="159">
        <v>1800</v>
      </c>
      <c r="S680" s="159">
        <v>76067</v>
      </c>
      <c r="T680" s="159">
        <v>0</v>
      </c>
      <c r="U680" s="159">
        <v>21101</v>
      </c>
      <c r="V680" s="159">
        <v>4500</v>
      </c>
      <c r="W680" s="159">
        <v>186</v>
      </c>
      <c r="X680" s="159">
        <v>0</v>
      </c>
      <c r="Y680" s="159">
        <v>1500</v>
      </c>
      <c r="Z680" s="159">
        <v>10233</v>
      </c>
      <c r="AA680" s="159">
        <v>34741</v>
      </c>
      <c r="AB680" s="159">
        <v>29795</v>
      </c>
      <c r="AC680" s="159">
        <v>1500</v>
      </c>
      <c r="AD680" s="207">
        <v>189826</v>
      </c>
      <c r="AE680" s="200">
        <v>10.158321270799011</v>
      </c>
      <c r="AF680" s="200">
        <v>11.530305364362871</v>
      </c>
      <c r="AG680" s="200">
        <v>9.7173694637334886</v>
      </c>
      <c r="AH680" s="200">
        <v>0</v>
      </c>
      <c r="AI680" s="200">
        <v>0</v>
      </c>
      <c r="AJ680" s="200">
        <v>0</v>
      </c>
      <c r="AL680" s="197">
        <f t="shared" si="94"/>
        <v>217610.01852166117</v>
      </c>
      <c r="AM680" s="197" t="str">
        <f t="shared" si="95"/>
        <v>Longhaul Sleeper 8</v>
      </c>
      <c r="AN680" s="3">
        <f t="shared" si="96"/>
        <v>23.810569682087337</v>
      </c>
      <c r="AO680" s="3">
        <f t="shared" si="97"/>
        <v>9.1907427775422974</v>
      </c>
      <c r="AP680" s="3">
        <f t="shared" si="98"/>
        <v>0</v>
      </c>
      <c r="AQ680" s="3">
        <f t="shared" si="90"/>
        <v>0</v>
      </c>
      <c r="AR680" s="3">
        <f t="shared" si="91"/>
        <v>9.1907427775422974</v>
      </c>
      <c r="AS680" s="81">
        <f t="shared" si="92"/>
        <v>1</v>
      </c>
      <c r="AT680" s="81">
        <f t="shared" si="93"/>
        <v>0</v>
      </c>
    </row>
    <row r="681" spans="1:46" x14ac:dyDescent="0.25">
      <c r="A681" t="s">
        <v>805</v>
      </c>
      <c r="B681">
        <v>2035</v>
      </c>
      <c r="C681" t="s">
        <v>680</v>
      </c>
      <c r="D681" t="s">
        <v>811</v>
      </c>
      <c r="E681" t="s">
        <v>2399</v>
      </c>
      <c r="F681">
        <v>8</v>
      </c>
      <c r="G681" t="s">
        <v>2418</v>
      </c>
      <c r="H681" s="460">
        <v>13115.808391762337</v>
      </c>
      <c r="I681">
        <v>17273</v>
      </c>
      <c r="J681">
        <v>0</v>
      </c>
      <c r="K681" s="67">
        <v>0</v>
      </c>
      <c r="L681" s="159">
        <v>300</v>
      </c>
      <c r="M681" s="159">
        <v>39996</v>
      </c>
      <c r="N681" s="159">
        <v>1920</v>
      </c>
      <c r="O681" s="159">
        <v>392</v>
      </c>
      <c r="P681" s="159">
        <v>12630</v>
      </c>
      <c r="Q681" s="159">
        <v>1500</v>
      </c>
      <c r="R681" s="159">
        <v>1800</v>
      </c>
      <c r="S681" s="159">
        <v>76067</v>
      </c>
      <c r="T681" s="159">
        <v>156</v>
      </c>
      <c r="U681" s="159">
        <v>120</v>
      </c>
      <c r="V681" s="159">
        <v>0</v>
      </c>
      <c r="W681" s="159">
        <v>186</v>
      </c>
      <c r="X681" s="159">
        <v>0</v>
      </c>
      <c r="Y681" s="159">
        <v>0</v>
      </c>
      <c r="Z681" s="159">
        <v>0</v>
      </c>
      <c r="AA681" s="159">
        <v>0</v>
      </c>
      <c r="AB681" s="159">
        <v>0</v>
      </c>
      <c r="AC681" s="159">
        <v>1500</v>
      </c>
      <c r="AD681" s="207">
        <v>136567</v>
      </c>
      <c r="AE681" s="200">
        <v>4.9430104407275701</v>
      </c>
      <c r="AF681" s="200">
        <v>10.39996226797768</v>
      </c>
      <c r="AG681" s="200">
        <v>9.4706639291728063</v>
      </c>
      <c r="AH681" s="200">
        <v>0</v>
      </c>
      <c r="AI681" s="200">
        <v>0</v>
      </c>
      <c r="AJ681" s="200">
        <v>0</v>
      </c>
      <c r="AL681" s="197">
        <f t="shared" si="94"/>
        <v>156555.72682060255</v>
      </c>
      <c r="AM681" s="197" t="str">
        <f t="shared" si="95"/>
        <v>Longhaul Sleeper 8</v>
      </c>
      <c r="AN681" s="3">
        <f t="shared" si="96"/>
        <v>25.773908011140968</v>
      </c>
      <c r="AO681" s="3">
        <f t="shared" si="97"/>
        <v>9.948580066130841</v>
      </c>
      <c r="AP681" s="3">
        <f t="shared" si="98"/>
        <v>0</v>
      </c>
      <c r="AQ681" s="3">
        <f t="shared" si="90"/>
        <v>0</v>
      </c>
      <c r="AR681" s="3">
        <f t="shared" si="91"/>
        <v>9.948580066130841</v>
      </c>
      <c r="AS681" s="81">
        <f t="shared" si="92"/>
        <v>1</v>
      </c>
      <c r="AT681" s="81">
        <f t="shared" si="93"/>
        <v>0</v>
      </c>
    </row>
    <row r="682" spans="1:46" x14ac:dyDescent="0.25">
      <c r="A682" t="s">
        <v>807</v>
      </c>
      <c r="B682">
        <v>2035</v>
      </c>
      <c r="C682" t="s">
        <v>680</v>
      </c>
      <c r="D682" t="s">
        <v>811</v>
      </c>
      <c r="E682" t="s">
        <v>2399</v>
      </c>
      <c r="F682">
        <v>8</v>
      </c>
      <c r="G682" t="s">
        <v>2419</v>
      </c>
      <c r="H682" s="460">
        <v>13258.093939399259</v>
      </c>
      <c r="I682">
        <v>17273</v>
      </c>
      <c r="J682">
        <v>0</v>
      </c>
      <c r="K682" s="67">
        <v>6.46272</v>
      </c>
      <c r="L682" s="159">
        <v>300</v>
      </c>
      <c r="M682" s="159">
        <v>40125</v>
      </c>
      <c r="N682" s="159">
        <v>220</v>
      </c>
      <c r="O682" s="159">
        <v>392</v>
      </c>
      <c r="P682" s="159">
        <v>12738</v>
      </c>
      <c r="Q682" s="159">
        <v>1500</v>
      </c>
      <c r="R682" s="159">
        <v>1800</v>
      </c>
      <c r="S682" s="159">
        <v>76067</v>
      </c>
      <c r="T682" s="159">
        <v>0</v>
      </c>
      <c r="U682" s="159">
        <v>2198</v>
      </c>
      <c r="V682" s="159">
        <v>4500</v>
      </c>
      <c r="W682" s="159">
        <v>186</v>
      </c>
      <c r="X682" s="159">
        <v>120</v>
      </c>
      <c r="Y682" s="159">
        <v>1500</v>
      </c>
      <c r="Z682" s="159">
        <v>3386</v>
      </c>
      <c r="AA682" s="159">
        <v>0</v>
      </c>
      <c r="AB682" s="159">
        <v>0</v>
      </c>
      <c r="AC682" s="159">
        <v>1500</v>
      </c>
      <c r="AD682" s="207">
        <v>146532</v>
      </c>
      <c r="AE682" s="200">
        <v>7.2677363482835338</v>
      </c>
      <c r="AF682" s="200">
        <v>11.205470096441102</v>
      </c>
      <c r="AG682" s="200">
        <v>9.4897155100348449</v>
      </c>
      <c r="AH682" s="200">
        <v>0</v>
      </c>
      <c r="AI682" s="200">
        <v>0</v>
      </c>
      <c r="AJ682" s="200">
        <v>0</v>
      </c>
      <c r="AL682" s="197">
        <f t="shared" si="94"/>
        <v>167979.2611866449</v>
      </c>
      <c r="AM682" s="197" t="str">
        <f t="shared" si="95"/>
        <v>Longhaul Sleeper 8</v>
      </c>
      <c r="AN682" s="3">
        <f t="shared" si="96"/>
        <v>24.823647901557944</v>
      </c>
      <c r="AO682" s="3">
        <f t="shared" si="97"/>
        <v>9.5817851361671522</v>
      </c>
      <c r="AP682" s="3">
        <f t="shared" si="98"/>
        <v>0</v>
      </c>
      <c r="AQ682" s="3">
        <f t="shared" si="90"/>
        <v>0</v>
      </c>
      <c r="AR682" s="3">
        <f t="shared" si="91"/>
        <v>9.5817851361671522</v>
      </c>
      <c r="AS682" s="81">
        <f t="shared" si="92"/>
        <v>1</v>
      </c>
      <c r="AT682" s="81">
        <f t="shared" si="93"/>
        <v>0</v>
      </c>
    </row>
    <row r="683" spans="1:46" x14ac:dyDescent="0.25">
      <c r="A683" t="s">
        <v>808</v>
      </c>
      <c r="B683">
        <v>2035</v>
      </c>
      <c r="C683" t="s">
        <v>680</v>
      </c>
      <c r="D683" t="s">
        <v>811</v>
      </c>
      <c r="E683" t="s">
        <v>2399</v>
      </c>
      <c r="F683">
        <v>8</v>
      </c>
      <c r="G683" t="s">
        <v>2420</v>
      </c>
      <c r="H683" s="460">
        <v>16850.046726942608</v>
      </c>
      <c r="I683">
        <v>17273</v>
      </c>
      <c r="J683">
        <v>400.00000002670322</v>
      </c>
      <c r="K683" s="67">
        <v>893.7</v>
      </c>
      <c r="L683" s="159">
        <v>0</v>
      </c>
      <c r="M683" s="159">
        <v>17961</v>
      </c>
      <c r="N683" s="159">
        <v>220</v>
      </c>
      <c r="O683" s="159">
        <v>0</v>
      </c>
      <c r="P683" s="159">
        <v>6030</v>
      </c>
      <c r="Q683" s="159">
        <v>1500</v>
      </c>
      <c r="R683" s="159">
        <v>1800</v>
      </c>
      <c r="S683" s="159">
        <v>76067</v>
      </c>
      <c r="T683" s="159">
        <v>4406</v>
      </c>
      <c r="U683" s="159">
        <v>142992</v>
      </c>
      <c r="V683" s="159">
        <v>4500</v>
      </c>
      <c r="W683" s="159">
        <v>186</v>
      </c>
      <c r="X683" s="159">
        <v>0</v>
      </c>
      <c r="Y683" s="159">
        <v>1500</v>
      </c>
      <c r="Z683" s="159">
        <v>7222</v>
      </c>
      <c r="AA683" s="159">
        <v>0</v>
      </c>
      <c r="AB683" s="159">
        <v>0</v>
      </c>
      <c r="AC683" s="159">
        <v>1500</v>
      </c>
      <c r="AD683" s="207">
        <v>265884</v>
      </c>
      <c r="AE683" s="200">
        <v>8.2488529962730368</v>
      </c>
      <c r="AF683" s="200">
        <v>8.3082602373199723</v>
      </c>
      <c r="AG683" s="200">
        <v>7.8813456969850577</v>
      </c>
      <c r="AH683" s="200">
        <v>1925</v>
      </c>
      <c r="AI683" s="200">
        <v>1878</v>
      </c>
      <c r="AJ683" s="200">
        <v>2202</v>
      </c>
      <c r="AL683" s="197">
        <f t="shared" si="94"/>
        <v>304800.30219576537</v>
      </c>
      <c r="AM683" s="197" t="str">
        <f t="shared" si="95"/>
        <v>Longhaul Sleeper 8</v>
      </c>
      <c r="AN683" s="3">
        <f t="shared" si="96"/>
        <v>5.9280072956438969</v>
      </c>
      <c r="AO683" s="3">
        <f t="shared" si="97"/>
        <v>2.288176678050863</v>
      </c>
      <c r="AP683" s="3">
        <f t="shared" si="98"/>
        <v>107.32300197596531</v>
      </c>
      <c r="AQ683" s="3">
        <f t="shared" si="90"/>
        <v>3.8636280711347513</v>
      </c>
      <c r="AR683" s="3">
        <f t="shared" si="91"/>
        <v>6.1518047491856143</v>
      </c>
      <c r="AS683" s="81">
        <f t="shared" si="92"/>
        <v>0.3719520972042839</v>
      </c>
      <c r="AT683" s="81">
        <f t="shared" si="93"/>
        <v>0.6280479027957161</v>
      </c>
    </row>
    <row r="684" spans="1:46" x14ac:dyDescent="0.25">
      <c r="A684" t="s">
        <v>230</v>
      </c>
      <c r="B684">
        <v>2035</v>
      </c>
      <c r="C684" t="s">
        <v>680</v>
      </c>
      <c r="D684" t="s">
        <v>811</v>
      </c>
      <c r="E684" t="s">
        <v>2399</v>
      </c>
      <c r="F684">
        <v>8</v>
      </c>
      <c r="G684" t="s">
        <v>2421</v>
      </c>
      <c r="H684" s="460">
        <v>16640.419887676384</v>
      </c>
      <c r="I684">
        <v>17273</v>
      </c>
      <c r="J684">
        <v>499.99999997124189</v>
      </c>
      <c r="K684" s="67">
        <v>1094.7825</v>
      </c>
      <c r="L684" s="159">
        <v>0</v>
      </c>
      <c r="M684" s="159">
        <v>0</v>
      </c>
      <c r="N684" s="159">
        <v>0</v>
      </c>
      <c r="O684" s="159">
        <v>0</v>
      </c>
      <c r="P684" s="159">
        <v>5736</v>
      </c>
      <c r="Q684" s="159">
        <v>1500</v>
      </c>
      <c r="R684" s="159">
        <v>1800</v>
      </c>
      <c r="S684" s="159">
        <v>76067</v>
      </c>
      <c r="T684" s="159">
        <v>0</v>
      </c>
      <c r="U684" s="159">
        <v>175165</v>
      </c>
      <c r="V684" s="159">
        <v>4500</v>
      </c>
      <c r="W684" s="159">
        <v>186</v>
      </c>
      <c r="X684" s="159">
        <v>0</v>
      </c>
      <c r="Y684" s="159">
        <v>1500</v>
      </c>
      <c r="Z684" s="159">
        <v>6827</v>
      </c>
      <c r="AA684" s="159">
        <v>0</v>
      </c>
      <c r="AB684" s="159">
        <v>0</v>
      </c>
      <c r="AC684" s="159">
        <v>1500</v>
      </c>
      <c r="AD684" s="207">
        <v>274781</v>
      </c>
      <c r="AE684" s="200">
        <v>0</v>
      </c>
      <c r="AF684" s="200">
        <v>0</v>
      </c>
      <c r="AG684" s="200">
        <v>0</v>
      </c>
      <c r="AH684" s="200">
        <v>1784</v>
      </c>
      <c r="AI684" s="200">
        <v>1612</v>
      </c>
      <c r="AJ684" s="200">
        <v>1878</v>
      </c>
      <c r="AL684" s="197">
        <f t="shared" si="94"/>
        <v>314999.51797646569</v>
      </c>
      <c r="AM684" s="197" t="str">
        <f t="shared" si="95"/>
        <v>Longhaul Sleeper 8</v>
      </c>
      <c r="AN684" s="3">
        <f t="shared" si="96"/>
        <v>0</v>
      </c>
      <c r="AO684" s="3">
        <f t="shared" si="97"/>
        <v>0</v>
      </c>
      <c r="AP684" s="3">
        <f t="shared" si="98"/>
        <v>114.91418842506866</v>
      </c>
      <c r="AQ684" s="3">
        <f t="shared" si="90"/>
        <v>4.1369107833024721</v>
      </c>
      <c r="AR684" s="3">
        <f t="shared" si="91"/>
        <v>4.1369107833024721</v>
      </c>
      <c r="AS684" s="81">
        <f t="shared" si="92"/>
        <v>0</v>
      </c>
      <c r="AT684" s="81">
        <f t="shared" si="93"/>
        <v>1</v>
      </c>
    </row>
    <row r="685" spans="1:46" x14ac:dyDescent="0.25">
      <c r="A685" t="s">
        <v>496</v>
      </c>
      <c r="B685">
        <v>2035</v>
      </c>
      <c r="C685" t="s">
        <v>680</v>
      </c>
      <c r="D685" t="s">
        <v>811</v>
      </c>
      <c r="E685" t="s">
        <v>2399</v>
      </c>
      <c r="F685">
        <v>8</v>
      </c>
      <c r="G685" t="s">
        <v>2422</v>
      </c>
      <c r="H685" s="460">
        <v>13446.030951258923</v>
      </c>
      <c r="I685">
        <v>17273</v>
      </c>
      <c r="J685">
        <v>499.99999997124189</v>
      </c>
      <c r="K685" s="67">
        <v>16.632000000000001</v>
      </c>
      <c r="L685" s="159">
        <v>0</v>
      </c>
      <c r="M685" s="159">
        <v>0</v>
      </c>
      <c r="N685" s="159">
        <v>0</v>
      </c>
      <c r="O685" s="159">
        <v>0</v>
      </c>
      <c r="P685" s="159">
        <v>6287</v>
      </c>
      <c r="Q685" s="159">
        <v>1500</v>
      </c>
      <c r="R685" s="159">
        <v>1800</v>
      </c>
      <c r="S685" s="159">
        <v>76067</v>
      </c>
      <c r="T685" s="159">
        <v>0</v>
      </c>
      <c r="U685" s="159">
        <v>5658</v>
      </c>
      <c r="V685" s="159">
        <v>4500</v>
      </c>
      <c r="W685" s="159">
        <v>186</v>
      </c>
      <c r="X685" s="159">
        <v>0</v>
      </c>
      <c r="Y685" s="159">
        <v>1500</v>
      </c>
      <c r="Z685" s="159">
        <v>7568</v>
      </c>
      <c r="AA685" s="159">
        <v>74814</v>
      </c>
      <c r="AB685" s="159">
        <v>35863</v>
      </c>
      <c r="AC685" s="159">
        <v>1500</v>
      </c>
      <c r="AD685" s="207">
        <v>217243</v>
      </c>
      <c r="AE685" s="200">
        <v>10.305881776395493</v>
      </c>
      <c r="AF685" s="200">
        <v>13.385054587258079</v>
      </c>
      <c r="AG685" s="200">
        <v>11.29713052864799</v>
      </c>
      <c r="AH685" s="200">
        <v>0</v>
      </c>
      <c r="AI685" s="200">
        <v>0</v>
      </c>
      <c r="AJ685" s="200">
        <v>0</v>
      </c>
      <c r="AL685" s="197">
        <f t="shared" si="94"/>
        <v>249039.92737402272</v>
      </c>
      <c r="AM685" s="197" t="str">
        <f t="shared" si="95"/>
        <v>Longhaul Sleeper 8</v>
      </c>
      <c r="AN685" s="3">
        <f t="shared" si="96"/>
        <v>20.628610911076024</v>
      </c>
      <c r="AO685" s="3">
        <f t="shared" si="97"/>
        <v>7.9625250161205603</v>
      </c>
      <c r="AP685" s="3">
        <f t="shared" si="98"/>
        <v>0</v>
      </c>
      <c r="AQ685" s="3">
        <f t="shared" si="90"/>
        <v>0</v>
      </c>
      <c r="AR685" s="3">
        <f t="shared" si="91"/>
        <v>7.9625250161205603</v>
      </c>
      <c r="AS685" s="81">
        <f t="shared" si="92"/>
        <v>1</v>
      </c>
      <c r="AT685" s="81">
        <f t="shared" si="93"/>
        <v>0</v>
      </c>
    </row>
    <row r="686" spans="1:46" x14ac:dyDescent="0.25">
      <c r="A686" t="s">
        <v>828</v>
      </c>
      <c r="B686">
        <v>2035</v>
      </c>
      <c r="C686" t="s">
        <v>680</v>
      </c>
      <c r="D686" t="s">
        <v>811</v>
      </c>
      <c r="E686" t="s">
        <v>2399</v>
      </c>
      <c r="F686">
        <v>8</v>
      </c>
      <c r="G686" t="s">
        <v>2423</v>
      </c>
      <c r="H686" s="460">
        <v>13019.698017811988</v>
      </c>
      <c r="I686">
        <v>17273</v>
      </c>
      <c r="J686">
        <v>499.99999997124189</v>
      </c>
      <c r="K686" s="67">
        <v>107.36812500000001</v>
      </c>
      <c r="L686" s="159">
        <v>0</v>
      </c>
      <c r="M686" s="159">
        <v>0</v>
      </c>
      <c r="N686" s="159">
        <v>0</v>
      </c>
      <c r="O686" s="159">
        <v>0</v>
      </c>
      <c r="P686" s="159">
        <v>6893</v>
      </c>
      <c r="Q686" s="159">
        <v>1500</v>
      </c>
      <c r="R686" s="159">
        <v>1800</v>
      </c>
      <c r="S686" s="159">
        <v>76067</v>
      </c>
      <c r="T686" s="159">
        <v>0</v>
      </c>
      <c r="U686" s="159">
        <v>17179</v>
      </c>
      <c r="V686" s="159">
        <v>4500</v>
      </c>
      <c r="W686" s="159">
        <v>186</v>
      </c>
      <c r="X686" s="159">
        <v>0</v>
      </c>
      <c r="Y686" s="159">
        <v>1500</v>
      </c>
      <c r="Z686" s="159">
        <v>8384</v>
      </c>
      <c r="AA686" s="159">
        <v>27678</v>
      </c>
      <c r="AB686" s="159">
        <v>21521</v>
      </c>
      <c r="AC686" s="159">
        <v>1500</v>
      </c>
      <c r="AD686" s="207">
        <v>168708</v>
      </c>
      <c r="AE686" s="200">
        <v>11.019784184230978</v>
      </c>
      <c r="AF686" s="200">
        <v>12.837246917897673</v>
      </c>
      <c r="AG686" s="200">
        <v>10.87815777869149</v>
      </c>
      <c r="AH686" s="200">
        <v>0</v>
      </c>
      <c r="AI686" s="200">
        <v>0</v>
      </c>
      <c r="AJ686" s="200">
        <v>0</v>
      </c>
      <c r="AL686" s="197">
        <f t="shared" si="94"/>
        <v>193401.067318241</v>
      </c>
      <c r="AM686" s="197" t="str">
        <f t="shared" si="95"/>
        <v>Longhaul Sleeper 8</v>
      </c>
      <c r="AN686" s="3">
        <f t="shared" si="96"/>
        <v>21.311818008698292</v>
      </c>
      <c r="AO686" s="3">
        <f t="shared" si="97"/>
        <v>8.2262390213659415</v>
      </c>
      <c r="AP686" s="3">
        <f t="shared" si="98"/>
        <v>0</v>
      </c>
      <c r="AQ686" s="3">
        <f t="shared" si="90"/>
        <v>0</v>
      </c>
      <c r="AR686" s="3">
        <f t="shared" si="91"/>
        <v>8.2262390213659415</v>
      </c>
      <c r="AS686" s="81">
        <f t="shared" si="92"/>
        <v>1</v>
      </c>
      <c r="AT686" s="81">
        <f t="shared" si="93"/>
        <v>0</v>
      </c>
    </row>
    <row r="687" spans="1:46" x14ac:dyDescent="0.25">
      <c r="A687" t="s">
        <v>805</v>
      </c>
      <c r="B687">
        <v>2050</v>
      </c>
      <c r="C687" t="s">
        <v>680</v>
      </c>
      <c r="D687" t="s">
        <v>811</v>
      </c>
      <c r="E687" t="s">
        <v>2399</v>
      </c>
      <c r="F687">
        <v>8</v>
      </c>
      <c r="G687" t="s">
        <v>2424</v>
      </c>
      <c r="H687" s="460">
        <v>13010.529795682207</v>
      </c>
      <c r="I687">
        <v>17273</v>
      </c>
      <c r="J687">
        <v>0</v>
      </c>
      <c r="K687" s="67">
        <v>0</v>
      </c>
      <c r="L687" s="159">
        <v>300</v>
      </c>
      <c r="M687" s="159">
        <v>42869</v>
      </c>
      <c r="N687" s="159">
        <v>1920</v>
      </c>
      <c r="O687" s="159">
        <v>392</v>
      </c>
      <c r="P687" s="159">
        <v>12369</v>
      </c>
      <c r="Q687" s="159">
        <v>1500</v>
      </c>
      <c r="R687" s="159">
        <v>1800</v>
      </c>
      <c r="S687" s="159">
        <v>76381</v>
      </c>
      <c r="T687" s="159">
        <v>110</v>
      </c>
      <c r="U687" s="159">
        <v>120</v>
      </c>
      <c r="V687" s="159">
        <v>0</v>
      </c>
      <c r="W687" s="159">
        <v>186</v>
      </c>
      <c r="X687" s="159">
        <v>0</v>
      </c>
      <c r="Y687" s="159">
        <v>0</v>
      </c>
      <c r="Z687" s="159">
        <v>0</v>
      </c>
      <c r="AA687" s="159">
        <v>0</v>
      </c>
      <c r="AB687" s="159">
        <v>0</v>
      </c>
      <c r="AC687" s="159">
        <v>1500</v>
      </c>
      <c r="AD687" s="207">
        <v>139447</v>
      </c>
      <c r="AE687" s="200">
        <v>5.4092161896848898</v>
      </c>
      <c r="AF687" s="200">
        <v>11.704438741732757</v>
      </c>
      <c r="AG687" s="200">
        <v>10.702484114958764</v>
      </c>
      <c r="AH687" s="200">
        <v>0</v>
      </c>
      <c r="AI687" s="200">
        <v>0</v>
      </c>
      <c r="AJ687" s="200">
        <v>0</v>
      </c>
      <c r="AL687" s="197">
        <f t="shared" si="94"/>
        <v>159857.2600844462</v>
      </c>
      <c r="AM687" s="197" t="str">
        <f t="shared" si="95"/>
        <v>Longhaul Sleeper 8</v>
      </c>
      <c r="AN687" s="3">
        <f t="shared" si="96"/>
        <v>22.88362037076428</v>
      </c>
      <c r="AO687" s="3">
        <f t="shared" si="97"/>
        <v>8.8329456814652865</v>
      </c>
      <c r="AP687" s="3">
        <f t="shared" si="98"/>
        <v>0</v>
      </c>
      <c r="AQ687" s="3">
        <f t="shared" ref="AQ687:AQ692" si="99">AP687*3.6/100</f>
        <v>0</v>
      </c>
      <c r="AR687" s="3">
        <f t="shared" ref="AR687:AR692" si="100">AO687+AQ687</f>
        <v>8.8329456814652865</v>
      </c>
      <c r="AS687" s="81">
        <f t="shared" ref="AS687:AS692" si="101">AO687/AR687</f>
        <v>1</v>
      </c>
      <c r="AT687" s="81">
        <f t="shared" ref="AT687:AT692" si="102">AQ687/AR687</f>
        <v>0</v>
      </c>
    </row>
    <row r="688" spans="1:46" x14ac:dyDescent="0.25">
      <c r="A688" t="s">
        <v>807</v>
      </c>
      <c r="B688">
        <v>2050</v>
      </c>
      <c r="C688" t="s">
        <v>680</v>
      </c>
      <c r="D688" t="s">
        <v>811</v>
      </c>
      <c r="E688" t="s">
        <v>2399</v>
      </c>
      <c r="F688">
        <v>8</v>
      </c>
      <c r="G688" t="s">
        <v>2425</v>
      </c>
      <c r="H688" s="460">
        <v>13176.176423132685</v>
      </c>
      <c r="I688">
        <v>17273</v>
      </c>
      <c r="J688">
        <v>0</v>
      </c>
      <c r="K688" s="67">
        <v>6.9220800000000011</v>
      </c>
      <c r="L688" s="159">
        <v>300</v>
      </c>
      <c r="M688" s="159">
        <v>43157</v>
      </c>
      <c r="N688" s="159">
        <v>220</v>
      </c>
      <c r="O688" s="159">
        <v>392</v>
      </c>
      <c r="P688" s="159">
        <v>12613</v>
      </c>
      <c r="Q688" s="159">
        <v>1500</v>
      </c>
      <c r="R688" s="159">
        <v>1800</v>
      </c>
      <c r="S688" s="159">
        <v>76381</v>
      </c>
      <c r="T688" s="159">
        <v>0</v>
      </c>
      <c r="U688" s="159">
        <v>2224</v>
      </c>
      <c r="V688" s="159">
        <v>4500</v>
      </c>
      <c r="W688" s="159">
        <v>186</v>
      </c>
      <c r="X688" s="159">
        <v>120</v>
      </c>
      <c r="Y688" s="159">
        <v>1500</v>
      </c>
      <c r="Z688" s="159">
        <v>2524</v>
      </c>
      <c r="AA688" s="159">
        <v>0</v>
      </c>
      <c r="AB688" s="159">
        <v>0</v>
      </c>
      <c r="AC688" s="159">
        <v>1500</v>
      </c>
      <c r="AD688" s="207">
        <v>148917</v>
      </c>
      <c r="AE688" s="200">
        <v>8.2241673859302846</v>
      </c>
      <c r="AF688" s="200">
        <v>12.891581956353875</v>
      </c>
      <c r="AG688" s="200">
        <v>10.905311221292514</v>
      </c>
      <c r="AH688" s="200">
        <v>0</v>
      </c>
      <c r="AI688" s="200">
        <v>0</v>
      </c>
      <c r="AJ688" s="200">
        <v>0</v>
      </c>
      <c r="AL688" s="197">
        <f t="shared" si="94"/>
        <v>170713.34342076542</v>
      </c>
      <c r="AM688" s="197" t="str">
        <f t="shared" si="95"/>
        <v>Longhaul Sleeper 8</v>
      </c>
      <c r="AN688" s="3">
        <f t="shared" si="96"/>
        <v>21.621349870470901</v>
      </c>
      <c r="AO688" s="3">
        <f t="shared" si="97"/>
        <v>8.3457165374854334</v>
      </c>
      <c r="AP688" s="3">
        <f t="shared" si="98"/>
        <v>0</v>
      </c>
      <c r="AQ688" s="3">
        <f t="shared" si="99"/>
        <v>0</v>
      </c>
      <c r="AR688" s="3">
        <f t="shared" si="100"/>
        <v>8.3457165374854334</v>
      </c>
      <c r="AS688" s="81">
        <f t="shared" si="101"/>
        <v>1</v>
      </c>
      <c r="AT688" s="81">
        <f t="shared" si="102"/>
        <v>0</v>
      </c>
    </row>
    <row r="689" spans="1:46" x14ac:dyDescent="0.25">
      <c r="A689" t="s">
        <v>808</v>
      </c>
      <c r="B689">
        <v>2050</v>
      </c>
      <c r="C689" t="s">
        <v>680</v>
      </c>
      <c r="D689" t="s">
        <v>811</v>
      </c>
      <c r="E689" t="s">
        <v>2399</v>
      </c>
      <c r="F689">
        <v>8</v>
      </c>
      <c r="G689" t="s">
        <v>2426</v>
      </c>
      <c r="H689" s="460">
        <v>15085.216224074502</v>
      </c>
      <c r="I689">
        <v>17273</v>
      </c>
      <c r="J689">
        <v>400.00000002670322</v>
      </c>
      <c r="K689" s="67">
        <v>802.84050000000002</v>
      </c>
      <c r="L689" s="159">
        <v>0</v>
      </c>
      <c r="M689" s="159">
        <v>20071</v>
      </c>
      <c r="N689" s="159">
        <v>220</v>
      </c>
      <c r="O689" s="159">
        <v>0</v>
      </c>
      <c r="P689" s="159">
        <v>5897</v>
      </c>
      <c r="Q689" s="159">
        <v>1500</v>
      </c>
      <c r="R689" s="159">
        <v>1800</v>
      </c>
      <c r="S689" s="159">
        <v>76381</v>
      </c>
      <c r="T689" s="159">
        <v>2844</v>
      </c>
      <c r="U689" s="159">
        <v>72256</v>
      </c>
      <c r="V689" s="159">
        <v>4500</v>
      </c>
      <c r="W689" s="159">
        <v>186</v>
      </c>
      <c r="X689" s="159">
        <v>0</v>
      </c>
      <c r="Y689" s="159">
        <v>1500</v>
      </c>
      <c r="Z689" s="159">
        <v>5157</v>
      </c>
      <c r="AA689" s="159">
        <v>0</v>
      </c>
      <c r="AB689" s="159">
        <v>0</v>
      </c>
      <c r="AC689" s="159">
        <v>1500</v>
      </c>
      <c r="AD689" s="207">
        <v>193812</v>
      </c>
      <c r="AE689" s="200">
        <v>10.081266349490585</v>
      </c>
      <c r="AF689" s="200">
        <v>9.9590751853373458</v>
      </c>
      <c r="AG689" s="200">
        <v>9.2057891496270319</v>
      </c>
      <c r="AH689" s="200">
        <v>1669</v>
      </c>
      <c r="AI689" s="200">
        <v>1659</v>
      </c>
      <c r="AJ689" s="200">
        <v>1956</v>
      </c>
      <c r="AL689" s="197">
        <f t="shared" si="94"/>
        <v>222179.43226807812</v>
      </c>
      <c r="AM689" s="197" t="str">
        <f t="shared" si="95"/>
        <v>Longhaul Sleeper 8</v>
      </c>
      <c r="AN689" s="3">
        <f t="shared" si="96"/>
        <v>5.0531807047980628</v>
      </c>
      <c r="AO689" s="3">
        <f t="shared" si="97"/>
        <v>1.9504986519149736</v>
      </c>
      <c r="AP689" s="3">
        <f t="shared" si="98"/>
        <v>95.190326469235842</v>
      </c>
      <c r="AQ689" s="3">
        <f t="shared" si="99"/>
        <v>3.4268517528924907</v>
      </c>
      <c r="AR689" s="3">
        <f t="shared" si="100"/>
        <v>5.3773504048074638</v>
      </c>
      <c r="AS689" s="81">
        <f t="shared" si="101"/>
        <v>0.36272485612453059</v>
      </c>
      <c r="AT689" s="81">
        <f t="shared" si="102"/>
        <v>0.63727514387546946</v>
      </c>
    </row>
    <row r="690" spans="1:46" x14ac:dyDescent="0.25">
      <c r="A690" t="s">
        <v>230</v>
      </c>
      <c r="B690">
        <v>2050</v>
      </c>
      <c r="C690" t="s">
        <v>680</v>
      </c>
      <c r="D690" t="s">
        <v>811</v>
      </c>
      <c r="E690" t="s">
        <v>2399</v>
      </c>
      <c r="F690">
        <v>8</v>
      </c>
      <c r="G690" t="s">
        <v>2427</v>
      </c>
      <c r="H690" s="460">
        <v>14744.290882408226</v>
      </c>
      <c r="I690">
        <v>17273</v>
      </c>
      <c r="J690">
        <v>499.99999997124189</v>
      </c>
      <c r="K690" s="67">
        <v>1027.01025</v>
      </c>
      <c r="L690" s="159">
        <v>0</v>
      </c>
      <c r="M690" s="159">
        <v>0</v>
      </c>
      <c r="N690" s="159">
        <v>0</v>
      </c>
      <c r="O690" s="159">
        <v>0</v>
      </c>
      <c r="P690" s="159">
        <v>5634</v>
      </c>
      <c r="Q690" s="159">
        <v>1500</v>
      </c>
      <c r="R690" s="159">
        <v>1800</v>
      </c>
      <c r="S690" s="159">
        <v>76381</v>
      </c>
      <c r="T690" s="159">
        <v>0</v>
      </c>
      <c r="U690" s="159">
        <v>92431</v>
      </c>
      <c r="V690" s="159">
        <v>4500</v>
      </c>
      <c r="W690" s="159">
        <v>186</v>
      </c>
      <c r="X690" s="159">
        <v>0</v>
      </c>
      <c r="Y690" s="159">
        <v>1500</v>
      </c>
      <c r="Z690" s="159">
        <v>4898</v>
      </c>
      <c r="AA690" s="159">
        <v>0</v>
      </c>
      <c r="AB690" s="159">
        <v>0</v>
      </c>
      <c r="AC690" s="159">
        <v>1500</v>
      </c>
      <c r="AD690" s="207">
        <v>190330</v>
      </c>
      <c r="AE690" s="200">
        <v>0</v>
      </c>
      <c r="AF690" s="200">
        <v>0</v>
      </c>
      <c r="AG690" s="200">
        <v>0</v>
      </c>
      <c r="AH690" s="200">
        <v>1519</v>
      </c>
      <c r="AI690" s="200">
        <v>1404</v>
      </c>
      <c r="AJ690" s="200">
        <v>1648</v>
      </c>
      <c r="AL690" s="197">
        <f t="shared" si="94"/>
        <v>218187.78684283383</v>
      </c>
      <c r="AM690" s="197" t="str">
        <f t="shared" si="95"/>
        <v>Longhaul Sleeper 8</v>
      </c>
      <c r="AN690" s="3">
        <f t="shared" si="96"/>
        <v>0</v>
      </c>
      <c r="AO690" s="3">
        <f t="shared" si="97"/>
        <v>0</v>
      </c>
      <c r="AP690" s="3">
        <f t="shared" si="98"/>
        <v>100.63690705506605</v>
      </c>
      <c r="AQ690" s="3">
        <f t="shared" si="99"/>
        <v>3.622928653982378</v>
      </c>
      <c r="AR690" s="3">
        <f t="shared" si="100"/>
        <v>3.622928653982378</v>
      </c>
      <c r="AS690" s="81">
        <f t="shared" si="101"/>
        <v>0</v>
      </c>
      <c r="AT690" s="81">
        <f t="shared" si="102"/>
        <v>1</v>
      </c>
    </row>
    <row r="691" spans="1:46" x14ac:dyDescent="0.25">
      <c r="A691" t="s">
        <v>496</v>
      </c>
      <c r="B691">
        <v>2050</v>
      </c>
      <c r="C691" t="s">
        <v>680</v>
      </c>
      <c r="D691" t="s">
        <v>811</v>
      </c>
      <c r="E691" t="s">
        <v>2399</v>
      </c>
      <c r="F691">
        <v>8</v>
      </c>
      <c r="G691" t="s">
        <v>2428</v>
      </c>
      <c r="H691" s="460">
        <v>12998.633231042884</v>
      </c>
      <c r="I691">
        <v>17273</v>
      </c>
      <c r="J691">
        <v>499.99999997124189</v>
      </c>
      <c r="K691" s="67">
        <v>16.1568</v>
      </c>
      <c r="L691" s="159">
        <v>0</v>
      </c>
      <c r="M691" s="159">
        <v>0</v>
      </c>
      <c r="N691" s="159">
        <v>0</v>
      </c>
      <c r="O691" s="159">
        <v>0</v>
      </c>
      <c r="P691" s="159">
        <v>6244</v>
      </c>
      <c r="Q691" s="159">
        <v>1500</v>
      </c>
      <c r="R691" s="159">
        <v>1800</v>
      </c>
      <c r="S691" s="159">
        <v>76381</v>
      </c>
      <c r="T691" s="159">
        <v>0</v>
      </c>
      <c r="U691" s="159">
        <v>5191</v>
      </c>
      <c r="V691" s="159">
        <v>4500</v>
      </c>
      <c r="W691" s="159">
        <v>186</v>
      </c>
      <c r="X691" s="159">
        <v>0</v>
      </c>
      <c r="Y691" s="159">
        <v>1500</v>
      </c>
      <c r="Z691" s="159">
        <v>5500</v>
      </c>
      <c r="AA691" s="159">
        <v>55665</v>
      </c>
      <c r="AB691" s="159">
        <v>20570</v>
      </c>
      <c r="AC691" s="159">
        <v>1500</v>
      </c>
      <c r="AD691" s="207">
        <v>180537</v>
      </c>
      <c r="AE691" s="200">
        <v>11.800323106368223</v>
      </c>
      <c r="AF691" s="200">
        <v>15.646392420499641</v>
      </c>
      <c r="AG691" s="200">
        <v>13.184408388757159</v>
      </c>
      <c r="AH691" s="200">
        <v>0</v>
      </c>
      <c r="AI691" s="200">
        <v>0</v>
      </c>
      <c r="AJ691" s="200">
        <v>0</v>
      </c>
      <c r="AL691" s="197">
        <f t="shared" si="94"/>
        <v>206961.42738004879</v>
      </c>
      <c r="AM691" s="197" t="str">
        <f t="shared" si="95"/>
        <v>Longhaul Sleeper 8</v>
      </c>
      <c r="AN691" s="3">
        <f t="shared" si="96"/>
        <v>17.692377624996766</v>
      </c>
      <c r="AO691" s="3">
        <f t="shared" si="97"/>
        <v>6.8291558768045082</v>
      </c>
      <c r="AP691" s="3">
        <f t="shared" si="98"/>
        <v>0</v>
      </c>
      <c r="AQ691" s="3">
        <f t="shared" si="99"/>
        <v>0</v>
      </c>
      <c r="AR691" s="3">
        <f t="shared" si="100"/>
        <v>6.8291558768045082</v>
      </c>
      <c r="AS691" s="81">
        <f t="shared" si="101"/>
        <v>1</v>
      </c>
      <c r="AT691" s="81">
        <f t="shared" si="102"/>
        <v>0</v>
      </c>
    </row>
    <row r="692" spans="1:46" x14ac:dyDescent="0.25">
      <c r="A692" t="s">
        <v>828</v>
      </c>
      <c r="B692">
        <v>2050</v>
      </c>
      <c r="C692" t="s">
        <v>680</v>
      </c>
      <c r="D692" t="s">
        <v>811</v>
      </c>
      <c r="E692" t="s">
        <v>2399</v>
      </c>
      <c r="F692">
        <v>8</v>
      </c>
      <c r="G692" t="s">
        <v>2429</v>
      </c>
      <c r="H692" s="460">
        <v>12457.669953069068</v>
      </c>
      <c r="I692">
        <v>17273</v>
      </c>
      <c r="J692">
        <v>499.99999997124189</v>
      </c>
      <c r="K692" s="67">
        <v>109.85062500000001</v>
      </c>
      <c r="L692" s="159">
        <v>0</v>
      </c>
      <c r="M692" s="159">
        <v>0</v>
      </c>
      <c r="N692" s="159">
        <v>0</v>
      </c>
      <c r="O692" s="159">
        <v>0</v>
      </c>
      <c r="P692" s="159">
        <v>6883</v>
      </c>
      <c r="Q692" s="159">
        <v>1500</v>
      </c>
      <c r="R692" s="159">
        <v>1800</v>
      </c>
      <c r="S692" s="159">
        <v>76381</v>
      </c>
      <c r="T692" s="159">
        <v>0</v>
      </c>
      <c r="U692" s="159">
        <v>9887</v>
      </c>
      <c r="V692" s="159">
        <v>4500</v>
      </c>
      <c r="W692" s="159">
        <v>186</v>
      </c>
      <c r="X692" s="159">
        <v>0</v>
      </c>
      <c r="Y692" s="159">
        <v>1500</v>
      </c>
      <c r="Z692" s="159">
        <v>6131</v>
      </c>
      <c r="AA692" s="159">
        <v>18604</v>
      </c>
      <c r="AB692" s="159">
        <v>11154</v>
      </c>
      <c r="AC692" s="159">
        <v>1500</v>
      </c>
      <c r="AD692" s="207">
        <v>140026</v>
      </c>
      <c r="AE692" s="200">
        <v>12.858170664369103</v>
      </c>
      <c r="AF692" s="200">
        <v>15.018236204082896</v>
      </c>
      <c r="AG692" s="200">
        <v>12.70408467479262</v>
      </c>
      <c r="AH692" s="200">
        <v>0</v>
      </c>
      <c r="AI692" s="200">
        <v>0</v>
      </c>
      <c r="AJ692" s="200">
        <v>0</v>
      </c>
      <c r="AL692" s="197">
        <f t="shared" si="94"/>
        <v>160521.00583436477</v>
      </c>
      <c r="AM692" s="197" t="str">
        <f t="shared" si="95"/>
        <v>Longhaul Sleeper 8</v>
      </c>
      <c r="AN692" s="3">
        <f t="shared" si="96"/>
        <v>18.247061101382673</v>
      </c>
      <c r="AO692" s="3">
        <f t="shared" si="97"/>
        <v>7.0432605043914336</v>
      </c>
      <c r="AP692" s="3">
        <f t="shared" si="98"/>
        <v>0</v>
      </c>
      <c r="AQ692" s="3">
        <f t="shared" si="99"/>
        <v>0</v>
      </c>
      <c r="AR692" s="3">
        <f t="shared" si="100"/>
        <v>7.0432605043914336</v>
      </c>
      <c r="AS692" s="81">
        <f t="shared" si="101"/>
        <v>1</v>
      </c>
      <c r="AT692" s="81">
        <f t="shared" si="102"/>
        <v>0</v>
      </c>
    </row>
    <row r="693" spans="1:46" x14ac:dyDescent="0.25">
      <c r="A693" t="s">
        <v>805</v>
      </c>
      <c r="B693">
        <v>2023</v>
      </c>
      <c r="C693" t="s">
        <v>680</v>
      </c>
      <c r="D693" t="s">
        <v>835</v>
      </c>
      <c r="E693" t="s">
        <v>2278</v>
      </c>
      <c r="F693">
        <v>8</v>
      </c>
      <c r="G693" t="s">
        <v>2430</v>
      </c>
      <c r="H693" s="460">
        <v>12030.240121258776</v>
      </c>
      <c r="I693">
        <v>6800</v>
      </c>
      <c r="J693">
        <v>0</v>
      </c>
      <c r="K693" s="67">
        <v>0</v>
      </c>
      <c r="L693" s="159">
        <v>300</v>
      </c>
      <c r="M693" s="159">
        <v>31220</v>
      </c>
      <c r="N693" s="159">
        <v>1920</v>
      </c>
      <c r="O693" s="159">
        <v>392</v>
      </c>
      <c r="P693" s="159">
        <v>9585</v>
      </c>
      <c r="Q693" s="159">
        <v>1500</v>
      </c>
      <c r="R693" s="159">
        <v>2000</v>
      </c>
      <c r="S693" s="159">
        <v>62000</v>
      </c>
      <c r="T693" s="159">
        <v>246</v>
      </c>
      <c r="U693" s="159">
        <v>120</v>
      </c>
      <c r="V693" s="159">
        <v>0</v>
      </c>
      <c r="W693" s="159">
        <v>186</v>
      </c>
      <c r="X693" s="159">
        <v>0</v>
      </c>
      <c r="Y693" s="159">
        <v>0</v>
      </c>
      <c r="Z693" s="159">
        <v>0</v>
      </c>
      <c r="AA693" s="159">
        <v>0</v>
      </c>
      <c r="AB693" s="159">
        <v>0</v>
      </c>
      <c r="AC693" s="159">
        <v>1500</v>
      </c>
      <c r="AD693" s="207">
        <v>110969</v>
      </c>
      <c r="AE693" s="200">
        <v>5.8878631078789505</v>
      </c>
      <c r="AF693" s="200">
        <v>9.690657052961047</v>
      </c>
      <c r="AG693" s="200">
        <v>8.3310212868805316</v>
      </c>
      <c r="AH693" s="200">
        <v>0</v>
      </c>
      <c r="AI693" s="200">
        <v>0</v>
      </c>
      <c r="AJ693" s="200">
        <v>0</v>
      </c>
      <c r="AL693" s="197">
        <f t="shared" si="94"/>
        <v>127211.05720675892</v>
      </c>
      <c r="AM693" s="197" t="str">
        <f t="shared" si="95"/>
        <v>Regional DayCab 8</v>
      </c>
      <c r="AN693" s="3">
        <f t="shared" si="96"/>
        <v>29.786173982530219</v>
      </c>
      <c r="AO693" s="3">
        <f t="shared" si="97"/>
        <v>11.497291625345067</v>
      </c>
      <c r="AP693" s="3">
        <f t="shared" si="98"/>
        <v>0</v>
      </c>
      <c r="AQ693" s="3">
        <f t="shared" ref="AQ693:AQ756" si="103">AP693*3.6/100</f>
        <v>0</v>
      </c>
      <c r="AR693" s="3">
        <f t="shared" ref="AR693:AR756" si="104">AO693+AQ693</f>
        <v>11.497291625345067</v>
      </c>
      <c r="AS693" s="81">
        <f t="shared" ref="AS693:AS756" si="105">AO693/AR693</f>
        <v>1</v>
      </c>
      <c r="AT693" s="81">
        <f t="shared" ref="AT693:AT756" si="106">AQ693/AR693</f>
        <v>0</v>
      </c>
    </row>
    <row r="694" spans="1:46" x14ac:dyDescent="0.25">
      <c r="A694" t="s">
        <v>807</v>
      </c>
      <c r="B694">
        <v>2023</v>
      </c>
      <c r="C694" t="s">
        <v>680</v>
      </c>
      <c r="D694" t="s">
        <v>835</v>
      </c>
      <c r="E694" t="s">
        <v>2278</v>
      </c>
      <c r="F694">
        <v>8</v>
      </c>
      <c r="G694" t="s">
        <v>2431</v>
      </c>
      <c r="H694" s="460">
        <v>12164.668492918961</v>
      </c>
      <c r="I694">
        <v>6800</v>
      </c>
      <c r="J694">
        <v>0</v>
      </c>
      <c r="K694" s="67">
        <v>6.46272</v>
      </c>
      <c r="L694" s="159">
        <v>300</v>
      </c>
      <c r="M694" s="159">
        <v>31037</v>
      </c>
      <c r="N694" s="159">
        <v>220</v>
      </c>
      <c r="O694" s="159">
        <v>392</v>
      </c>
      <c r="P694" s="159">
        <v>9522</v>
      </c>
      <c r="Q694" s="159">
        <v>1500</v>
      </c>
      <c r="R694" s="159">
        <v>2000</v>
      </c>
      <c r="S694" s="159">
        <v>62000</v>
      </c>
      <c r="T694" s="159">
        <v>0</v>
      </c>
      <c r="U694" s="159">
        <v>4524</v>
      </c>
      <c r="V694" s="159">
        <v>4500</v>
      </c>
      <c r="W694" s="159">
        <v>186</v>
      </c>
      <c r="X694" s="159">
        <v>120</v>
      </c>
      <c r="Y694" s="159">
        <v>1500</v>
      </c>
      <c r="Z694" s="159">
        <v>6487</v>
      </c>
      <c r="AA694" s="159">
        <v>0</v>
      </c>
      <c r="AB694" s="159">
        <v>0</v>
      </c>
      <c r="AC694" s="159">
        <v>1500</v>
      </c>
      <c r="AD694" s="207">
        <v>125788</v>
      </c>
      <c r="AE694" s="200">
        <v>8.0637394463179817</v>
      </c>
      <c r="AF694" s="200">
        <v>9.7399098118526837</v>
      </c>
      <c r="AG694" s="200">
        <v>7.9856119772732255</v>
      </c>
      <c r="AH694" s="200">
        <v>0</v>
      </c>
      <c r="AI694" s="200">
        <v>0</v>
      </c>
      <c r="AJ694" s="200">
        <v>0</v>
      </c>
      <c r="AL694" s="197">
        <f t="shared" si="94"/>
        <v>144199.05076123774</v>
      </c>
      <c r="AM694" s="197" t="str">
        <f t="shared" si="95"/>
        <v>Regional DayCab 8</v>
      </c>
      <c r="AN694" s="3">
        <f t="shared" si="96"/>
        <v>28.498750664490377</v>
      </c>
      <c r="AO694" s="3">
        <f t="shared" si="97"/>
        <v>11.000353638564528</v>
      </c>
      <c r="AP694" s="3">
        <f t="shared" si="98"/>
        <v>0</v>
      </c>
      <c r="AQ694" s="3">
        <f t="shared" si="103"/>
        <v>0</v>
      </c>
      <c r="AR694" s="3">
        <f t="shared" si="104"/>
        <v>11.000353638564528</v>
      </c>
      <c r="AS694" s="81">
        <f t="shared" si="105"/>
        <v>1</v>
      </c>
      <c r="AT694" s="81">
        <f t="shared" si="106"/>
        <v>0</v>
      </c>
    </row>
    <row r="695" spans="1:46" x14ac:dyDescent="0.25">
      <c r="A695" t="s">
        <v>808</v>
      </c>
      <c r="B695">
        <v>2023</v>
      </c>
      <c r="C695" t="s">
        <v>680</v>
      </c>
      <c r="D695" t="s">
        <v>835</v>
      </c>
      <c r="E695" t="s">
        <v>2278</v>
      </c>
      <c r="F695">
        <v>8</v>
      </c>
      <c r="G695" t="s">
        <v>2432</v>
      </c>
      <c r="H695" s="460">
        <v>15328.216908097507</v>
      </c>
      <c r="I695">
        <v>6800</v>
      </c>
      <c r="J695">
        <v>200.00000001335161</v>
      </c>
      <c r="K695" s="67">
        <v>435.67875000000004</v>
      </c>
      <c r="L695" s="159">
        <v>0</v>
      </c>
      <c r="M695" s="159">
        <v>17786</v>
      </c>
      <c r="N695" s="159">
        <v>220</v>
      </c>
      <c r="O695" s="159">
        <v>0</v>
      </c>
      <c r="P695" s="159">
        <v>5444</v>
      </c>
      <c r="Q695" s="159">
        <v>1500</v>
      </c>
      <c r="R695" s="159">
        <v>2000</v>
      </c>
      <c r="S695" s="159">
        <v>62000</v>
      </c>
      <c r="T695" s="159">
        <v>7673</v>
      </c>
      <c r="U695" s="159">
        <v>152488</v>
      </c>
      <c r="V695" s="159">
        <v>4500</v>
      </c>
      <c r="W695" s="159">
        <v>186</v>
      </c>
      <c r="X695" s="159">
        <v>0</v>
      </c>
      <c r="Y695" s="159">
        <v>1500</v>
      </c>
      <c r="Z695" s="159">
        <v>11935</v>
      </c>
      <c r="AA695" s="159">
        <v>0</v>
      </c>
      <c r="AB695" s="159">
        <v>0</v>
      </c>
      <c r="AC695" s="159">
        <v>1500</v>
      </c>
      <c r="AD695" s="207">
        <v>268732</v>
      </c>
      <c r="AE695" s="200">
        <v>7.5116630431998033</v>
      </c>
      <c r="AF695" s="200">
        <v>6.8761134026490023</v>
      </c>
      <c r="AG695" s="200">
        <v>6.3471383645894113</v>
      </c>
      <c r="AH695" s="200">
        <v>1936</v>
      </c>
      <c r="AI695" s="200">
        <v>2074</v>
      </c>
      <c r="AJ695" s="200">
        <v>2497</v>
      </c>
      <c r="AL695" s="197">
        <f t="shared" si="94"/>
        <v>308065.15175667743</v>
      </c>
      <c r="AM695" s="197" t="str">
        <f t="shared" si="95"/>
        <v>Regional DayCab 8</v>
      </c>
      <c r="AN695" s="3">
        <f t="shared" si="96"/>
        <v>7.0964453297698435</v>
      </c>
      <c r="AO695" s="3">
        <f t="shared" si="97"/>
        <v>2.7391870304502666</v>
      </c>
      <c r="AP695" s="3">
        <f t="shared" si="98"/>
        <v>115.25221519380617</v>
      </c>
      <c r="AQ695" s="3">
        <f t="shared" si="103"/>
        <v>4.149079746977022</v>
      </c>
      <c r="AR695" s="3">
        <f t="shared" si="104"/>
        <v>6.8882667774272885</v>
      </c>
      <c r="AS695" s="81">
        <f t="shared" si="105"/>
        <v>0.39765983504392244</v>
      </c>
      <c r="AT695" s="81">
        <f t="shared" si="106"/>
        <v>0.60234016495607756</v>
      </c>
    </row>
    <row r="696" spans="1:46" x14ac:dyDescent="0.25">
      <c r="A696" t="s">
        <v>230</v>
      </c>
      <c r="B696">
        <v>2023</v>
      </c>
      <c r="C696" t="s">
        <v>680</v>
      </c>
      <c r="D696" t="s">
        <v>835</v>
      </c>
      <c r="E696" t="s">
        <v>2278</v>
      </c>
      <c r="F696">
        <v>8</v>
      </c>
      <c r="G696" t="s">
        <v>2433</v>
      </c>
      <c r="H696" s="460">
        <v>14479.399499094419</v>
      </c>
      <c r="I696">
        <v>6800</v>
      </c>
      <c r="J696">
        <v>250.00000001668948</v>
      </c>
      <c r="K696" s="67">
        <v>518.71837500000004</v>
      </c>
      <c r="L696" s="159">
        <v>0</v>
      </c>
      <c r="M696" s="159">
        <v>0</v>
      </c>
      <c r="N696" s="159">
        <v>0</v>
      </c>
      <c r="O696" s="159">
        <v>0</v>
      </c>
      <c r="P696" s="159">
        <v>4217</v>
      </c>
      <c r="Q696" s="159">
        <v>1500</v>
      </c>
      <c r="R696" s="159">
        <v>2000</v>
      </c>
      <c r="S696" s="159">
        <v>62000</v>
      </c>
      <c r="T696" s="159">
        <v>0</v>
      </c>
      <c r="U696" s="159">
        <v>181551</v>
      </c>
      <c r="V696" s="159">
        <v>4500</v>
      </c>
      <c r="W696" s="159">
        <v>186</v>
      </c>
      <c r="X696" s="159">
        <v>0</v>
      </c>
      <c r="Y696" s="159">
        <v>1500</v>
      </c>
      <c r="Z696" s="159">
        <v>8961</v>
      </c>
      <c r="AA696" s="159">
        <v>0</v>
      </c>
      <c r="AB696" s="159">
        <v>0</v>
      </c>
      <c r="AC696" s="159">
        <v>1500</v>
      </c>
      <c r="AD696" s="207">
        <v>267915</v>
      </c>
      <c r="AE696" s="200">
        <v>0</v>
      </c>
      <c r="AF696" s="200">
        <v>0</v>
      </c>
      <c r="AG696" s="200">
        <v>0</v>
      </c>
      <c r="AH696" s="200">
        <v>1775</v>
      </c>
      <c r="AI696" s="200">
        <v>1794</v>
      </c>
      <c r="AJ696" s="200">
        <v>2167</v>
      </c>
      <c r="AL696" s="197">
        <f t="shared" si="94"/>
        <v>307128.57096620509</v>
      </c>
      <c r="AM696" s="197" t="str">
        <f t="shared" si="95"/>
        <v>Regional DayCab 8</v>
      </c>
      <c r="AN696" s="3">
        <f t="shared" si="96"/>
        <v>0</v>
      </c>
      <c r="AO696" s="3">
        <f t="shared" si="97"/>
        <v>0</v>
      </c>
      <c r="AP696" s="3">
        <f t="shared" si="98"/>
        <v>126.08336336634895</v>
      </c>
      <c r="AQ696" s="3">
        <f t="shared" si="103"/>
        <v>4.5390010811885624</v>
      </c>
      <c r="AR696" s="3">
        <f t="shared" si="104"/>
        <v>4.5390010811885624</v>
      </c>
      <c r="AS696" s="81">
        <f t="shared" si="105"/>
        <v>0</v>
      </c>
      <c r="AT696" s="81">
        <f t="shared" si="106"/>
        <v>1</v>
      </c>
    </row>
    <row r="697" spans="1:46" x14ac:dyDescent="0.25">
      <c r="A697" t="s">
        <v>496</v>
      </c>
      <c r="B697">
        <v>2023</v>
      </c>
      <c r="C697" t="s">
        <v>680</v>
      </c>
      <c r="D697" t="s">
        <v>835</v>
      </c>
      <c r="E697" t="s">
        <v>2278</v>
      </c>
      <c r="F697">
        <v>8</v>
      </c>
      <c r="G697" t="s">
        <v>2434</v>
      </c>
      <c r="H697" s="460">
        <v>12282.614838982681</v>
      </c>
      <c r="I697">
        <v>6800</v>
      </c>
      <c r="J697">
        <v>250.00000001668948</v>
      </c>
      <c r="K697" s="67">
        <v>12.196800000000001</v>
      </c>
      <c r="L697" s="159">
        <v>0</v>
      </c>
      <c r="M697" s="159">
        <v>0</v>
      </c>
      <c r="N697" s="159">
        <v>0</v>
      </c>
      <c r="O697" s="159">
        <v>0</v>
      </c>
      <c r="P697" s="159">
        <v>4759</v>
      </c>
      <c r="Q697" s="159">
        <v>1500</v>
      </c>
      <c r="R697" s="159">
        <v>2000</v>
      </c>
      <c r="S697" s="159">
        <v>62000</v>
      </c>
      <c r="T697" s="159">
        <v>0</v>
      </c>
      <c r="U697" s="159">
        <v>8538</v>
      </c>
      <c r="V697" s="159">
        <v>4500</v>
      </c>
      <c r="W697" s="159">
        <v>186</v>
      </c>
      <c r="X697" s="159">
        <v>0</v>
      </c>
      <c r="Y697" s="159">
        <v>1500</v>
      </c>
      <c r="Z697" s="159">
        <v>10273</v>
      </c>
      <c r="AA697" s="159">
        <v>86698</v>
      </c>
      <c r="AB697" s="159">
        <v>31505</v>
      </c>
      <c r="AC697" s="159">
        <v>1500</v>
      </c>
      <c r="AD697" s="207">
        <v>214959</v>
      </c>
      <c r="AE697" s="200">
        <v>10.638875726106939</v>
      </c>
      <c r="AF697" s="200">
        <v>11.135972459244606</v>
      </c>
      <c r="AG697" s="200">
        <v>8.9506519426814446</v>
      </c>
      <c r="AH697" s="200">
        <v>0</v>
      </c>
      <c r="AI697" s="200">
        <v>0</v>
      </c>
      <c r="AJ697" s="200">
        <v>0</v>
      </c>
      <c r="AL697" s="197">
        <f t="shared" si="94"/>
        <v>246421.62807728007</v>
      </c>
      <c r="AM697" s="197" t="str">
        <f t="shared" si="95"/>
        <v>Regional DayCab 8</v>
      </c>
      <c r="AN697" s="3">
        <f t="shared" si="96"/>
        <v>24.610097770386151</v>
      </c>
      <c r="AO697" s="3">
        <f t="shared" si="97"/>
        <v>9.4993560153222667</v>
      </c>
      <c r="AP697" s="3">
        <f t="shared" si="98"/>
        <v>0</v>
      </c>
      <c r="AQ697" s="3">
        <f t="shared" si="103"/>
        <v>0</v>
      </c>
      <c r="AR697" s="3">
        <f t="shared" si="104"/>
        <v>9.4993560153222667</v>
      </c>
      <c r="AS697" s="81">
        <f t="shared" si="105"/>
        <v>1</v>
      </c>
      <c r="AT697" s="81">
        <f t="shared" si="106"/>
        <v>0</v>
      </c>
    </row>
    <row r="698" spans="1:46" x14ac:dyDescent="0.25">
      <c r="A698" t="s">
        <v>828</v>
      </c>
      <c r="B698">
        <v>2023</v>
      </c>
      <c r="C698" t="s">
        <v>680</v>
      </c>
      <c r="D698" t="s">
        <v>835</v>
      </c>
      <c r="E698" t="s">
        <v>2278</v>
      </c>
      <c r="F698">
        <v>8</v>
      </c>
      <c r="G698" t="s">
        <v>2435</v>
      </c>
      <c r="H698" s="460">
        <v>12290.982284974874</v>
      </c>
      <c r="I698">
        <v>6800</v>
      </c>
      <c r="J698">
        <v>250.00000001668948</v>
      </c>
      <c r="K698" s="67">
        <v>58.090499999999999</v>
      </c>
      <c r="L698" s="159">
        <v>0</v>
      </c>
      <c r="M698" s="159">
        <v>0</v>
      </c>
      <c r="N698" s="159">
        <v>0</v>
      </c>
      <c r="O698" s="159">
        <v>0</v>
      </c>
      <c r="P698" s="159">
        <v>5149</v>
      </c>
      <c r="Q698" s="159">
        <v>1500</v>
      </c>
      <c r="R698" s="159">
        <v>2000</v>
      </c>
      <c r="S698" s="159">
        <v>62000</v>
      </c>
      <c r="T698" s="159">
        <v>0</v>
      </c>
      <c r="U698" s="159">
        <v>20332</v>
      </c>
      <c r="V698" s="159">
        <v>4500</v>
      </c>
      <c r="W698" s="159">
        <v>186</v>
      </c>
      <c r="X698" s="159">
        <v>0</v>
      </c>
      <c r="Y698" s="159">
        <v>1500</v>
      </c>
      <c r="Z698" s="159">
        <v>11219</v>
      </c>
      <c r="AA698" s="159">
        <v>49440</v>
      </c>
      <c r="AB698" s="159">
        <v>24390</v>
      </c>
      <c r="AC698" s="159">
        <v>1500</v>
      </c>
      <c r="AD698" s="207">
        <v>183716</v>
      </c>
      <c r="AE698" s="200">
        <v>10.713889438893231</v>
      </c>
      <c r="AF698" s="200">
        <v>10.66802862711406</v>
      </c>
      <c r="AG698" s="200">
        <v>8.6472665551709991</v>
      </c>
      <c r="AH698" s="200">
        <v>0</v>
      </c>
      <c r="AI698" s="200">
        <v>0</v>
      </c>
      <c r="AJ698" s="200">
        <v>0</v>
      </c>
      <c r="AL698" s="197">
        <f t="shared" si="94"/>
        <v>210605.72399315954</v>
      </c>
      <c r="AM698" s="197" t="str">
        <f t="shared" si="95"/>
        <v>Regional DayCab 8</v>
      </c>
      <c r="AN698" s="3">
        <f t="shared" si="96"/>
        <v>25.328265577268965</v>
      </c>
      <c r="AO698" s="3">
        <f t="shared" si="97"/>
        <v>9.7765646530113166</v>
      </c>
      <c r="AP698" s="3">
        <f t="shared" si="98"/>
        <v>0</v>
      </c>
      <c r="AQ698" s="3">
        <f t="shared" si="103"/>
        <v>0</v>
      </c>
      <c r="AR698" s="3">
        <f t="shared" si="104"/>
        <v>9.7765646530113166</v>
      </c>
      <c r="AS698" s="81">
        <f t="shared" si="105"/>
        <v>1</v>
      </c>
      <c r="AT698" s="81">
        <f t="shared" si="106"/>
        <v>0</v>
      </c>
    </row>
    <row r="699" spans="1:46" x14ac:dyDescent="0.25">
      <c r="A699" t="s">
        <v>805</v>
      </c>
      <c r="B699">
        <v>2025</v>
      </c>
      <c r="C699" t="s">
        <v>680</v>
      </c>
      <c r="D699" t="s">
        <v>835</v>
      </c>
      <c r="E699" t="s">
        <v>2278</v>
      </c>
      <c r="F699">
        <v>8</v>
      </c>
      <c r="G699" t="s">
        <v>2436</v>
      </c>
      <c r="H699" s="460">
        <v>11929.903211840126</v>
      </c>
      <c r="I699">
        <v>6800</v>
      </c>
      <c r="J699">
        <v>0</v>
      </c>
      <c r="K699" s="67">
        <v>0</v>
      </c>
      <c r="L699" s="159">
        <v>300</v>
      </c>
      <c r="M699" s="159">
        <v>31428</v>
      </c>
      <c r="N699" s="159">
        <v>1920</v>
      </c>
      <c r="O699" s="159">
        <v>392</v>
      </c>
      <c r="P699" s="159">
        <v>9538</v>
      </c>
      <c r="Q699" s="159">
        <v>1500</v>
      </c>
      <c r="R699" s="159">
        <v>2000</v>
      </c>
      <c r="S699" s="159">
        <v>62465</v>
      </c>
      <c r="T699" s="159">
        <v>230</v>
      </c>
      <c r="U699" s="159">
        <v>120</v>
      </c>
      <c r="V699" s="159">
        <v>0</v>
      </c>
      <c r="W699" s="159">
        <v>186</v>
      </c>
      <c r="X699" s="159">
        <v>0</v>
      </c>
      <c r="Y699" s="159">
        <v>0</v>
      </c>
      <c r="Z699" s="159">
        <v>0</v>
      </c>
      <c r="AA699" s="159">
        <v>0</v>
      </c>
      <c r="AB699" s="159">
        <v>0</v>
      </c>
      <c r="AC699" s="159">
        <v>1500</v>
      </c>
      <c r="AD699" s="207">
        <v>111579</v>
      </c>
      <c r="AE699" s="200">
        <v>6.2128967408330737</v>
      </c>
      <c r="AF699" s="200">
        <v>10.671560286821427</v>
      </c>
      <c r="AG699" s="200">
        <v>9.2580565530699488</v>
      </c>
      <c r="AH699" s="200">
        <v>0</v>
      </c>
      <c r="AI699" s="200">
        <v>0</v>
      </c>
      <c r="AJ699" s="200">
        <v>0</v>
      </c>
      <c r="AL699" s="197">
        <f t="shared" si="94"/>
        <v>127910.34029389247</v>
      </c>
      <c r="AM699" s="197" t="str">
        <f t="shared" si="95"/>
        <v>Regional DayCab 8</v>
      </c>
      <c r="AN699" s="3">
        <f t="shared" si="96"/>
        <v>27.200445492866166</v>
      </c>
      <c r="AO699" s="3">
        <f t="shared" si="97"/>
        <v>10.499215318966584</v>
      </c>
      <c r="AP699" s="3">
        <f t="shared" si="98"/>
        <v>0</v>
      </c>
      <c r="AQ699" s="3">
        <f t="shared" si="103"/>
        <v>0</v>
      </c>
      <c r="AR699" s="3">
        <f t="shared" si="104"/>
        <v>10.499215318966584</v>
      </c>
      <c r="AS699" s="81">
        <f t="shared" si="105"/>
        <v>1</v>
      </c>
      <c r="AT699" s="81">
        <f t="shared" si="106"/>
        <v>0</v>
      </c>
    </row>
    <row r="700" spans="1:46" x14ac:dyDescent="0.25">
      <c r="A700" t="s">
        <v>807</v>
      </c>
      <c r="B700">
        <v>2025</v>
      </c>
      <c r="C700" t="s">
        <v>680</v>
      </c>
      <c r="D700" t="s">
        <v>835</v>
      </c>
      <c r="E700" t="s">
        <v>2278</v>
      </c>
      <c r="F700">
        <v>8</v>
      </c>
      <c r="G700" t="s">
        <v>2437</v>
      </c>
      <c r="H700" s="460">
        <v>12052.221121252285</v>
      </c>
      <c r="I700">
        <v>6800</v>
      </c>
      <c r="J700">
        <v>0</v>
      </c>
      <c r="K700" s="67">
        <v>6.4944000000000006</v>
      </c>
      <c r="L700" s="159">
        <v>300</v>
      </c>
      <c r="M700" s="159">
        <v>31065</v>
      </c>
      <c r="N700" s="159">
        <v>220</v>
      </c>
      <c r="O700" s="159">
        <v>392</v>
      </c>
      <c r="P700" s="159">
        <v>9413</v>
      </c>
      <c r="Q700" s="159">
        <v>1500</v>
      </c>
      <c r="R700" s="159">
        <v>2000</v>
      </c>
      <c r="S700" s="159">
        <v>62465</v>
      </c>
      <c r="T700" s="159">
        <v>0</v>
      </c>
      <c r="U700" s="159">
        <v>3068</v>
      </c>
      <c r="V700" s="159">
        <v>4500</v>
      </c>
      <c r="W700" s="159">
        <v>186</v>
      </c>
      <c r="X700" s="159">
        <v>120</v>
      </c>
      <c r="Y700" s="159">
        <v>1500</v>
      </c>
      <c r="Z700" s="159">
        <v>5461</v>
      </c>
      <c r="AA700" s="159">
        <v>0</v>
      </c>
      <c r="AB700" s="159">
        <v>0</v>
      </c>
      <c r="AC700" s="159">
        <v>1500</v>
      </c>
      <c r="AD700" s="207">
        <v>123690</v>
      </c>
      <c r="AE700" s="200">
        <v>8.8273640261417192</v>
      </c>
      <c r="AF700" s="200">
        <v>10.875591882899332</v>
      </c>
      <c r="AG700" s="200">
        <v>8.9503767573249515</v>
      </c>
      <c r="AH700" s="200">
        <v>0</v>
      </c>
      <c r="AI700" s="200">
        <v>0</v>
      </c>
      <c r="AJ700" s="200">
        <v>0</v>
      </c>
      <c r="AL700" s="197">
        <f t="shared" si="94"/>
        <v>141793.97548778498</v>
      </c>
      <c r="AM700" s="197" t="str">
        <f t="shared" si="95"/>
        <v>Regional DayCab 8</v>
      </c>
      <c r="AN700" s="3">
        <f t="shared" si="96"/>
        <v>25.558635321767134</v>
      </c>
      <c r="AO700" s="3">
        <f t="shared" si="97"/>
        <v>9.865486047739795</v>
      </c>
      <c r="AP700" s="3">
        <f t="shared" si="98"/>
        <v>0</v>
      </c>
      <c r="AQ700" s="3">
        <f t="shared" si="103"/>
        <v>0</v>
      </c>
      <c r="AR700" s="3">
        <f t="shared" si="104"/>
        <v>9.865486047739795</v>
      </c>
      <c r="AS700" s="81">
        <f t="shared" si="105"/>
        <v>1</v>
      </c>
      <c r="AT700" s="81">
        <f t="shared" si="106"/>
        <v>0</v>
      </c>
    </row>
    <row r="701" spans="1:46" x14ac:dyDescent="0.25">
      <c r="A701" t="s">
        <v>808</v>
      </c>
      <c r="B701">
        <v>2025</v>
      </c>
      <c r="C701" t="s">
        <v>680</v>
      </c>
      <c r="D701" t="s">
        <v>835</v>
      </c>
      <c r="E701" t="s">
        <v>2278</v>
      </c>
      <c r="F701">
        <v>8</v>
      </c>
      <c r="G701" t="s">
        <v>2438</v>
      </c>
      <c r="H701" s="460">
        <v>14513.772159439235</v>
      </c>
      <c r="I701">
        <v>6800</v>
      </c>
      <c r="J701">
        <v>200.00000001335161</v>
      </c>
      <c r="K701" s="67">
        <v>403.03387500000002</v>
      </c>
      <c r="L701" s="159">
        <v>0</v>
      </c>
      <c r="M701" s="159">
        <v>16871</v>
      </c>
      <c r="N701" s="159">
        <v>220</v>
      </c>
      <c r="O701" s="159">
        <v>0</v>
      </c>
      <c r="P701" s="159">
        <v>5250</v>
      </c>
      <c r="Q701" s="159">
        <v>1500</v>
      </c>
      <c r="R701" s="159">
        <v>2000</v>
      </c>
      <c r="S701" s="159">
        <v>62465</v>
      </c>
      <c r="T701" s="159">
        <v>6551</v>
      </c>
      <c r="U701" s="159">
        <v>112849</v>
      </c>
      <c r="V701" s="159">
        <v>4500</v>
      </c>
      <c r="W701" s="159">
        <v>186</v>
      </c>
      <c r="X701" s="159">
        <v>0</v>
      </c>
      <c r="Y701" s="159">
        <v>1500</v>
      </c>
      <c r="Z701" s="159">
        <v>9694</v>
      </c>
      <c r="AA701" s="159">
        <v>0</v>
      </c>
      <c r="AB701" s="159">
        <v>0</v>
      </c>
      <c r="AC701" s="159">
        <v>1500</v>
      </c>
      <c r="AD701" s="207">
        <v>225086</v>
      </c>
      <c r="AE701" s="200">
        <v>8.5152213465179489</v>
      </c>
      <c r="AF701" s="200">
        <v>7.8629390707620743</v>
      </c>
      <c r="AG701" s="200">
        <v>7.2274470771832187</v>
      </c>
      <c r="AH701" s="200">
        <v>1772</v>
      </c>
      <c r="AI701" s="200">
        <v>1881</v>
      </c>
      <c r="AJ701" s="200">
        <v>2262</v>
      </c>
      <c r="AL701" s="197">
        <f t="shared" si="94"/>
        <v>258030.87368941359</v>
      </c>
      <c r="AM701" s="197" t="str">
        <f t="shared" si="95"/>
        <v>Regional DayCab 8</v>
      </c>
      <c r="AN701" s="3">
        <f t="shared" si="96"/>
        <v>6.2324819107357996</v>
      </c>
      <c r="AO701" s="3">
        <f t="shared" si="97"/>
        <v>2.4057021260751523</v>
      </c>
      <c r="AP701" s="3">
        <f t="shared" si="98"/>
        <v>104.59592130935663</v>
      </c>
      <c r="AQ701" s="3">
        <f t="shared" si="103"/>
        <v>3.7654531671368385</v>
      </c>
      <c r="AR701" s="3">
        <f t="shared" si="104"/>
        <v>6.1711552932119904</v>
      </c>
      <c r="AS701" s="81">
        <f t="shared" si="105"/>
        <v>0.38983010664491347</v>
      </c>
      <c r="AT701" s="81">
        <f t="shared" si="106"/>
        <v>0.61016989335508665</v>
      </c>
    </row>
    <row r="702" spans="1:46" x14ac:dyDescent="0.25">
      <c r="A702" t="s">
        <v>230</v>
      </c>
      <c r="B702">
        <v>2025</v>
      </c>
      <c r="C702" t="s">
        <v>680</v>
      </c>
      <c r="D702" t="s">
        <v>835</v>
      </c>
      <c r="E702" t="s">
        <v>2278</v>
      </c>
      <c r="F702">
        <v>8</v>
      </c>
      <c r="G702" t="s">
        <v>2439</v>
      </c>
      <c r="H702" s="460">
        <v>13739.172133964537</v>
      </c>
      <c r="I702">
        <v>6800</v>
      </c>
      <c r="J702">
        <v>250.00000001668948</v>
      </c>
      <c r="K702" s="67">
        <v>481.60500000000002</v>
      </c>
      <c r="L702" s="159">
        <v>0</v>
      </c>
      <c r="M702" s="159">
        <v>0</v>
      </c>
      <c r="N702" s="159">
        <v>0</v>
      </c>
      <c r="O702" s="159">
        <v>0</v>
      </c>
      <c r="P702" s="159">
        <v>4217</v>
      </c>
      <c r="Q702" s="159">
        <v>1500</v>
      </c>
      <c r="R702" s="159">
        <v>2000</v>
      </c>
      <c r="S702" s="159">
        <v>62465</v>
      </c>
      <c r="T702" s="159">
        <v>0</v>
      </c>
      <c r="U702" s="159">
        <v>134849</v>
      </c>
      <c r="V702" s="159">
        <v>4500</v>
      </c>
      <c r="W702" s="159">
        <v>186</v>
      </c>
      <c r="X702" s="159">
        <v>0</v>
      </c>
      <c r="Y702" s="159">
        <v>1500</v>
      </c>
      <c r="Z702" s="159">
        <v>7561</v>
      </c>
      <c r="AA702" s="159">
        <v>0</v>
      </c>
      <c r="AB702" s="159">
        <v>0</v>
      </c>
      <c r="AC702" s="159">
        <v>1500</v>
      </c>
      <c r="AD702" s="207">
        <v>220278</v>
      </c>
      <c r="AE702" s="200">
        <v>0</v>
      </c>
      <c r="AF702" s="200">
        <v>0</v>
      </c>
      <c r="AG702" s="200">
        <v>0</v>
      </c>
      <c r="AH702" s="200">
        <v>1618</v>
      </c>
      <c r="AI702" s="200">
        <v>1620</v>
      </c>
      <c r="AJ702" s="200">
        <v>1954</v>
      </c>
      <c r="AL702" s="197">
        <f t="shared" si="94"/>
        <v>252519.14732394129</v>
      </c>
      <c r="AM702" s="197" t="str">
        <f t="shared" si="95"/>
        <v>Regional DayCab 8</v>
      </c>
      <c r="AN702" s="3">
        <f t="shared" si="96"/>
        <v>0</v>
      </c>
      <c r="AO702" s="3">
        <f t="shared" si="97"/>
        <v>0</v>
      </c>
      <c r="AP702" s="3">
        <f t="shared" si="98"/>
        <v>113.92123479190225</v>
      </c>
      <c r="AQ702" s="3">
        <f t="shared" si="103"/>
        <v>4.1011644525084812</v>
      </c>
      <c r="AR702" s="3">
        <f t="shared" si="104"/>
        <v>4.1011644525084812</v>
      </c>
      <c r="AS702" s="81">
        <f t="shared" si="105"/>
        <v>0</v>
      </c>
      <c r="AT702" s="81">
        <f t="shared" si="106"/>
        <v>1</v>
      </c>
    </row>
    <row r="703" spans="1:46" x14ac:dyDescent="0.25">
      <c r="A703" t="s">
        <v>496</v>
      </c>
      <c r="B703">
        <v>2025</v>
      </c>
      <c r="C703" t="s">
        <v>680</v>
      </c>
      <c r="D703" t="s">
        <v>835</v>
      </c>
      <c r="E703" t="s">
        <v>2278</v>
      </c>
      <c r="F703">
        <v>8</v>
      </c>
      <c r="G703" t="s">
        <v>2440</v>
      </c>
      <c r="H703" s="460">
        <v>11875.461632668339</v>
      </c>
      <c r="I703">
        <v>6800</v>
      </c>
      <c r="J703">
        <v>250.00000001668948</v>
      </c>
      <c r="K703" s="67">
        <v>12.339360000000001</v>
      </c>
      <c r="L703" s="159">
        <v>0</v>
      </c>
      <c r="M703" s="159">
        <v>0</v>
      </c>
      <c r="N703" s="159">
        <v>0</v>
      </c>
      <c r="O703" s="159">
        <v>0</v>
      </c>
      <c r="P703" s="159">
        <v>4719</v>
      </c>
      <c r="Q703" s="159">
        <v>1500</v>
      </c>
      <c r="R703" s="159">
        <v>2000</v>
      </c>
      <c r="S703" s="159">
        <v>62465</v>
      </c>
      <c r="T703" s="159">
        <v>0</v>
      </c>
      <c r="U703" s="159">
        <v>5830</v>
      </c>
      <c r="V703" s="159">
        <v>4500</v>
      </c>
      <c r="W703" s="159">
        <v>186</v>
      </c>
      <c r="X703" s="159">
        <v>0</v>
      </c>
      <c r="Y703" s="159">
        <v>1500</v>
      </c>
      <c r="Z703" s="159">
        <v>8597</v>
      </c>
      <c r="AA703" s="159">
        <v>73057</v>
      </c>
      <c r="AB703" s="159">
        <v>22351</v>
      </c>
      <c r="AC703" s="159">
        <v>1500</v>
      </c>
      <c r="AD703" s="207">
        <v>188205</v>
      </c>
      <c r="AE703" s="200">
        <v>11.852790671596736</v>
      </c>
      <c r="AF703" s="200">
        <v>12.711503152656238</v>
      </c>
      <c r="AG703" s="200">
        <v>10.259471462882853</v>
      </c>
      <c r="AH703" s="200">
        <v>0</v>
      </c>
      <c r="AI703" s="200">
        <v>0</v>
      </c>
      <c r="AJ703" s="200">
        <v>0</v>
      </c>
      <c r="AL703" s="197">
        <f t="shared" si="94"/>
        <v>215751.75969503252</v>
      </c>
      <c r="AM703" s="197" t="str">
        <f t="shared" si="95"/>
        <v>Regional DayCab 8</v>
      </c>
      <c r="AN703" s="3">
        <f t="shared" si="96"/>
        <v>21.589237311731285</v>
      </c>
      <c r="AO703" s="3">
        <f t="shared" si="97"/>
        <v>8.3333212747409817</v>
      </c>
      <c r="AP703" s="3">
        <f t="shared" si="98"/>
        <v>0</v>
      </c>
      <c r="AQ703" s="3">
        <f t="shared" si="103"/>
        <v>0</v>
      </c>
      <c r="AR703" s="3">
        <f t="shared" si="104"/>
        <v>8.3333212747409817</v>
      </c>
      <c r="AS703" s="81">
        <f t="shared" si="105"/>
        <v>1</v>
      </c>
      <c r="AT703" s="81">
        <f t="shared" si="106"/>
        <v>0</v>
      </c>
    </row>
    <row r="704" spans="1:46" x14ac:dyDescent="0.25">
      <c r="A704" t="s">
        <v>828</v>
      </c>
      <c r="B704">
        <v>2025</v>
      </c>
      <c r="C704" t="s">
        <v>680</v>
      </c>
      <c r="D704" t="s">
        <v>835</v>
      </c>
      <c r="E704" t="s">
        <v>2278</v>
      </c>
      <c r="F704">
        <v>8</v>
      </c>
      <c r="G704" t="s">
        <v>2441</v>
      </c>
      <c r="H704" s="460">
        <v>11869.344593158228</v>
      </c>
      <c r="I704">
        <v>6800</v>
      </c>
      <c r="J704">
        <v>250.00000001668948</v>
      </c>
      <c r="K704" s="67">
        <v>58.090499999999999</v>
      </c>
      <c r="L704" s="159">
        <v>0</v>
      </c>
      <c r="M704" s="159">
        <v>0</v>
      </c>
      <c r="N704" s="159">
        <v>0</v>
      </c>
      <c r="O704" s="159">
        <v>0</v>
      </c>
      <c r="P704" s="159">
        <v>5096</v>
      </c>
      <c r="Q704" s="159">
        <v>1500</v>
      </c>
      <c r="R704" s="159">
        <v>2000</v>
      </c>
      <c r="S704" s="159">
        <v>62465</v>
      </c>
      <c r="T704" s="159">
        <v>0</v>
      </c>
      <c r="U704" s="159">
        <v>16265</v>
      </c>
      <c r="V704" s="159">
        <v>4500</v>
      </c>
      <c r="W704" s="159">
        <v>186</v>
      </c>
      <c r="X704" s="159">
        <v>0</v>
      </c>
      <c r="Y704" s="159">
        <v>1500</v>
      </c>
      <c r="Z704" s="159">
        <v>9375</v>
      </c>
      <c r="AA704" s="159">
        <v>42203</v>
      </c>
      <c r="AB704" s="159">
        <v>16907</v>
      </c>
      <c r="AC704" s="159">
        <v>1500</v>
      </c>
      <c r="AD704" s="207">
        <v>163497</v>
      </c>
      <c r="AE704" s="200">
        <v>11.954840198147537</v>
      </c>
      <c r="AF704" s="200">
        <v>12.20583638171016</v>
      </c>
      <c r="AG704" s="200">
        <v>9.8772270993445179</v>
      </c>
      <c r="AH704" s="200">
        <v>0</v>
      </c>
      <c r="AI704" s="200">
        <v>0</v>
      </c>
      <c r="AJ704" s="200">
        <v>0</v>
      </c>
      <c r="AL704" s="197">
        <f t="shared" si="94"/>
        <v>187427.3555689739</v>
      </c>
      <c r="AM704" s="197" t="str">
        <f t="shared" si="95"/>
        <v>Regional DayCab 8</v>
      </c>
      <c r="AN704" s="3">
        <f t="shared" si="96"/>
        <v>22.25521271998899</v>
      </c>
      <c r="AO704" s="3">
        <f t="shared" si="97"/>
        <v>8.5903839471250834</v>
      </c>
      <c r="AP704" s="3">
        <f t="shared" si="98"/>
        <v>0</v>
      </c>
      <c r="AQ704" s="3">
        <f t="shared" si="103"/>
        <v>0</v>
      </c>
      <c r="AR704" s="3">
        <f t="shared" si="104"/>
        <v>8.5903839471250834</v>
      </c>
      <c r="AS704" s="81">
        <f t="shared" si="105"/>
        <v>1</v>
      </c>
      <c r="AT704" s="81">
        <f t="shared" si="106"/>
        <v>0</v>
      </c>
    </row>
    <row r="705" spans="1:46" x14ac:dyDescent="0.25">
      <c r="A705" t="s">
        <v>805</v>
      </c>
      <c r="B705">
        <v>2030</v>
      </c>
      <c r="C705" t="s">
        <v>680</v>
      </c>
      <c r="D705" t="s">
        <v>835</v>
      </c>
      <c r="E705" t="s">
        <v>2278</v>
      </c>
      <c r="F705">
        <v>8</v>
      </c>
      <c r="G705" t="s">
        <v>2442</v>
      </c>
      <c r="H705" s="460">
        <v>11793.196980062192</v>
      </c>
      <c r="I705">
        <v>6800</v>
      </c>
      <c r="J705">
        <v>0</v>
      </c>
      <c r="K705" s="67">
        <v>0</v>
      </c>
      <c r="L705" s="159">
        <v>300</v>
      </c>
      <c r="M705" s="159">
        <v>30685</v>
      </c>
      <c r="N705" s="159">
        <v>1920</v>
      </c>
      <c r="O705" s="159">
        <v>392</v>
      </c>
      <c r="P705" s="159">
        <v>9304</v>
      </c>
      <c r="Q705" s="159">
        <v>1500</v>
      </c>
      <c r="R705" s="159">
        <v>2000</v>
      </c>
      <c r="S705" s="159">
        <v>62985</v>
      </c>
      <c r="T705" s="159">
        <v>183</v>
      </c>
      <c r="U705" s="159">
        <v>120</v>
      </c>
      <c r="V705" s="159">
        <v>0</v>
      </c>
      <c r="W705" s="159">
        <v>186</v>
      </c>
      <c r="X705" s="159">
        <v>0</v>
      </c>
      <c r="Y705" s="159">
        <v>0</v>
      </c>
      <c r="Z705" s="159">
        <v>0</v>
      </c>
      <c r="AA705" s="159">
        <v>0</v>
      </c>
      <c r="AB705" s="159">
        <v>0</v>
      </c>
      <c r="AC705" s="159">
        <v>1500</v>
      </c>
      <c r="AD705" s="207">
        <v>111075</v>
      </c>
      <c r="AE705" s="200">
        <v>6.4988368723352616</v>
      </c>
      <c r="AF705" s="200">
        <v>11.707537059537264</v>
      </c>
      <c r="AG705" s="200">
        <v>10.234024165992663</v>
      </c>
      <c r="AH705" s="200">
        <v>0</v>
      </c>
      <c r="AI705" s="200">
        <v>0</v>
      </c>
      <c r="AJ705" s="200">
        <v>0</v>
      </c>
      <c r="AL705" s="197">
        <f t="shared" si="94"/>
        <v>127332.57197271983</v>
      </c>
      <c r="AM705" s="197" t="str">
        <f t="shared" si="95"/>
        <v>Regional DayCab 8</v>
      </c>
      <c r="AN705" s="3">
        <f t="shared" si="96"/>
        <v>25.001733883621135</v>
      </c>
      <c r="AO705" s="3">
        <f t="shared" si="97"/>
        <v>9.650525299686219</v>
      </c>
      <c r="AP705" s="3">
        <f t="shared" si="98"/>
        <v>0</v>
      </c>
      <c r="AQ705" s="3">
        <f t="shared" si="103"/>
        <v>0</v>
      </c>
      <c r="AR705" s="3">
        <f t="shared" si="104"/>
        <v>9.650525299686219</v>
      </c>
      <c r="AS705" s="81">
        <f t="shared" si="105"/>
        <v>1</v>
      </c>
      <c r="AT705" s="81">
        <f t="shared" si="106"/>
        <v>0</v>
      </c>
    </row>
    <row r="706" spans="1:46" x14ac:dyDescent="0.25">
      <c r="A706" t="s">
        <v>807</v>
      </c>
      <c r="B706">
        <v>2030</v>
      </c>
      <c r="C706" t="s">
        <v>680</v>
      </c>
      <c r="D706" t="s">
        <v>835</v>
      </c>
      <c r="E706" t="s">
        <v>2278</v>
      </c>
      <c r="F706">
        <v>8</v>
      </c>
      <c r="G706" t="s">
        <v>2443</v>
      </c>
      <c r="H706" s="460">
        <v>11933.652749228655</v>
      </c>
      <c r="I706">
        <v>6800</v>
      </c>
      <c r="J706">
        <v>0</v>
      </c>
      <c r="K706" s="67">
        <v>6.6528000000000009</v>
      </c>
      <c r="L706" s="159">
        <v>300</v>
      </c>
      <c r="M706" s="159">
        <v>30917</v>
      </c>
      <c r="N706" s="159">
        <v>220</v>
      </c>
      <c r="O706" s="159">
        <v>392</v>
      </c>
      <c r="P706" s="159">
        <v>9384</v>
      </c>
      <c r="Q706" s="159">
        <v>1500</v>
      </c>
      <c r="R706" s="159">
        <v>2000</v>
      </c>
      <c r="S706" s="159">
        <v>62985</v>
      </c>
      <c r="T706" s="159">
        <v>0</v>
      </c>
      <c r="U706" s="159">
        <v>2389</v>
      </c>
      <c r="V706" s="159">
        <v>4500</v>
      </c>
      <c r="W706" s="159">
        <v>186</v>
      </c>
      <c r="X706" s="159">
        <v>120</v>
      </c>
      <c r="Y706" s="159">
        <v>1500</v>
      </c>
      <c r="Z706" s="159">
        <v>4272</v>
      </c>
      <c r="AA706" s="159">
        <v>0</v>
      </c>
      <c r="AB706" s="159">
        <v>0</v>
      </c>
      <c r="AC706" s="159">
        <v>1500</v>
      </c>
      <c r="AD706" s="207">
        <v>122165</v>
      </c>
      <c r="AE706" s="200">
        <v>9.436298332850992</v>
      </c>
      <c r="AF706" s="200">
        <v>11.993506872280372</v>
      </c>
      <c r="AG706" s="200">
        <v>9.9281596272446588</v>
      </c>
      <c r="AH706" s="200">
        <v>0</v>
      </c>
      <c r="AI706" s="200">
        <v>0</v>
      </c>
      <c r="AJ706" s="200">
        <v>0</v>
      </c>
      <c r="AL706" s="197">
        <f t="shared" si="94"/>
        <v>140045.76776995111</v>
      </c>
      <c r="AM706" s="197" t="str">
        <f t="shared" si="95"/>
        <v>Regional DayCab 8</v>
      </c>
      <c r="AN706" s="3">
        <f t="shared" si="96"/>
        <v>23.232774961270287</v>
      </c>
      <c r="AO706" s="3">
        <f t="shared" si="97"/>
        <v>8.967717342697437</v>
      </c>
      <c r="AP706" s="3">
        <f t="shared" si="98"/>
        <v>0</v>
      </c>
      <c r="AQ706" s="3">
        <f t="shared" si="103"/>
        <v>0</v>
      </c>
      <c r="AR706" s="3">
        <f t="shared" si="104"/>
        <v>8.967717342697437</v>
      </c>
      <c r="AS706" s="81">
        <f t="shared" si="105"/>
        <v>1</v>
      </c>
      <c r="AT706" s="81">
        <f t="shared" si="106"/>
        <v>0</v>
      </c>
    </row>
    <row r="707" spans="1:46" x14ac:dyDescent="0.25">
      <c r="A707" t="s">
        <v>808</v>
      </c>
      <c r="B707">
        <v>2030</v>
      </c>
      <c r="C707" t="s">
        <v>680</v>
      </c>
      <c r="D707" t="s">
        <v>835</v>
      </c>
      <c r="E707" t="s">
        <v>2278</v>
      </c>
      <c r="F707">
        <v>8</v>
      </c>
      <c r="G707" t="s">
        <v>2444</v>
      </c>
      <c r="H707" s="460">
        <v>13718.798721842541</v>
      </c>
      <c r="I707">
        <v>6800</v>
      </c>
      <c r="J707">
        <v>200.00000001335161</v>
      </c>
      <c r="K707" s="67">
        <v>372.375</v>
      </c>
      <c r="L707" s="159">
        <v>0</v>
      </c>
      <c r="M707" s="159">
        <v>15697</v>
      </c>
      <c r="N707" s="159">
        <v>220</v>
      </c>
      <c r="O707" s="159">
        <v>0</v>
      </c>
      <c r="P707" s="159">
        <v>4985</v>
      </c>
      <c r="Q707" s="159">
        <v>1500</v>
      </c>
      <c r="R707" s="159">
        <v>2000</v>
      </c>
      <c r="S707" s="159">
        <v>62985</v>
      </c>
      <c r="T707" s="159">
        <v>4774</v>
      </c>
      <c r="U707" s="159">
        <v>74475</v>
      </c>
      <c r="V707" s="159">
        <v>4500</v>
      </c>
      <c r="W707" s="159">
        <v>186</v>
      </c>
      <c r="X707" s="159">
        <v>0</v>
      </c>
      <c r="Y707" s="159">
        <v>1500</v>
      </c>
      <c r="Z707" s="159">
        <v>7245</v>
      </c>
      <c r="AA707" s="159">
        <v>0</v>
      </c>
      <c r="AB707" s="159">
        <v>0</v>
      </c>
      <c r="AC707" s="159">
        <v>1500</v>
      </c>
      <c r="AD707" s="207">
        <v>181567</v>
      </c>
      <c r="AE707" s="200">
        <v>9.3795168821119272</v>
      </c>
      <c r="AF707" s="200">
        <v>8.8276894226975759</v>
      </c>
      <c r="AG707" s="200">
        <v>8.0883617763800046</v>
      </c>
      <c r="AH707" s="200">
        <v>1646</v>
      </c>
      <c r="AI707" s="200">
        <v>1710</v>
      </c>
      <c r="AJ707" s="200">
        <v>2055</v>
      </c>
      <c r="AL707" s="197">
        <f t="shared" ref="AL707:AL770" si="107">AD707*USD2023_to_CAD2020</f>
        <v>208142.18406815955</v>
      </c>
      <c r="AM707" s="197" t="str">
        <f t="shared" ref="AM707:AM770" si="108">IF(AND(F707&lt;5, D707="School"), $BF$2, IF(F707&lt;5, $BA$2,
IF(AND(F707&lt;=7, D707="School"), $BE$2, IF(F707&lt;7, $AZ$2,
IF(AND(F707&lt;8, E707="DayCab"), $BC$2, IF(F707&lt;8, $AZ$2,
IF(VLOOKUP(D707, $BH$3:$BI$10, 2, FALSE)="Longhaul", $AY$2,
IF(VLOOKUP(D707, $BH$3:$BI$10, 2, FALSE)="Drayage", $BB$2,
IF(VLOOKUP(D707, $BH$3:$BI$10, 2, FALSE)="Regional", $BC$2,
IF(VLOOKUP(D707, $BH$3:$BI$10, 2, FALSE)="Transit", $BE$2,
IF(VLOOKUP(D707, $BH$3:$BI$10, 2, FALSE)="Vocational", $BD$2, NA())))))))))))</f>
        <v>Regional DayCab 8</v>
      </c>
      <c r="AN707" s="3">
        <f t="shared" ref="AN707:AN770" si="109">(IFERROR(L_100km_to_mpg/AE707 * HLOOKUP($AM707, $AY$2:$BF$6, 2, FALSE) +
L_100km_to_mpg/AF707 * HLOOKUP($AM707, $AY$2:$BF$6, 3, FALSE) +
L_100km_to_mpg/AG707 * HLOOKUP($AM707, $AY$2:$BF$6, 4, FALSE), 0)) *
IF(ISERROR(SEARCH("PHEV",$A707)), 1, 1-HLOOKUP($AM707, $AY$2:$BF$6, 5, FALSE))</f>
        <v>5.5812092621920746</v>
      </c>
      <c r="AO707" s="3">
        <f t="shared" ref="AO707:AO770" si="110">AN707*DSL_PJ_ML*10</f>
        <v>2.1543146342707415</v>
      </c>
      <c r="AP707" s="3">
        <f t="shared" ref="AP707:AP770" si="111">(AH707/km_mile/10 * HLOOKUP($AM707, $AY$2:$BF$6, 2, FALSE) +
AI707/km_mile/10 * HLOOKUP($AM707, $AY$2:$BF$6, 3, FALSE) +
AJ707/km_mile/10 * HLOOKUP($AM707, $AY$2:$BF$6, 4, FALSE)) *
IF(ISERROR(SEARCH("PHEV",$A707)), 1, HLOOKUP($AM707, $AY$2:$BF$6, 5, FALSE))</f>
        <v>95.37524699566282</v>
      </c>
      <c r="AQ707" s="3">
        <f t="shared" si="103"/>
        <v>3.4335088918438617</v>
      </c>
      <c r="AR707" s="3">
        <f t="shared" si="104"/>
        <v>5.5878235261146028</v>
      </c>
      <c r="AS707" s="81">
        <f t="shared" si="105"/>
        <v>0.38553734279591811</v>
      </c>
      <c r="AT707" s="81">
        <f t="shared" si="106"/>
        <v>0.614462657204082</v>
      </c>
    </row>
    <row r="708" spans="1:46" x14ac:dyDescent="0.25">
      <c r="A708" t="s">
        <v>230</v>
      </c>
      <c r="B708">
        <v>2030</v>
      </c>
      <c r="C708" t="s">
        <v>680</v>
      </c>
      <c r="D708" t="s">
        <v>835</v>
      </c>
      <c r="E708" t="s">
        <v>2278</v>
      </c>
      <c r="F708">
        <v>8</v>
      </c>
      <c r="G708" t="s">
        <v>2445</v>
      </c>
      <c r="H708" s="460">
        <v>12963.2463571189</v>
      </c>
      <c r="I708">
        <v>6800</v>
      </c>
      <c r="J708">
        <v>250.00000001668948</v>
      </c>
      <c r="K708" s="67">
        <v>446.85</v>
      </c>
      <c r="L708" s="159">
        <v>0</v>
      </c>
      <c r="M708" s="159">
        <v>0</v>
      </c>
      <c r="N708" s="159">
        <v>0</v>
      </c>
      <c r="O708" s="159">
        <v>0</v>
      </c>
      <c r="P708" s="159">
        <v>4217</v>
      </c>
      <c r="Q708" s="159">
        <v>1500</v>
      </c>
      <c r="R708" s="159">
        <v>2000</v>
      </c>
      <c r="S708" s="159">
        <v>62985</v>
      </c>
      <c r="T708" s="159">
        <v>0</v>
      </c>
      <c r="U708" s="159">
        <v>89370</v>
      </c>
      <c r="V708" s="159">
        <v>4500</v>
      </c>
      <c r="W708" s="159">
        <v>186</v>
      </c>
      <c r="X708" s="159">
        <v>0</v>
      </c>
      <c r="Y708" s="159">
        <v>1500</v>
      </c>
      <c r="Z708" s="159">
        <v>5984</v>
      </c>
      <c r="AA708" s="159">
        <v>0</v>
      </c>
      <c r="AB708" s="159">
        <v>0</v>
      </c>
      <c r="AC708" s="159">
        <v>1500</v>
      </c>
      <c r="AD708" s="207">
        <v>173742</v>
      </c>
      <c r="AE708" s="200">
        <v>0</v>
      </c>
      <c r="AF708" s="200">
        <v>0</v>
      </c>
      <c r="AG708" s="200">
        <v>0</v>
      </c>
      <c r="AH708" s="200">
        <v>1495</v>
      </c>
      <c r="AI708" s="200">
        <v>1468</v>
      </c>
      <c r="AJ708" s="200">
        <v>1768</v>
      </c>
      <c r="AL708" s="197">
        <f t="shared" si="107"/>
        <v>199171.87233566769</v>
      </c>
      <c r="AM708" s="197" t="str">
        <f t="shared" si="108"/>
        <v>Regional DayCab 8</v>
      </c>
      <c r="AN708" s="3">
        <f t="shared" si="109"/>
        <v>0</v>
      </c>
      <c r="AO708" s="3">
        <f t="shared" si="110"/>
        <v>0</v>
      </c>
      <c r="AP708" s="3">
        <f t="shared" si="111"/>
        <v>103.46663849776925</v>
      </c>
      <c r="AQ708" s="3">
        <f t="shared" si="103"/>
        <v>3.7247989859196933</v>
      </c>
      <c r="AR708" s="3">
        <f t="shared" si="104"/>
        <v>3.7247989859196933</v>
      </c>
      <c r="AS708" s="81">
        <f t="shared" si="105"/>
        <v>0</v>
      </c>
      <c r="AT708" s="81">
        <f t="shared" si="106"/>
        <v>1</v>
      </c>
    </row>
    <row r="709" spans="1:46" x14ac:dyDescent="0.25">
      <c r="A709" t="s">
        <v>496</v>
      </c>
      <c r="B709">
        <v>2030</v>
      </c>
      <c r="C709" t="s">
        <v>680</v>
      </c>
      <c r="D709" t="s">
        <v>835</v>
      </c>
      <c r="E709" t="s">
        <v>2278</v>
      </c>
      <c r="F709">
        <v>8</v>
      </c>
      <c r="G709" t="s">
        <v>2446</v>
      </c>
      <c r="H709" s="460">
        <v>11536.224610394329</v>
      </c>
      <c r="I709">
        <v>6800</v>
      </c>
      <c r="J709">
        <v>250.00000001668948</v>
      </c>
      <c r="K709" s="67">
        <v>11.784960000000002</v>
      </c>
      <c r="L709" s="159">
        <v>0</v>
      </c>
      <c r="M709" s="159">
        <v>0</v>
      </c>
      <c r="N709" s="159">
        <v>0</v>
      </c>
      <c r="O709" s="159">
        <v>0</v>
      </c>
      <c r="P709" s="159">
        <v>4685</v>
      </c>
      <c r="Q709" s="159">
        <v>1500</v>
      </c>
      <c r="R709" s="159">
        <v>2000</v>
      </c>
      <c r="S709" s="159">
        <v>62985</v>
      </c>
      <c r="T709" s="159">
        <v>0</v>
      </c>
      <c r="U709" s="159">
        <v>4232</v>
      </c>
      <c r="V709" s="159">
        <v>4500</v>
      </c>
      <c r="W709" s="159">
        <v>186</v>
      </c>
      <c r="X709" s="159">
        <v>0</v>
      </c>
      <c r="Y709" s="159">
        <v>1500</v>
      </c>
      <c r="Z709" s="159">
        <v>6752</v>
      </c>
      <c r="AA709" s="159">
        <v>59775</v>
      </c>
      <c r="AB709" s="159">
        <v>17419</v>
      </c>
      <c r="AC709" s="159">
        <v>1500</v>
      </c>
      <c r="AD709" s="207">
        <v>167034</v>
      </c>
      <c r="AE709" s="200">
        <v>12.942058401465518</v>
      </c>
      <c r="AF709" s="200">
        <v>14.39001183680096</v>
      </c>
      <c r="AG709" s="200">
        <v>11.675944346144377</v>
      </c>
      <c r="AH709" s="200">
        <v>0</v>
      </c>
      <c r="AI709" s="200">
        <v>0</v>
      </c>
      <c r="AJ709" s="200">
        <v>0</v>
      </c>
      <c r="AL709" s="197">
        <f t="shared" si="107"/>
        <v>191482.05110863186</v>
      </c>
      <c r="AM709" s="197" t="str">
        <f t="shared" si="108"/>
        <v>Regional DayCab 8</v>
      </c>
      <c r="AN709" s="3">
        <f t="shared" si="109"/>
        <v>19.124899382541017</v>
      </c>
      <c r="AO709" s="3">
        <f t="shared" si="110"/>
        <v>7.3821010256442996</v>
      </c>
      <c r="AP709" s="3">
        <f t="shared" si="111"/>
        <v>0</v>
      </c>
      <c r="AQ709" s="3">
        <f t="shared" si="103"/>
        <v>0</v>
      </c>
      <c r="AR709" s="3">
        <f t="shared" si="104"/>
        <v>7.3821010256442996</v>
      </c>
      <c r="AS709" s="81">
        <f t="shared" si="105"/>
        <v>1</v>
      </c>
      <c r="AT709" s="81">
        <f t="shared" si="106"/>
        <v>0</v>
      </c>
    </row>
    <row r="710" spans="1:46" x14ac:dyDescent="0.25">
      <c r="A710" t="s">
        <v>828</v>
      </c>
      <c r="B710">
        <v>2030</v>
      </c>
      <c r="C710" t="s">
        <v>680</v>
      </c>
      <c r="D710" t="s">
        <v>835</v>
      </c>
      <c r="E710" t="s">
        <v>2278</v>
      </c>
      <c r="F710">
        <v>8</v>
      </c>
      <c r="G710" t="s">
        <v>2447</v>
      </c>
      <c r="H710" s="460">
        <v>11511.009906397318</v>
      </c>
      <c r="I710">
        <v>6800</v>
      </c>
      <c r="J710">
        <v>250.00000001668948</v>
      </c>
      <c r="K710" s="67">
        <v>61.441875000000003</v>
      </c>
      <c r="L710" s="159">
        <v>0</v>
      </c>
      <c r="M710" s="159">
        <v>0</v>
      </c>
      <c r="N710" s="159">
        <v>0</v>
      </c>
      <c r="O710" s="159">
        <v>0</v>
      </c>
      <c r="P710" s="159">
        <v>5069</v>
      </c>
      <c r="Q710" s="159">
        <v>1500</v>
      </c>
      <c r="R710" s="159">
        <v>2000</v>
      </c>
      <c r="S710" s="159">
        <v>62985</v>
      </c>
      <c r="T710" s="159">
        <v>0</v>
      </c>
      <c r="U710" s="159">
        <v>12288</v>
      </c>
      <c r="V710" s="159">
        <v>4500</v>
      </c>
      <c r="W710" s="159">
        <v>186</v>
      </c>
      <c r="X710" s="159">
        <v>0</v>
      </c>
      <c r="Y710" s="159">
        <v>1500</v>
      </c>
      <c r="Z710" s="159">
        <v>7383</v>
      </c>
      <c r="AA710" s="159">
        <v>31912</v>
      </c>
      <c r="AB710" s="159">
        <v>12630</v>
      </c>
      <c r="AC710" s="159">
        <v>1500</v>
      </c>
      <c r="AD710" s="207">
        <v>143453</v>
      </c>
      <c r="AE710" s="200">
        <v>13.129341665836078</v>
      </c>
      <c r="AF710" s="200">
        <v>13.769153877832348</v>
      </c>
      <c r="AG710" s="200">
        <v>11.192844770078059</v>
      </c>
      <c r="AH710" s="200">
        <v>0</v>
      </c>
      <c r="AI710" s="200">
        <v>0</v>
      </c>
      <c r="AJ710" s="200">
        <v>0</v>
      </c>
      <c r="AL710" s="197">
        <f t="shared" si="107"/>
        <v>164449.6011451954</v>
      </c>
      <c r="AM710" s="197" t="str">
        <f t="shared" si="108"/>
        <v>Regional DayCab 8</v>
      </c>
      <c r="AN710" s="3">
        <f t="shared" si="109"/>
        <v>19.757417963557</v>
      </c>
      <c r="AO710" s="3">
        <f t="shared" si="110"/>
        <v>7.626249555383481</v>
      </c>
      <c r="AP710" s="3">
        <f t="shared" si="111"/>
        <v>0</v>
      </c>
      <c r="AQ710" s="3">
        <f t="shared" si="103"/>
        <v>0</v>
      </c>
      <c r="AR710" s="3">
        <f t="shared" si="104"/>
        <v>7.626249555383481</v>
      </c>
      <c r="AS710" s="81">
        <f t="shared" si="105"/>
        <v>1</v>
      </c>
      <c r="AT710" s="81">
        <f t="shared" si="106"/>
        <v>0</v>
      </c>
    </row>
    <row r="711" spans="1:46" x14ac:dyDescent="0.25">
      <c r="A711" t="s">
        <v>805</v>
      </c>
      <c r="B711">
        <v>2035</v>
      </c>
      <c r="C711" t="s">
        <v>680</v>
      </c>
      <c r="D711" t="s">
        <v>835</v>
      </c>
      <c r="E711" t="s">
        <v>2278</v>
      </c>
      <c r="F711">
        <v>8</v>
      </c>
      <c r="G711" t="s">
        <v>2448</v>
      </c>
      <c r="H711" s="460">
        <v>11769.394397450094</v>
      </c>
      <c r="I711">
        <v>6800</v>
      </c>
      <c r="J711">
        <v>0</v>
      </c>
      <c r="K711" s="67">
        <v>0</v>
      </c>
      <c r="L711" s="159">
        <v>300</v>
      </c>
      <c r="M711" s="159">
        <v>30167</v>
      </c>
      <c r="N711" s="159">
        <v>1920</v>
      </c>
      <c r="O711" s="159">
        <v>392</v>
      </c>
      <c r="P711" s="159">
        <v>9136</v>
      </c>
      <c r="Q711" s="159">
        <v>1500</v>
      </c>
      <c r="R711" s="159">
        <v>2000</v>
      </c>
      <c r="S711" s="159">
        <v>62985</v>
      </c>
      <c r="T711" s="159">
        <v>156</v>
      </c>
      <c r="U711" s="159">
        <v>120</v>
      </c>
      <c r="V711" s="159">
        <v>0</v>
      </c>
      <c r="W711" s="159">
        <v>186</v>
      </c>
      <c r="X711" s="159">
        <v>0</v>
      </c>
      <c r="Y711" s="159">
        <v>0</v>
      </c>
      <c r="Z711" s="159">
        <v>0</v>
      </c>
      <c r="AA711" s="159">
        <v>0</v>
      </c>
      <c r="AB711" s="159">
        <v>0</v>
      </c>
      <c r="AC711" s="159">
        <v>1500</v>
      </c>
      <c r="AD711" s="207">
        <v>110362</v>
      </c>
      <c r="AE711" s="200">
        <v>6.715525205073269</v>
      </c>
      <c r="AF711" s="200">
        <v>12.719586714013886</v>
      </c>
      <c r="AG711" s="200">
        <v>11.216360139347856</v>
      </c>
      <c r="AH711" s="200">
        <v>0</v>
      </c>
      <c r="AI711" s="200">
        <v>0</v>
      </c>
      <c r="AJ711" s="200">
        <v>0</v>
      </c>
      <c r="AL711" s="197">
        <f t="shared" si="107"/>
        <v>126515.21321677521</v>
      </c>
      <c r="AM711" s="197" t="str">
        <f t="shared" si="108"/>
        <v>Regional DayCab 8</v>
      </c>
      <c r="AN711" s="3">
        <f t="shared" si="109"/>
        <v>23.219818495041991</v>
      </c>
      <c r="AO711" s="3">
        <f t="shared" si="110"/>
        <v>8.9627162213467066</v>
      </c>
      <c r="AP711" s="3">
        <f t="shared" si="111"/>
        <v>0</v>
      </c>
      <c r="AQ711" s="3">
        <f t="shared" si="103"/>
        <v>0</v>
      </c>
      <c r="AR711" s="3">
        <f t="shared" si="104"/>
        <v>8.9627162213467066</v>
      </c>
      <c r="AS711" s="81">
        <f t="shared" si="105"/>
        <v>1</v>
      </c>
      <c r="AT711" s="81">
        <f t="shared" si="106"/>
        <v>0</v>
      </c>
    </row>
    <row r="712" spans="1:46" x14ac:dyDescent="0.25">
      <c r="A712" t="s">
        <v>807</v>
      </c>
      <c r="B712">
        <v>2035</v>
      </c>
      <c r="C712" t="s">
        <v>680</v>
      </c>
      <c r="D712" t="s">
        <v>835</v>
      </c>
      <c r="E712" t="s">
        <v>2278</v>
      </c>
      <c r="F712">
        <v>8</v>
      </c>
      <c r="G712" t="s">
        <v>2449</v>
      </c>
      <c r="H712" s="460">
        <v>11910.642340049406</v>
      </c>
      <c r="I712">
        <v>6800</v>
      </c>
      <c r="J712">
        <v>0</v>
      </c>
      <c r="K712" s="67">
        <v>6.46272</v>
      </c>
      <c r="L712" s="159">
        <v>300</v>
      </c>
      <c r="M712" s="159">
        <v>30499</v>
      </c>
      <c r="N712" s="159">
        <v>220</v>
      </c>
      <c r="O712" s="159">
        <v>392</v>
      </c>
      <c r="P712" s="159">
        <v>9250</v>
      </c>
      <c r="Q712" s="159">
        <v>1500</v>
      </c>
      <c r="R712" s="159">
        <v>2000</v>
      </c>
      <c r="S712" s="159">
        <v>62985</v>
      </c>
      <c r="T712" s="159">
        <v>0</v>
      </c>
      <c r="U712" s="159">
        <v>2198</v>
      </c>
      <c r="V712" s="159">
        <v>4500</v>
      </c>
      <c r="W712" s="159">
        <v>186</v>
      </c>
      <c r="X712" s="159">
        <v>120</v>
      </c>
      <c r="Y712" s="159">
        <v>1500</v>
      </c>
      <c r="Z712" s="159">
        <v>3518</v>
      </c>
      <c r="AA712" s="159">
        <v>0</v>
      </c>
      <c r="AB712" s="159">
        <v>0</v>
      </c>
      <c r="AC712" s="159">
        <v>1500</v>
      </c>
      <c r="AD712" s="207">
        <v>120668</v>
      </c>
      <c r="AE712" s="200">
        <v>9.9835534822097358</v>
      </c>
      <c r="AF712" s="200">
        <v>13.179031535042327</v>
      </c>
      <c r="AG712" s="200">
        <v>10.942499790216941</v>
      </c>
      <c r="AH712" s="200">
        <v>0</v>
      </c>
      <c r="AI712" s="200">
        <v>0</v>
      </c>
      <c r="AJ712" s="200">
        <v>0</v>
      </c>
      <c r="AL712" s="197">
        <f t="shared" si="107"/>
        <v>138329.65829218237</v>
      </c>
      <c r="AM712" s="197" t="str">
        <f t="shared" si="108"/>
        <v>Regional DayCab 8</v>
      </c>
      <c r="AN712" s="3">
        <f t="shared" si="109"/>
        <v>21.267710799923272</v>
      </c>
      <c r="AO712" s="3">
        <f t="shared" si="110"/>
        <v>8.2092138927823317</v>
      </c>
      <c r="AP712" s="3">
        <f t="shared" si="111"/>
        <v>0</v>
      </c>
      <c r="AQ712" s="3">
        <f t="shared" si="103"/>
        <v>0</v>
      </c>
      <c r="AR712" s="3">
        <f t="shared" si="104"/>
        <v>8.2092138927823317</v>
      </c>
      <c r="AS712" s="81">
        <f t="shared" si="105"/>
        <v>1</v>
      </c>
      <c r="AT712" s="81">
        <f t="shared" si="106"/>
        <v>0</v>
      </c>
    </row>
    <row r="713" spans="1:46" x14ac:dyDescent="0.25">
      <c r="A713" t="s">
        <v>808</v>
      </c>
      <c r="B713">
        <v>2035</v>
      </c>
      <c r="C713" t="s">
        <v>680</v>
      </c>
      <c r="D713" t="s">
        <v>835</v>
      </c>
      <c r="E713" t="s">
        <v>2278</v>
      </c>
      <c r="F713">
        <v>8</v>
      </c>
      <c r="G713" t="s">
        <v>2450</v>
      </c>
      <c r="H713" s="460">
        <v>13146.614176782223</v>
      </c>
      <c r="I713">
        <v>6800</v>
      </c>
      <c r="J713">
        <v>200.00000001335161</v>
      </c>
      <c r="K713" s="67">
        <v>333.64800000000002</v>
      </c>
      <c r="L713" s="159">
        <v>0</v>
      </c>
      <c r="M713" s="159">
        <v>14830</v>
      </c>
      <c r="N713" s="159">
        <v>220</v>
      </c>
      <c r="O713" s="159">
        <v>0</v>
      </c>
      <c r="P713" s="159">
        <v>4810</v>
      </c>
      <c r="Q713" s="159">
        <v>1500</v>
      </c>
      <c r="R713" s="159">
        <v>2000</v>
      </c>
      <c r="S713" s="159">
        <v>62985</v>
      </c>
      <c r="T713" s="159">
        <v>3800</v>
      </c>
      <c r="U713" s="159">
        <v>53384</v>
      </c>
      <c r="V713" s="159">
        <v>4500</v>
      </c>
      <c r="W713" s="159">
        <v>186</v>
      </c>
      <c r="X713" s="159">
        <v>0</v>
      </c>
      <c r="Y713" s="159">
        <v>1500</v>
      </c>
      <c r="Z713" s="159">
        <v>5717</v>
      </c>
      <c r="AA713" s="159">
        <v>0</v>
      </c>
      <c r="AB713" s="159">
        <v>0</v>
      </c>
      <c r="AC713" s="159">
        <v>1500</v>
      </c>
      <c r="AD713" s="207">
        <v>156932</v>
      </c>
      <c r="AE713" s="200">
        <v>10.28998932670679</v>
      </c>
      <c r="AF713" s="200">
        <v>9.8770005539503654</v>
      </c>
      <c r="AG713" s="200">
        <v>8.9516067132909942</v>
      </c>
      <c r="AH713" s="200">
        <v>1518</v>
      </c>
      <c r="AI713" s="200">
        <v>1545</v>
      </c>
      <c r="AJ713" s="200">
        <v>1853</v>
      </c>
      <c r="AL713" s="197">
        <f t="shared" si="107"/>
        <v>179901.46463941364</v>
      </c>
      <c r="AM713" s="197" t="str">
        <f t="shared" si="108"/>
        <v>Regional DayCab 8</v>
      </c>
      <c r="AN713" s="3">
        <f t="shared" si="109"/>
        <v>5.0416853432435129</v>
      </c>
      <c r="AO713" s="3">
        <f t="shared" si="110"/>
        <v>1.9460615085541328</v>
      </c>
      <c r="AP713" s="3">
        <f t="shared" si="111"/>
        <v>86.345458386667815</v>
      </c>
      <c r="AQ713" s="3">
        <f t="shared" si="103"/>
        <v>3.1084365019200413</v>
      </c>
      <c r="AR713" s="3">
        <f t="shared" si="104"/>
        <v>5.0544980104741741</v>
      </c>
      <c r="AS713" s="81">
        <f t="shared" si="105"/>
        <v>0.38501578287723343</v>
      </c>
      <c r="AT713" s="81">
        <f t="shared" si="106"/>
        <v>0.61498421712276663</v>
      </c>
    </row>
    <row r="714" spans="1:46" x14ac:dyDescent="0.25">
      <c r="A714" t="s">
        <v>230</v>
      </c>
      <c r="B714">
        <v>2035</v>
      </c>
      <c r="C714" t="s">
        <v>680</v>
      </c>
      <c r="D714" t="s">
        <v>835</v>
      </c>
      <c r="E714" t="s">
        <v>2278</v>
      </c>
      <c r="F714">
        <v>8</v>
      </c>
      <c r="G714" t="s">
        <v>2451</v>
      </c>
      <c r="H714" s="460">
        <v>12369.623635047206</v>
      </c>
      <c r="I714">
        <v>6800</v>
      </c>
      <c r="J714">
        <v>250.00000001668948</v>
      </c>
      <c r="K714" s="67">
        <v>403.03387500000002</v>
      </c>
      <c r="L714" s="159">
        <v>0</v>
      </c>
      <c r="M714" s="159">
        <v>0</v>
      </c>
      <c r="N714" s="159">
        <v>0</v>
      </c>
      <c r="O714" s="159">
        <v>0</v>
      </c>
      <c r="P714" s="159">
        <v>4217</v>
      </c>
      <c r="Q714" s="159">
        <v>1500</v>
      </c>
      <c r="R714" s="159">
        <v>2000</v>
      </c>
      <c r="S714" s="159">
        <v>62985</v>
      </c>
      <c r="T714" s="159">
        <v>0</v>
      </c>
      <c r="U714" s="159">
        <v>64485</v>
      </c>
      <c r="V714" s="159">
        <v>4500</v>
      </c>
      <c r="W714" s="159">
        <v>186</v>
      </c>
      <c r="X714" s="159">
        <v>0</v>
      </c>
      <c r="Y714" s="159">
        <v>1500</v>
      </c>
      <c r="Z714" s="159">
        <v>4919</v>
      </c>
      <c r="AA714" s="159">
        <v>0</v>
      </c>
      <c r="AB714" s="159">
        <v>0</v>
      </c>
      <c r="AC714" s="159">
        <v>1500</v>
      </c>
      <c r="AD714" s="207">
        <v>147792</v>
      </c>
      <c r="AE714" s="200">
        <v>0</v>
      </c>
      <c r="AF714" s="200">
        <v>0</v>
      </c>
      <c r="AG714" s="200">
        <v>0</v>
      </c>
      <c r="AH714" s="200">
        <v>1371</v>
      </c>
      <c r="AI714" s="200">
        <v>1318</v>
      </c>
      <c r="AJ714" s="200">
        <v>1583</v>
      </c>
      <c r="AL714" s="197">
        <f t="shared" si="107"/>
        <v>169423.68198957649</v>
      </c>
      <c r="AM714" s="197" t="str">
        <f t="shared" si="108"/>
        <v>Regional DayCab 8</v>
      </c>
      <c r="AN714" s="3">
        <f t="shared" si="109"/>
        <v>0</v>
      </c>
      <c r="AO714" s="3">
        <f t="shared" si="110"/>
        <v>0</v>
      </c>
      <c r="AP714" s="3">
        <f t="shared" si="111"/>
        <v>93.061130649831597</v>
      </c>
      <c r="AQ714" s="3">
        <f t="shared" si="103"/>
        <v>3.3502007033939378</v>
      </c>
      <c r="AR714" s="3">
        <f t="shared" si="104"/>
        <v>3.3502007033939378</v>
      </c>
      <c r="AS714" s="81">
        <f t="shared" si="105"/>
        <v>0</v>
      </c>
      <c r="AT714" s="81">
        <f t="shared" si="106"/>
        <v>1</v>
      </c>
    </row>
    <row r="715" spans="1:46" x14ac:dyDescent="0.25">
      <c r="A715" t="s">
        <v>496</v>
      </c>
      <c r="B715">
        <v>2035</v>
      </c>
      <c r="C715" t="s">
        <v>680</v>
      </c>
      <c r="D715" t="s">
        <v>835</v>
      </c>
      <c r="E715" t="s">
        <v>2278</v>
      </c>
      <c r="F715">
        <v>8</v>
      </c>
      <c r="G715" t="s">
        <v>2452</v>
      </c>
      <c r="H715" s="460">
        <v>11411.078926479266</v>
      </c>
      <c r="I715">
        <v>6800</v>
      </c>
      <c r="J715">
        <v>250.00000001668948</v>
      </c>
      <c r="K715" s="67">
        <v>11.484000000000002</v>
      </c>
      <c r="L715" s="159">
        <v>0</v>
      </c>
      <c r="M715" s="159">
        <v>0</v>
      </c>
      <c r="N715" s="159">
        <v>0</v>
      </c>
      <c r="O715" s="159">
        <v>0</v>
      </c>
      <c r="P715" s="159">
        <v>4650</v>
      </c>
      <c r="Q715" s="159">
        <v>1500</v>
      </c>
      <c r="R715" s="159">
        <v>2000</v>
      </c>
      <c r="S715" s="159">
        <v>62985</v>
      </c>
      <c r="T715" s="159">
        <v>0</v>
      </c>
      <c r="U715" s="159">
        <v>3906</v>
      </c>
      <c r="V715" s="159">
        <v>4500</v>
      </c>
      <c r="W715" s="159">
        <v>186</v>
      </c>
      <c r="X715" s="159">
        <v>0</v>
      </c>
      <c r="Y715" s="159">
        <v>1500</v>
      </c>
      <c r="Z715" s="159">
        <v>5501</v>
      </c>
      <c r="AA715" s="159">
        <v>52175</v>
      </c>
      <c r="AB715" s="159">
        <v>13426</v>
      </c>
      <c r="AC715" s="159">
        <v>1500</v>
      </c>
      <c r="AD715" s="207">
        <v>153829</v>
      </c>
      <c r="AE715" s="200">
        <v>13.959316374936353</v>
      </c>
      <c r="AF715" s="200">
        <v>16.149961265464814</v>
      </c>
      <c r="AG715" s="200">
        <v>13.189423136499958</v>
      </c>
      <c r="AH715" s="200">
        <v>0</v>
      </c>
      <c r="AI715" s="200">
        <v>0</v>
      </c>
      <c r="AJ715" s="200">
        <v>0</v>
      </c>
      <c r="AL715" s="197">
        <f t="shared" si="107"/>
        <v>176344.29182076541</v>
      </c>
      <c r="AM715" s="197" t="str">
        <f t="shared" si="108"/>
        <v>Regional DayCab 8</v>
      </c>
      <c r="AN715" s="3">
        <f t="shared" si="109"/>
        <v>17.090978061006222</v>
      </c>
      <c r="AO715" s="3">
        <f t="shared" si="110"/>
        <v>6.5970191084296905</v>
      </c>
      <c r="AP715" s="3">
        <f t="shared" si="111"/>
        <v>0</v>
      </c>
      <c r="AQ715" s="3">
        <f t="shared" si="103"/>
        <v>0</v>
      </c>
      <c r="AR715" s="3">
        <f t="shared" si="104"/>
        <v>6.5970191084296905</v>
      </c>
      <c r="AS715" s="81">
        <f t="shared" si="105"/>
        <v>1</v>
      </c>
      <c r="AT715" s="81">
        <f t="shared" si="106"/>
        <v>0</v>
      </c>
    </row>
    <row r="716" spans="1:46" x14ac:dyDescent="0.25">
      <c r="A716" t="s">
        <v>828</v>
      </c>
      <c r="B716">
        <v>2035</v>
      </c>
      <c r="C716" t="s">
        <v>680</v>
      </c>
      <c r="D716" t="s">
        <v>835</v>
      </c>
      <c r="E716" t="s">
        <v>2278</v>
      </c>
      <c r="F716">
        <v>8</v>
      </c>
      <c r="G716" t="s">
        <v>2453</v>
      </c>
      <c r="H716" s="460">
        <v>11340.55001286983</v>
      </c>
      <c r="I716">
        <v>6800</v>
      </c>
      <c r="J716">
        <v>250.00000001668948</v>
      </c>
      <c r="K716" s="67">
        <v>64.048500000000004</v>
      </c>
      <c r="L716" s="159">
        <v>0</v>
      </c>
      <c r="M716" s="159">
        <v>0</v>
      </c>
      <c r="N716" s="159">
        <v>0</v>
      </c>
      <c r="O716" s="159">
        <v>0</v>
      </c>
      <c r="P716" s="159">
        <v>5043</v>
      </c>
      <c r="Q716" s="159">
        <v>1500</v>
      </c>
      <c r="R716" s="159">
        <v>2000</v>
      </c>
      <c r="S716" s="159">
        <v>62985</v>
      </c>
      <c r="T716" s="159">
        <v>0</v>
      </c>
      <c r="U716" s="159">
        <v>10248</v>
      </c>
      <c r="V716" s="159">
        <v>4500</v>
      </c>
      <c r="W716" s="159">
        <v>186</v>
      </c>
      <c r="X716" s="159">
        <v>0</v>
      </c>
      <c r="Y716" s="159">
        <v>1500</v>
      </c>
      <c r="Z716" s="159">
        <v>6030</v>
      </c>
      <c r="AA716" s="159">
        <v>25460</v>
      </c>
      <c r="AB716" s="159">
        <v>9187</v>
      </c>
      <c r="AC716" s="159">
        <v>1500</v>
      </c>
      <c r="AD716" s="207">
        <v>130139</v>
      </c>
      <c r="AE716" s="200">
        <v>14.264237275948012</v>
      </c>
      <c r="AF716" s="200">
        <v>15.410101958220258</v>
      </c>
      <c r="AG716" s="200">
        <v>12.597331638881512</v>
      </c>
      <c r="AH716" s="200">
        <v>0</v>
      </c>
      <c r="AI716" s="200">
        <v>0</v>
      </c>
      <c r="AJ716" s="200">
        <v>0</v>
      </c>
      <c r="AL716" s="197">
        <f t="shared" si="107"/>
        <v>149186.88799421821</v>
      </c>
      <c r="AM716" s="197" t="str">
        <f t="shared" si="108"/>
        <v>Regional DayCab 8</v>
      </c>
      <c r="AN716" s="3">
        <f t="shared" si="109"/>
        <v>17.67786504858649</v>
      </c>
      <c r="AO716" s="3">
        <f t="shared" si="110"/>
        <v>6.8235541058848224</v>
      </c>
      <c r="AP716" s="3">
        <f t="shared" si="111"/>
        <v>0</v>
      </c>
      <c r="AQ716" s="3">
        <f t="shared" si="103"/>
        <v>0</v>
      </c>
      <c r="AR716" s="3">
        <f t="shared" si="104"/>
        <v>6.8235541058848224</v>
      </c>
      <c r="AS716" s="81">
        <f t="shared" si="105"/>
        <v>1</v>
      </c>
      <c r="AT716" s="81">
        <f t="shared" si="106"/>
        <v>0</v>
      </c>
    </row>
    <row r="717" spans="1:46" x14ac:dyDescent="0.25">
      <c r="A717" t="s">
        <v>805</v>
      </c>
      <c r="B717">
        <v>2050</v>
      </c>
      <c r="C717" t="s">
        <v>680</v>
      </c>
      <c r="D717" t="s">
        <v>835</v>
      </c>
      <c r="E717" t="s">
        <v>2278</v>
      </c>
      <c r="F717">
        <v>8</v>
      </c>
      <c r="G717" t="s">
        <v>2454</v>
      </c>
      <c r="H717" s="460">
        <v>11683.783986908005</v>
      </c>
      <c r="I717">
        <v>6800</v>
      </c>
      <c r="J717">
        <v>0</v>
      </c>
      <c r="K717" s="67">
        <v>0</v>
      </c>
      <c r="L717" s="159">
        <v>300</v>
      </c>
      <c r="M717" s="159">
        <v>29075</v>
      </c>
      <c r="N717" s="159">
        <v>1920</v>
      </c>
      <c r="O717" s="159">
        <v>392</v>
      </c>
      <c r="P717" s="159">
        <v>8939</v>
      </c>
      <c r="Q717" s="159">
        <v>1500</v>
      </c>
      <c r="R717" s="159">
        <v>2000</v>
      </c>
      <c r="S717" s="159">
        <v>63275</v>
      </c>
      <c r="T717" s="159">
        <v>110</v>
      </c>
      <c r="U717" s="159">
        <v>120</v>
      </c>
      <c r="V717" s="159">
        <v>0</v>
      </c>
      <c r="W717" s="159">
        <v>186</v>
      </c>
      <c r="X717" s="159">
        <v>0</v>
      </c>
      <c r="Y717" s="159">
        <v>0</v>
      </c>
      <c r="Z717" s="159">
        <v>0</v>
      </c>
      <c r="AA717" s="159">
        <v>0</v>
      </c>
      <c r="AB717" s="159">
        <v>0</v>
      </c>
      <c r="AC717" s="159">
        <v>1500</v>
      </c>
      <c r="AD717" s="207">
        <v>109317</v>
      </c>
      <c r="AE717" s="200">
        <v>7.0715482351678762</v>
      </c>
      <c r="AF717" s="200">
        <v>13.951508050220193</v>
      </c>
      <c r="AG717" s="200">
        <v>12.351934551134752</v>
      </c>
      <c r="AH717" s="200">
        <v>0</v>
      </c>
      <c r="AI717" s="200">
        <v>0</v>
      </c>
      <c r="AJ717" s="200">
        <v>0</v>
      </c>
      <c r="AL717" s="197">
        <f t="shared" si="107"/>
        <v>125317.26104291527</v>
      </c>
      <c r="AM717" s="197" t="str">
        <f t="shared" si="108"/>
        <v>Regional DayCab 8</v>
      </c>
      <c r="AN717" s="3">
        <f t="shared" si="109"/>
        <v>21.373301865259307</v>
      </c>
      <c r="AO717" s="3">
        <f t="shared" si="110"/>
        <v>8.2499714359267209</v>
      </c>
      <c r="AP717" s="3">
        <f t="shared" si="111"/>
        <v>0</v>
      </c>
      <c r="AQ717" s="3">
        <f t="shared" si="103"/>
        <v>0</v>
      </c>
      <c r="AR717" s="3">
        <f t="shared" si="104"/>
        <v>8.2499714359267209</v>
      </c>
      <c r="AS717" s="81">
        <f t="shared" si="105"/>
        <v>1</v>
      </c>
      <c r="AT717" s="81">
        <f t="shared" si="106"/>
        <v>0</v>
      </c>
    </row>
    <row r="718" spans="1:46" x14ac:dyDescent="0.25">
      <c r="A718" t="s">
        <v>807</v>
      </c>
      <c r="B718">
        <v>2050</v>
      </c>
      <c r="C718" t="s">
        <v>680</v>
      </c>
      <c r="D718" t="s">
        <v>835</v>
      </c>
      <c r="E718" t="s">
        <v>2278</v>
      </c>
      <c r="F718">
        <v>8</v>
      </c>
      <c r="G718" t="s">
        <v>2455</v>
      </c>
      <c r="H718" s="460">
        <v>11837.641043796644</v>
      </c>
      <c r="I718">
        <v>6800</v>
      </c>
      <c r="J718">
        <v>0</v>
      </c>
      <c r="K718" s="67">
        <v>6.6211200000000012</v>
      </c>
      <c r="L718" s="159">
        <v>300</v>
      </c>
      <c r="M718" s="159">
        <v>30115</v>
      </c>
      <c r="N718" s="159">
        <v>220</v>
      </c>
      <c r="O718" s="159">
        <v>392</v>
      </c>
      <c r="P718" s="159">
        <v>9139</v>
      </c>
      <c r="Q718" s="159">
        <v>1500</v>
      </c>
      <c r="R718" s="159">
        <v>2000</v>
      </c>
      <c r="S718" s="159">
        <v>63275</v>
      </c>
      <c r="T718" s="159">
        <v>0</v>
      </c>
      <c r="U718" s="159">
        <v>2127</v>
      </c>
      <c r="V718" s="159">
        <v>4500</v>
      </c>
      <c r="W718" s="159">
        <v>186</v>
      </c>
      <c r="X718" s="159">
        <v>120</v>
      </c>
      <c r="Y718" s="159">
        <v>1500</v>
      </c>
      <c r="Z718" s="159">
        <v>2612</v>
      </c>
      <c r="AA718" s="159">
        <v>0</v>
      </c>
      <c r="AB718" s="159">
        <v>0</v>
      </c>
      <c r="AC718" s="159">
        <v>1500</v>
      </c>
      <c r="AD718" s="207">
        <v>119486</v>
      </c>
      <c r="AE718" s="200">
        <v>11.071437535079083</v>
      </c>
      <c r="AF718" s="200">
        <v>14.670172349247649</v>
      </c>
      <c r="AG718" s="200">
        <v>12.147343355369967</v>
      </c>
      <c r="AH718" s="200">
        <v>0</v>
      </c>
      <c r="AI718" s="200">
        <v>0</v>
      </c>
      <c r="AJ718" s="200">
        <v>0</v>
      </c>
      <c r="AL718" s="197">
        <f t="shared" si="107"/>
        <v>136974.65401514655</v>
      </c>
      <c r="AM718" s="197" t="str">
        <f t="shared" si="108"/>
        <v>Regional DayCab 8</v>
      </c>
      <c r="AN718" s="3">
        <f t="shared" si="109"/>
        <v>19.154939143038511</v>
      </c>
      <c r="AO718" s="3">
        <f t="shared" si="110"/>
        <v>7.3936962002040731</v>
      </c>
      <c r="AP718" s="3">
        <f t="shared" si="111"/>
        <v>0</v>
      </c>
      <c r="AQ718" s="3">
        <f t="shared" si="103"/>
        <v>0</v>
      </c>
      <c r="AR718" s="3">
        <f t="shared" si="104"/>
        <v>7.3936962002040731</v>
      </c>
      <c r="AS718" s="81">
        <f t="shared" si="105"/>
        <v>1</v>
      </c>
      <c r="AT718" s="81">
        <f t="shared" si="106"/>
        <v>0</v>
      </c>
    </row>
    <row r="719" spans="1:46" x14ac:dyDescent="0.25">
      <c r="A719" t="s">
        <v>808</v>
      </c>
      <c r="B719">
        <v>2050</v>
      </c>
      <c r="C719" t="s">
        <v>680</v>
      </c>
      <c r="D719" t="s">
        <v>835</v>
      </c>
      <c r="E719" t="s">
        <v>2278</v>
      </c>
      <c r="F719">
        <v>8</v>
      </c>
      <c r="G719" t="s">
        <v>2456</v>
      </c>
      <c r="H719" s="460">
        <v>12395.038284810806</v>
      </c>
      <c r="I719">
        <v>6800</v>
      </c>
      <c r="J719">
        <v>200.00000001335161</v>
      </c>
      <c r="K719" s="67">
        <v>296.41050000000001</v>
      </c>
      <c r="L719" s="159">
        <v>0</v>
      </c>
      <c r="M719" s="159">
        <v>14563</v>
      </c>
      <c r="N719" s="159">
        <v>220</v>
      </c>
      <c r="O719" s="159">
        <v>0</v>
      </c>
      <c r="P719" s="159">
        <v>4590</v>
      </c>
      <c r="Q719" s="159">
        <v>1500</v>
      </c>
      <c r="R719" s="159">
        <v>2000</v>
      </c>
      <c r="S719" s="159">
        <v>63275</v>
      </c>
      <c r="T719" s="159">
        <v>2596</v>
      </c>
      <c r="U719" s="159">
        <v>26677</v>
      </c>
      <c r="V719" s="159">
        <v>4500</v>
      </c>
      <c r="W719" s="159">
        <v>186</v>
      </c>
      <c r="X719" s="159">
        <v>0</v>
      </c>
      <c r="Y719" s="159">
        <v>1500</v>
      </c>
      <c r="Z719" s="159">
        <v>3962</v>
      </c>
      <c r="AA719" s="159">
        <v>0</v>
      </c>
      <c r="AB719" s="159">
        <v>0</v>
      </c>
      <c r="AC719" s="159">
        <v>1500</v>
      </c>
      <c r="AD719" s="207">
        <v>127069</v>
      </c>
      <c r="AE719" s="200">
        <v>11.912748939035174</v>
      </c>
      <c r="AF719" s="200">
        <v>11.321009891710291</v>
      </c>
      <c r="AG719" s="200">
        <v>9.7938509690777416</v>
      </c>
      <c r="AH719" s="200">
        <v>1341</v>
      </c>
      <c r="AI719" s="200">
        <v>1375</v>
      </c>
      <c r="AJ719" s="200">
        <v>1656</v>
      </c>
      <c r="AL719" s="197">
        <f t="shared" si="107"/>
        <v>145667.5452442182</v>
      </c>
      <c r="AM719" s="197" t="str">
        <f t="shared" si="108"/>
        <v>Regional DayCab 8</v>
      </c>
      <c r="AN719" s="3">
        <f t="shared" si="109"/>
        <v>4.530843102187843</v>
      </c>
      <c r="AO719" s="3">
        <f t="shared" si="110"/>
        <v>1.7488793453328144</v>
      </c>
      <c r="AP719" s="3">
        <f t="shared" si="111"/>
        <v>76.969689437906226</v>
      </c>
      <c r="AQ719" s="3">
        <f t="shared" si="103"/>
        <v>2.7709088197646241</v>
      </c>
      <c r="AR719" s="3">
        <f t="shared" si="104"/>
        <v>4.5197881650974381</v>
      </c>
      <c r="AS719" s="81">
        <f t="shared" si="105"/>
        <v>0.38693834344670264</v>
      </c>
      <c r="AT719" s="81">
        <f t="shared" si="106"/>
        <v>0.61306165655329747</v>
      </c>
    </row>
    <row r="720" spans="1:46" x14ac:dyDescent="0.25">
      <c r="A720" t="s">
        <v>230</v>
      </c>
      <c r="B720">
        <v>2050</v>
      </c>
      <c r="C720" t="s">
        <v>680</v>
      </c>
      <c r="D720" t="s">
        <v>835</v>
      </c>
      <c r="E720" t="s">
        <v>2278</v>
      </c>
      <c r="F720">
        <v>8</v>
      </c>
      <c r="G720" t="s">
        <v>2457</v>
      </c>
      <c r="H720" s="460">
        <v>11572.805973141691</v>
      </c>
      <c r="I720">
        <v>6800</v>
      </c>
      <c r="J720">
        <v>250.00000001668948</v>
      </c>
      <c r="K720" s="67">
        <v>368.65125</v>
      </c>
      <c r="L720" s="159">
        <v>0</v>
      </c>
      <c r="M720" s="159">
        <v>0</v>
      </c>
      <c r="N720" s="159">
        <v>0</v>
      </c>
      <c r="O720" s="159">
        <v>0</v>
      </c>
      <c r="P720" s="159">
        <v>4217</v>
      </c>
      <c r="Q720" s="159">
        <v>1500</v>
      </c>
      <c r="R720" s="159">
        <v>2000</v>
      </c>
      <c r="S720" s="159">
        <v>63275</v>
      </c>
      <c r="T720" s="159">
        <v>0</v>
      </c>
      <c r="U720" s="159">
        <v>33179</v>
      </c>
      <c r="V720" s="159">
        <v>4500</v>
      </c>
      <c r="W720" s="159">
        <v>186</v>
      </c>
      <c r="X720" s="159">
        <v>0</v>
      </c>
      <c r="Y720" s="159">
        <v>1500</v>
      </c>
      <c r="Z720" s="159">
        <v>3594</v>
      </c>
      <c r="AA720" s="159">
        <v>0</v>
      </c>
      <c r="AB720" s="159">
        <v>0</v>
      </c>
      <c r="AC720" s="159">
        <v>1500</v>
      </c>
      <c r="AD720" s="207">
        <v>115451</v>
      </c>
      <c r="AE720" s="200">
        <v>0</v>
      </c>
      <c r="AF720" s="200">
        <v>0</v>
      </c>
      <c r="AG720" s="200">
        <v>0</v>
      </c>
      <c r="AH720" s="200">
        <v>1195</v>
      </c>
      <c r="AI720" s="200">
        <v>1165</v>
      </c>
      <c r="AJ720" s="200">
        <v>1406</v>
      </c>
      <c r="AL720" s="197">
        <f t="shared" si="107"/>
        <v>132349.0683486156</v>
      </c>
      <c r="AM720" s="197" t="str">
        <f t="shared" si="108"/>
        <v>Regional DayCab 8</v>
      </c>
      <c r="AN720" s="3">
        <f t="shared" si="109"/>
        <v>0</v>
      </c>
      <c r="AO720" s="3">
        <f t="shared" si="110"/>
        <v>0</v>
      </c>
      <c r="AP720" s="3">
        <f t="shared" si="111"/>
        <v>82.328159369679497</v>
      </c>
      <c r="AQ720" s="3">
        <f t="shared" si="103"/>
        <v>2.9638137373084619</v>
      </c>
      <c r="AR720" s="3">
        <f t="shared" si="104"/>
        <v>2.9638137373084619</v>
      </c>
      <c r="AS720" s="81">
        <f t="shared" si="105"/>
        <v>0</v>
      </c>
      <c r="AT720" s="81">
        <f t="shared" si="106"/>
        <v>1</v>
      </c>
    </row>
    <row r="721" spans="1:46" x14ac:dyDescent="0.25">
      <c r="A721" t="s">
        <v>496</v>
      </c>
      <c r="B721">
        <v>2050</v>
      </c>
      <c r="C721" t="s">
        <v>680</v>
      </c>
      <c r="D721" t="s">
        <v>835</v>
      </c>
      <c r="E721" t="s">
        <v>2278</v>
      </c>
      <c r="F721">
        <v>8</v>
      </c>
      <c r="G721" t="s">
        <v>2458</v>
      </c>
      <c r="H721" s="460">
        <v>11149.138070487028</v>
      </c>
      <c r="I721">
        <v>6800</v>
      </c>
      <c r="J721">
        <v>250.00000001668948</v>
      </c>
      <c r="K721" s="67">
        <v>11.088000000000003</v>
      </c>
      <c r="L721" s="159">
        <v>0</v>
      </c>
      <c r="M721" s="159">
        <v>0</v>
      </c>
      <c r="N721" s="159">
        <v>0</v>
      </c>
      <c r="O721" s="159">
        <v>0</v>
      </c>
      <c r="P721" s="159">
        <v>4612</v>
      </c>
      <c r="Q721" s="159">
        <v>1500</v>
      </c>
      <c r="R721" s="159">
        <v>2000</v>
      </c>
      <c r="S721" s="159">
        <v>63275</v>
      </c>
      <c r="T721" s="159">
        <v>0</v>
      </c>
      <c r="U721" s="159">
        <v>3562</v>
      </c>
      <c r="V721" s="159">
        <v>4500</v>
      </c>
      <c r="W721" s="159">
        <v>186</v>
      </c>
      <c r="X721" s="159">
        <v>0</v>
      </c>
      <c r="Y721" s="159">
        <v>1500</v>
      </c>
      <c r="Z721" s="159">
        <v>3984</v>
      </c>
      <c r="AA721" s="159">
        <v>38747</v>
      </c>
      <c r="AB721" s="159">
        <v>7676</v>
      </c>
      <c r="AC721" s="159">
        <v>1500</v>
      </c>
      <c r="AD721" s="207">
        <v>133042</v>
      </c>
      <c r="AE721" s="200">
        <v>16.071438670039349</v>
      </c>
      <c r="AF721" s="200">
        <v>18.900386933087908</v>
      </c>
      <c r="AG721" s="200">
        <v>15.433653702738221</v>
      </c>
      <c r="AH721" s="200">
        <v>0</v>
      </c>
      <c r="AI721" s="200">
        <v>0</v>
      </c>
      <c r="AJ721" s="200">
        <v>0</v>
      </c>
      <c r="AL721" s="197">
        <f t="shared" si="107"/>
        <v>152514.78766954393</v>
      </c>
      <c r="AM721" s="197" t="str">
        <f t="shared" si="108"/>
        <v>Regional DayCab 8</v>
      </c>
      <c r="AN721" s="3">
        <f t="shared" si="109"/>
        <v>14.650270525185284</v>
      </c>
      <c r="AO721" s="3">
        <f t="shared" si="110"/>
        <v>5.6549200550914218</v>
      </c>
      <c r="AP721" s="3">
        <f t="shared" si="111"/>
        <v>0</v>
      </c>
      <c r="AQ721" s="3">
        <f t="shared" si="103"/>
        <v>0</v>
      </c>
      <c r="AR721" s="3">
        <f t="shared" si="104"/>
        <v>5.6549200550914218</v>
      </c>
      <c r="AS721" s="81">
        <f t="shared" si="105"/>
        <v>1</v>
      </c>
      <c r="AT721" s="81">
        <f t="shared" si="106"/>
        <v>0</v>
      </c>
    </row>
    <row r="722" spans="1:46" x14ac:dyDescent="0.25">
      <c r="A722" t="s">
        <v>828</v>
      </c>
      <c r="B722">
        <v>2050</v>
      </c>
      <c r="C722" t="s">
        <v>680</v>
      </c>
      <c r="D722" t="s">
        <v>835</v>
      </c>
      <c r="E722" t="s">
        <v>2278</v>
      </c>
      <c r="F722">
        <v>8</v>
      </c>
      <c r="G722" t="s">
        <v>2459</v>
      </c>
      <c r="H722" s="460">
        <v>11004.475628487082</v>
      </c>
      <c r="I722">
        <v>6800</v>
      </c>
      <c r="J722">
        <v>250.00000001668948</v>
      </c>
      <c r="K722" s="67">
        <v>66.282750000000007</v>
      </c>
      <c r="L722" s="159">
        <v>0</v>
      </c>
      <c r="M722" s="159">
        <v>0</v>
      </c>
      <c r="N722" s="159">
        <v>0</v>
      </c>
      <c r="O722" s="159">
        <v>0</v>
      </c>
      <c r="P722" s="159">
        <v>5013</v>
      </c>
      <c r="Q722" s="159">
        <v>1500</v>
      </c>
      <c r="R722" s="159">
        <v>2000</v>
      </c>
      <c r="S722" s="159">
        <v>63275</v>
      </c>
      <c r="T722" s="159">
        <v>0</v>
      </c>
      <c r="U722" s="159">
        <v>5965</v>
      </c>
      <c r="V722" s="159">
        <v>4500</v>
      </c>
      <c r="W722" s="159">
        <v>186</v>
      </c>
      <c r="X722" s="159">
        <v>0</v>
      </c>
      <c r="Y722" s="159">
        <v>1500</v>
      </c>
      <c r="Z722" s="159">
        <v>4380</v>
      </c>
      <c r="AA722" s="159">
        <v>17158</v>
      </c>
      <c r="AB722" s="159">
        <v>4891</v>
      </c>
      <c r="AC722" s="159">
        <v>1500</v>
      </c>
      <c r="AD722" s="207">
        <v>111868</v>
      </c>
      <c r="AE722" s="200">
        <v>16.636661080130438</v>
      </c>
      <c r="AF722" s="200">
        <v>17.998615500677239</v>
      </c>
      <c r="AG722" s="200">
        <v>14.69493085758069</v>
      </c>
      <c r="AH722" s="200">
        <v>0</v>
      </c>
      <c r="AI722" s="200">
        <v>0</v>
      </c>
      <c r="AJ722" s="200">
        <v>0</v>
      </c>
      <c r="AL722" s="197">
        <f t="shared" si="107"/>
        <v>128241.63998599345</v>
      </c>
      <c r="AM722" s="197" t="str">
        <f t="shared" si="108"/>
        <v>Regional DayCab 8</v>
      </c>
      <c r="AN722" s="3">
        <f t="shared" si="109"/>
        <v>15.152126442559155</v>
      </c>
      <c r="AO722" s="3">
        <f t="shared" si="110"/>
        <v>5.8486335491217929</v>
      </c>
      <c r="AP722" s="3">
        <f t="shared" si="111"/>
        <v>0</v>
      </c>
      <c r="AQ722" s="3">
        <f t="shared" si="103"/>
        <v>0</v>
      </c>
      <c r="AR722" s="3">
        <f t="shared" si="104"/>
        <v>5.8486335491217929</v>
      </c>
      <c r="AS722" s="81">
        <f t="shared" si="105"/>
        <v>1</v>
      </c>
      <c r="AT722" s="81">
        <f t="shared" si="106"/>
        <v>0</v>
      </c>
    </row>
    <row r="723" spans="1:46" x14ac:dyDescent="0.25">
      <c r="A723" t="s">
        <v>805</v>
      </c>
      <c r="B723">
        <v>2023</v>
      </c>
      <c r="C723" t="s">
        <v>680</v>
      </c>
      <c r="D723" t="s">
        <v>812</v>
      </c>
      <c r="E723" t="s">
        <v>2278</v>
      </c>
      <c r="F723">
        <v>8</v>
      </c>
      <c r="G723" t="s">
        <v>2460</v>
      </c>
      <c r="H723" s="460">
        <v>12345.352552480785</v>
      </c>
      <c r="I723">
        <v>17273</v>
      </c>
      <c r="J723">
        <v>0</v>
      </c>
      <c r="K723" s="67">
        <v>0</v>
      </c>
      <c r="L723" s="159">
        <v>300</v>
      </c>
      <c r="M723" s="159">
        <v>36788</v>
      </c>
      <c r="N723" s="159">
        <v>1920</v>
      </c>
      <c r="O723" s="159">
        <v>392</v>
      </c>
      <c r="P723" s="159">
        <v>11689</v>
      </c>
      <c r="Q723" s="159">
        <v>1500</v>
      </c>
      <c r="R723" s="159">
        <v>2000</v>
      </c>
      <c r="S723" s="159">
        <v>62000</v>
      </c>
      <c r="T723" s="159">
        <v>246</v>
      </c>
      <c r="U723" s="159">
        <v>120</v>
      </c>
      <c r="V723" s="159">
        <v>0</v>
      </c>
      <c r="W723" s="159">
        <v>186</v>
      </c>
      <c r="X723" s="159">
        <v>0</v>
      </c>
      <c r="Y723" s="159">
        <v>0</v>
      </c>
      <c r="Z723" s="159">
        <v>0</v>
      </c>
      <c r="AA723" s="159">
        <v>0</v>
      </c>
      <c r="AB723" s="159">
        <v>0</v>
      </c>
      <c r="AC723" s="159">
        <v>1500</v>
      </c>
      <c r="AD723" s="207">
        <v>118641</v>
      </c>
      <c r="AE723" s="200">
        <v>4.2674900284804309</v>
      </c>
      <c r="AF723" s="200">
        <v>7.1999546144333673</v>
      </c>
      <c r="AG723" s="200">
        <v>6.3583741735694721</v>
      </c>
      <c r="AH723" s="200">
        <v>0</v>
      </c>
      <c r="AI723" s="200">
        <v>0</v>
      </c>
      <c r="AJ723" s="200">
        <v>0</v>
      </c>
      <c r="AL723" s="197">
        <f t="shared" si="107"/>
        <v>136005.97498460909</v>
      </c>
      <c r="AM723" s="197" t="str">
        <f t="shared" si="108"/>
        <v>Drayage DayCab 8</v>
      </c>
      <c r="AN723" s="3">
        <f t="shared" si="109"/>
        <v>39.701625888117952</v>
      </c>
      <c r="AO723" s="3">
        <f t="shared" si="110"/>
        <v>15.324598960032896</v>
      </c>
      <c r="AP723" s="3">
        <f t="shared" si="111"/>
        <v>0</v>
      </c>
      <c r="AQ723" s="3">
        <f t="shared" si="103"/>
        <v>0</v>
      </c>
      <c r="AR723" s="3">
        <f t="shared" si="104"/>
        <v>15.324598960032896</v>
      </c>
      <c r="AS723" s="81">
        <f t="shared" si="105"/>
        <v>1</v>
      </c>
      <c r="AT723" s="81">
        <f t="shared" si="106"/>
        <v>0</v>
      </c>
    </row>
    <row r="724" spans="1:46" x14ac:dyDescent="0.25">
      <c r="A724" t="s">
        <v>807</v>
      </c>
      <c r="B724">
        <v>2023</v>
      </c>
      <c r="C724" t="s">
        <v>680</v>
      </c>
      <c r="D724" t="s">
        <v>812</v>
      </c>
      <c r="E724" t="s">
        <v>2278</v>
      </c>
      <c r="F724">
        <v>8</v>
      </c>
      <c r="G724" t="s">
        <v>2461</v>
      </c>
      <c r="H724" s="460">
        <v>12326.030895640419</v>
      </c>
      <c r="I724">
        <v>17273</v>
      </c>
      <c r="J724">
        <v>0</v>
      </c>
      <c r="K724" s="67">
        <v>6.7161600000000012</v>
      </c>
      <c r="L724" s="159">
        <v>300</v>
      </c>
      <c r="M724" s="159">
        <v>33599</v>
      </c>
      <c r="N724" s="159">
        <v>220</v>
      </c>
      <c r="O724" s="159">
        <v>392</v>
      </c>
      <c r="P724" s="159">
        <v>10584</v>
      </c>
      <c r="Q724" s="159">
        <v>1500</v>
      </c>
      <c r="R724" s="159">
        <v>2000</v>
      </c>
      <c r="S724" s="159">
        <v>62000</v>
      </c>
      <c r="T724" s="159">
        <v>0</v>
      </c>
      <c r="U724" s="159">
        <v>4701</v>
      </c>
      <c r="V724" s="159">
        <v>4500</v>
      </c>
      <c r="W724" s="159">
        <v>186</v>
      </c>
      <c r="X724" s="159">
        <v>120</v>
      </c>
      <c r="Y724" s="159">
        <v>1500</v>
      </c>
      <c r="Z724" s="159">
        <v>6743</v>
      </c>
      <c r="AA724" s="159">
        <v>0</v>
      </c>
      <c r="AB724" s="159">
        <v>0</v>
      </c>
      <c r="AC724" s="159">
        <v>1500</v>
      </c>
      <c r="AD724" s="207">
        <v>129845</v>
      </c>
      <c r="AE724" s="200">
        <v>5.5654259285412033</v>
      </c>
      <c r="AF724" s="200">
        <v>7.3098443455121735</v>
      </c>
      <c r="AG724" s="200">
        <v>6.0963588846682306</v>
      </c>
      <c r="AH724" s="200">
        <v>0</v>
      </c>
      <c r="AI724" s="200">
        <v>0</v>
      </c>
      <c r="AJ724" s="200">
        <v>0</v>
      </c>
      <c r="AL724" s="197">
        <f t="shared" si="107"/>
        <v>148849.85647353416</v>
      </c>
      <c r="AM724" s="197" t="str">
        <f t="shared" si="108"/>
        <v>Drayage DayCab 8</v>
      </c>
      <c r="AN724" s="3">
        <f t="shared" si="109"/>
        <v>38.193372787211814</v>
      </c>
      <c r="AO724" s="3">
        <f t="shared" si="110"/>
        <v>14.742421948775277</v>
      </c>
      <c r="AP724" s="3">
        <f t="shared" si="111"/>
        <v>0</v>
      </c>
      <c r="AQ724" s="3">
        <f t="shared" si="103"/>
        <v>0</v>
      </c>
      <c r="AR724" s="3">
        <f t="shared" si="104"/>
        <v>14.742421948775277</v>
      </c>
      <c r="AS724" s="81">
        <f t="shared" si="105"/>
        <v>1</v>
      </c>
      <c r="AT724" s="81">
        <f t="shared" si="106"/>
        <v>0</v>
      </c>
    </row>
    <row r="725" spans="1:46" x14ac:dyDescent="0.25">
      <c r="A725" t="s">
        <v>808</v>
      </c>
      <c r="B725">
        <v>2023</v>
      </c>
      <c r="C725" t="s">
        <v>680</v>
      </c>
      <c r="D725" t="s">
        <v>812</v>
      </c>
      <c r="E725" t="s">
        <v>2278</v>
      </c>
      <c r="F725">
        <v>8</v>
      </c>
      <c r="G725" t="s">
        <v>2462</v>
      </c>
      <c r="H725" s="460">
        <v>15167.61974993737</v>
      </c>
      <c r="I725">
        <v>17273</v>
      </c>
      <c r="J725">
        <v>160.0000000231087</v>
      </c>
      <c r="K725" s="67">
        <v>411.47437500000001</v>
      </c>
      <c r="L725" s="159">
        <v>0</v>
      </c>
      <c r="M725" s="159">
        <v>16990</v>
      </c>
      <c r="N725" s="159">
        <v>220</v>
      </c>
      <c r="O725" s="159">
        <v>0</v>
      </c>
      <c r="P725" s="159">
        <v>5595</v>
      </c>
      <c r="Q725" s="159">
        <v>1500</v>
      </c>
      <c r="R725" s="159">
        <v>2000</v>
      </c>
      <c r="S725" s="159">
        <v>62000</v>
      </c>
      <c r="T725" s="159">
        <v>7524</v>
      </c>
      <c r="U725" s="159">
        <v>144016</v>
      </c>
      <c r="V725" s="159">
        <v>4500</v>
      </c>
      <c r="W725" s="159">
        <v>186</v>
      </c>
      <c r="X725" s="159">
        <v>0</v>
      </c>
      <c r="Y725" s="159">
        <v>1500</v>
      </c>
      <c r="Z725" s="159">
        <v>12300</v>
      </c>
      <c r="AA725" s="159">
        <v>0</v>
      </c>
      <c r="AB725" s="159">
        <v>0</v>
      </c>
      <c r="AC725" s="159">
        <v>1500</v>
      </c>
      <c r="AD725" s="207">
        <v>259831</v>
      </c>
      <c r="AE725" s="200">
        <v>5.8200706651738381</v>
      </c>
      <c r="AF725" s="200">
        <v>5.8389314744316305</v>
      </c>
      <c r="AG725" s="200">
        <v>5.7228122890825137</v>
      </c>
      <c r="AH725" s="200">
        <v>2493</v>
      </c>
      <c r="AI725" s="200">
        <v>2637</v>
      </c>
      <c r="AJ725" s="200">
        <v>3142</v>
      </c>
      <c r="AL725" s="197">
        <f t="shared" si="107"/>
        <v>297861.35051311064</v>
      </c>
      <c r="AM725" s="197" t="str">
        <f t="shared" si="108"/>
        <v>Drayage DayCab 8</v>
      </c>
      <c r="AN725" s="3">
        <f t="shared" si="109"/>
        <v>8.1663723792838834</v>
      </c>
      <c r="AO725" s="3">
        <f t="shared" si="110"/>
        <v>3.1521727100921937</v>
      </c>
      <c r="AP725" s="3">
        <f t="shared" si="111"/>
        <v>145.7909453564815</v>
      </c>
      <c r="AQ725" s="3">
        <f t="shared" si="103"/>
        <v>5.2484740328333341</v>
      </c>
      <c r="AR725" s="3">
        <f t="shared" si="104"/>
        <v>8.4006467429255274</v>
      </c>
      <c r="AS725" s="81">
        <f t="shared" si="105"/>
        <v>0.37522976582091688</v>
      </c>
      <c r="AT725" s="81">
        <f t="shared" si="106"/>
        <v>0.62477023417908317</v>
      </c>
    </row>
    <row r="726" spans="1:46" x14ac:dyDescent="0.25">
      <c r="A726" t="s">
        <v>230</v>
      </c>
      <c r="B726">
        <v>2023</v>
      </c>
      <c r="C726" t="s">
        <v>680</v>
      </c>
      <c r="D726" t="s">
        <v>812</v>
      </c>
      <c r="E726" t="s">
        <v>2278</v>
      </c>
      <c r="F726">
        <v>8</v>
      </c>
      <c r="G726" t="s">
        <v>2463</v>
      </c>
      <c r="H726" s="460">
        <v>14365.564332210131</v>
      </c>
      <c r="I726">
        <v>17273</v>
      </c>
      <c r="J726">
        <v>200.00000001335161</v>
      </c>
      <c r="K726" s="67">
        <v>489.05250000000001</v>
      </c>
      <c r="L726" s="159">
        <v>0</v>
      </c>
      <c r="M726" s="159">
        <v>0</v>
      </c>
      <c r="N726" s="159">
        <v>0</v>
      </c>
      <c r="O726" s="159">
        <v>0</v>
      </c>
      <c r="P726" s="159">
        <v>4825</v>
      </c>
      <c r="Q726" s="159">
        <v>1500</v>
      </c>
      <c r="R726" s="159">
        <v>2000</v>
      </c>
      <c r="S726" s="159">
        <v>62000</v>
      </c>
      <c r="T726" s="159">
        <v>0</v>
      </c>
      <c r="U726" s="159">
        <v>171168</v>
      </c>
      <c r="V726" s="159">
        <v>4500</v>
      </c>
      <c r="W726" s="159">
        <v>186</v>
      </c>
      <c r="X726" s="159">
        <v>0</v>
      </c>
      <c r="Y726" s="159">
        <v>1500</v>
      </c>
      <c r="Z726" s="159">
        <v>10434</v>
      </c>
      <c r="AA726" s="159">
        <v>0</v>
      </c>
      <c r="AB726" s="159">
        <v>0</v>
      </c>
      <c r="AC726" s="159">
        <v>1500</v>
      </c>
      <c r="AD726" s="207">
        <v>259613</v>
      </c>
      <c r="AE726" s="200">
        <v>0</v>
      </c>
      <c r="AF726" s="200">
        <v>0</v>
      </c>
      <c r="AG726" s="200">
        <v>0</v>
      </c>
      <c r="AH726" s="200">
        <v>2378</v>
      </c>
      <c r="AI726" s="200">
        <v>2345</v>
      </c>
      <c r="AJ726" s="200">
        <v>2794</v>
      </c>
      <c r="AL726" s="197">
        <f t="shared" si="107"/>
        <v>297611.44278688915</v>
      </c>
      <c r="AM726" s="197" t="str">
        <f t="shared" si="108"/>
        <v>Drayage DayCab 8</v>
      </c>
      <c r="AN726" s="3">
        <f t="shared" si="109"/>
        <v>0</v>
      </c>
      <c r="AO726" s="3">
        <f t="shared" si="110"/>
        <v>0</v>
      </c>
      <c r="AP726" s="3">
        <f t="shared" si="111"/>
        <v>163.95727441062792</v>
      </c>
      <c r="AQ726" s="3">
        <f t="shared" si="103"/>
        <v>5.9024618787826055</v>
      </c>
      <c r="AR726" s="3">
        <f t="shared" si="104"/>
        <v>5.9024618787826055</v>
      </c>
      <c r="AS726" s="81">
        <f t="shared" si="105"/>
        <v>0</v>
      </c>
      <c r="AT726" s="81">
        <f t="shared" si="106"/>
        <v>1</v>
      </c>
    </row>
    <row r="727" spans="1:46" x14ac:dyDescent="0.25">
      <c r="A727" t="s">
        <v>496</v>
      </c>
      <c r="B727">
        <v>2023</v>
      </c>
      <c r="C727" t="s">
        <v>680</v>
      </c>
      <c r="D727" t="s">
        <v>812</v>
      </c>
      <c r="E727" t="s">
        <v>2278</v>
      </c>
      <c r="F727">
        <v>8</v>
      </c>
      <c r="G727" t="s">
        <v>2464</v>
      </c>
      <c r="H727" s="460">
        <v>12439.083329851936</v>
      </c>
      <c r="I727">
        <v>17273</v>
      </c>
      <c r="J727">
        <v>200.00000001335161</v>
      </c>
      <c r="K727" s="67">
        <v>14.271840000000003</v>
      </c>
      <c r="L727" s="159">
        <v>0</v>
      </c>
      <c r="M727" s="159">
        <v>0</v>
      </c>
      <c r="N727" s="159">
        <v>0</v>
      </c>
      <c r="O727" s="159">
        <v>0</v>
      </c>
      <c r="P727" s="159">
        <v>5462</v>
      </c>
      <c r="Q727" s="159">
        <v>1500</v>
      </c>
      <c r="R727" s="159">
        <v>2000</v>
      </c>
      <c r="S727" s="159">
        <v>62000</v>
      </c>
      <c r="T727" s="159">
        <v>0</v>
      </c>
      <c r="U727" s="159">
        <v>9990</v>
      </c>
      <c r="V727" s="159">
        <v>4500</v>
      </c>
      <c r="W727" s="159">
        <v>186</v>
      </c>
      <c r="X727" s="159">
        <v>0</v>
      </c>
      <c r="Y727" s="159">
        <v>1500</v>
      </c>
      <c r="Z727" s="159">
        <v>11978</v>
      </c>
      <c r="AA727" s="159">
        <v>102404</v>
      </c>
      <c r="AB727" s="159">
        <v>29698</v>
      </c>
      <c r="AC727" s="159">
        <v>1500</v>
      </c>
      <c r="AD727" s="207">
        <v>232718</v>
      </c>
      <c r="AE727" s="200">
        <v>7.5741289581189815</v>
      </c>
      <c r="AF727" s="200">
        <v>8.2681140623519749</v>
      </c>
      <c r="AG727" s="200">
        <v>6.7625859155428403</v>
      </c>
      <c r="AH727" s="200">
        <v>0</v>
      </c>
      <c r="AI727" s="200">
        <v>0</v>
      </c>
      <c r="AJ727" s="200">
        <v>0</v>
      </c>
      <c r="AL727" s="197">
        <f t="shared" si="107"/>
        <v>266779.93683859927</v>
      </c>
      <c r="AM727" s="197" t="str">
        <f t="shared" si="108"/>
        <v>Drayage DayCab 8</v>
      </c>
      <c r="AN727" s="3">
        <f t="shared" si="109"/>
        <v>32.9970737297092</v>
      </c>
      <c r="AO727" s="3">
        <f t="shared" si="110"/>
        <v>12.736680436902919</v>
      </c>
      <c r="AP727" s="3">
        <f t="shared" si="111"/>
        <v>0</v>
      </c>
      <c r="AQ727" s="3">
        <f t="shared" si="103"/>
        <v>0</v>
      </c>
      <c r="AR727" s="3">
        <f t="shared" si="104"/>
        <v>12.736680436902919</v>
      </c>
      <c r="AS727" s="81">
        <f t="shared" si="105"/>
        <v>1</v>
      </c>
      <c r="AT727" s="81">
        <f t="shared" si="106"/>
        <v>0</v>
      </c>
    </row>
    <row r="728" spans="1:46" x14ac:dyDescent="0.25">
      <c r="A728" t="s">
        <v>828</v>
      </c>
      <c r="B728">
        <v>2023</v>
      </c>
      <c r="C728" t="s">
        <v>680</v>
      </c>
      <c r="D728" t="s">
        <v>812</v>
      </c>
      <c r="E728" t="s">
        <v>2278</v>
      </c>
      <c r="F728">
        <v>8</v>
      </c>
      <c r="G728" t="s">
        <v>2465</v>
      </c>
      <c r="H728" s="460">
        <v>12503.115414393698</v>
      </c>
      <c r="I728">
        <v>17273</v>
      </c>
      <c r="J728">
        <v>200.00000001335161</v>
      </c>
      <c r="K728" s="67">
        <v>72.613124999999997</v>
      </c>
      <c r="L728" s="159">
        <v>0</v>
      </c>
      <c r="M728" s="159">
        <v>0</v>
      </c>
      <c r="N728" s="159">
        <v>0</v>
      </c>
      <c r="O728" s="159">
        <v>0</v>
      </c>
      <c r="P728" s="159">
        <v>5942</v>
      </c>
      <c r="Q728" s="159">
        <v>1500</v>
      </c>
      <c r="R728" s="159">
        <v>2000</v>
      </c>
      <c r="S728" s="159">
        <v>62000</v>
      </c>
      <c r="T728" s="159">
        <v>0</v>
      </c>
      <c r="U728" s="159">
        <v>25415</v>
      </c>
      <c r="V728" s="159">
        <v>4500</v>
      </c>
      <c r="W728" s="159">
        <v>186</v>
      </c>
      <c r="X728" s="159">
        <v>0</v>
      </c>
      <c r="Y728" s="159">
        <v>1500</v>
      </c>
      <c r="Z728" s="159">
        <v>13141</v>
      </c>
      <c r="AA728" s="159">
        <v>56551</v>
      </c>
      <c r="AB728" s="159">
        <v>22592</v>
      </c>
      <c r="AC728" s="159">
        <v>1500</v>
      </c>
      <c r="AD728" s="207">
        <v>196827</v>
      </c>
      <c r="AE728" s="200">
        <v>7.7566286677102809</v>
      </c>
      <c r="AF728" s="200">
        <v>7.9632394530292903</v>
      </c>
      <c r="AG728" s="200">
        <v>6.8019128356867808</v>
      </c>
      <c r="AH728" s="200">
        <v>0</v>
      </c>
      <c r="AI728" s="200">
        <v>0</v>
      </c>
      <c r="AJ728" s="200">
        <v>278.58917596097433</v>
      </c>
      <c r="AL728" s="197">
        <f t="shared" si="107"/>
        <v>225635.72490366444</v>
      </c>
      <c r="AM728" s="197" t="str">
        <f t="shared" si="108"/>
        <v>Drayage DayCab 8</v>
      </c>
      <c r="AN728" s="3">
        <f t="shared" si="109"/>
        <v>32.914699105722107</v>
      </c>
      <c r="AO728" s="3">
        <f t="shared" si="110"/>
        <v>12.704884306420929</v>
      </c>
      <c r="AP728" s="3">
        <f t="shared" si="111"/>
        <v>11.07889399474465</v>
      </c>
      <c r="AQ728" s="3">
        <f t="shared" si="103"/>
        <v>0.39884018381080744</v>
      </c>
      <c r="AR728" s="3">
        <f t="shared" si="104"/>
        <v>13.103724490231738</v>
      </c>
      <c r="AS728" s="81">
        <f t="shared" si="105"/>
        <v>0.96956283809934141</v>
      </c>
      <c r="AT728" s="81">
        <f t="shared" si="106"/>
        <v>3.0437161900658521E-2</v>
      </c>
    </row>
    <row r="729" spans="1:46" x14ac:dyDescent="0.25">
      <c r="A729" t="s">
        <v>805</v>
      </c>
      <c r="B729">
        <v>2025</v>
      </c>
      <c r="C729" t="s">
        <v>680</v>
      </c>
      <c r="D729" t="s">
        <v>812</v>
      </c>
      <c r="E729" t="s">
        <v>2278</v>
      </c>
      <c r="F729">
        <v>8</v>
      </c>
      <c r="G729" t="s">
        <v>2466</v>
      </c>
      <c r="H729" s="460">
        <v>12239.029695791891</v>
      </c>
      <c r="I729">
        <v>17273</v>
      </c>
      <c r="J729">
        <v>0</v>
      </c>
      <c r="K729" s="67">
        <v>0</v>
      </c>
      <c r="L729" s="159">
        <v>300</v>
      </c>
      <c r="M729" s="159">
        <v>37245</v>
      </c>
      <c r="N729" s="159">
        <v>1920</v>
      </c>
      <c r="O729" s="159">
        <v>392</v>
      </c>
      <c r="P729" s="159">
        <v>11608</v>
      </c>
      <c r="Q729" s="159">
        <v>1500</v>
      </c>
      <c r="R729" s="159">
        <v>2000</v>
      </c>
      <c r="S729" s="159">
        <v>62465</v>
      </c>
      <c r="T729" s="159">
        <v>230</v>
      </c>
      <c r="U729" s="159">
        <v>120</v>
      </c>
      <c r="V729" s="159">
        <v>0</v>
      </c>
      <c r="W729" s="159">
        <v>186</v>
      </c>
      <c r="X729" s="159">
        <v>0</v>
      </c>
      <c r="Y729" s="159">
        <v>0</v>
      </c>
      <c r="Z729" s="159">
        <v>0</v>
      </c>
      <c r="AA729" s="159">
        <v>0</v>
      </c>
      <c r="AB729" s="159">
        <v>0</v>
      </c>
      <c r="AC729" s="159">
        <v>1500</v>
      </c>
      <c r="AD729" s="207">
        <v>119466</v>
      </c>
      <c r="AE729" s="200">
        <v>4.4965227962963619</v>
      </c>
      <c r="AF729" s="200">
        <v>7.9090907472463705</v>
      </c>
      <c r="AG729" s="200">
        <v>7.0326950697083896</v>
      </c>
      <c r="AH729" s="200">
        <v>0</v>
      </c>
      <c r="AI729" s="200">
        <v>0</v>
      </c>
      <c r="AJ729" s="200">
        <v>0</v>
      </c>
      <c r="AL729" s="197">
        <f t="shared" si="107"/>
        <v>136951.7267008143</v>
      </c>
      <c r="AM729" s="197" t="str">
        <f t="shared" si="108"/>
        <v>Drayage DayCab 8</v>
      </c>
      <c r="AN729" s="3">
        <f t="shared" si="109"/>
        <v>36.400161956212244</v>
      </c>
      <c r="AO729" s="3">
        <f t="shared" si="110"/>
        <v>14.050252894709406</v>
      </c>
      <c r="AP729" s="3">
        <f t="shared" si="111"/>
        <v>0</v>
      </c>
      <c r="AQ729" s="3">
        <f t="shared" si="103"/>
        <v>0</v>
      </c>
      <c r="AR729" s="3">
        <f t="shared" si="104"/>
        <v>14.050252894709406</v>
      </c>
      <c r="AS729" s="81">
        <f t="shared" si="105"/>
        <v>1</v>
      </c>
      <c r="AT729" s="81">
        <f t="shared" si="106"/>
        <v>0</v>
      </c>
    </row>
    <row r="730" spans="1:46" x14ac:dyDescent="0.25">
      <c r="A730" t="s">
        <v>807</v>
      </c>
      <c r="B730">
        <v>2025</v>
      </c>
      <c r="C730" t="s">
        <v>680</v>
      </c>
      <c r="D730" t="s">
        <v>812</v>
      </c>
      <c r="E730" t="s">
        <v>2278</v>
      </c>
      <c r="F730">
        <v>8</v>
      </c>
      <c r="G730" t="s">
        <v>2467</v>
      </c>
      <c r="H730" s="460">
        <v>12214.273141918642</v>
      </c>
      <c r="I730">
        <v>17273</v>
      </c>
      <c r="J730">
        <v>0</v>
      </c>
      <c r="K730" s="67">
        <v>6.4944000000000006</v>
      </c>
      <c r="L730" s="159">
        <v>300</v>
      </c>
      <c r="M730" s="159">
        <v>33876</v>
      </c>
      <c r="N730" s="159">
        <v>220</v>
      </c>
      <c r="O730" s="159">
        <v>392</v>
      </c>
      <c r="P730" s="159">
        <v>10490</v>
      </c>
      <c r="Q730" s="159">
        <v>1500</v>
      </c>
      <c r="R730" s="159">
        <v>2000</v>
      </c>
      <c r="S730" s="159">
        <v>62465</v>
      </c>
      <c r="T730" s="159">
        <v>0</v>
      </c>
      <c r="U730" s="159">
        <v>3068</v>
      </c>
      <c r="V730" s="159">
        <v>4500</v>
      </c>
      <c r="W730" s="159">
        <v>186</v>
      </c>
      <c r="X730" s="159">
        <v>120</v>
      </c>
      <c r="Y730" s="159">
        <v>1500</v>
      </c>
      <c r="Z730" s="159">
        <v>5680</v>
      </c>
      <c r="AA730" s="159">
        <v>0</v>
      </c>
      <c r="AB730" s="159">
        <v>0</v>
      </c>
      <c r="AC730" s="159">
        <v>1500</v>
      </c>
      <c r="AD730" s="207">
        <v>127797</v>
      </c>
      <c r="AE730" s="200">
        <v>6.0177445569031951</v>
      </c>
      <c r="AF730" s="200">
        <v>8.1456076633350136</v>
      </c>
      <c r="AG730" s="200">
        <v>6.8502632896418776</v>
      </c>
      <c r="AH730" s="200">
        <v>0</v>
      </c>
      <c r="AI730" s="200">
        <v>0</v>
      </c>
      <c r="AJ730" s="200">
        <v>0</v>
      </c>
      <c r="AL730" s="197">
        <f t="shared" si="107"/>
        <v>146502.09948591201</v>
      </c>
      <c r="AM730" s="197" t="str">
        <f t="shared" si="108"/>
        <v>Drayage DayCab 8</v>
      </c>
      <c r="AN730" s="3">
        <f t="shared" si="109"/>
        <v>34.31094712625444</v>
      </c>
      <c r="AO730" s="3">
        <f t="shared" si="110"/>
        <v>13.243828001666458</v>
      </c>
      <c r="AP730" s="3">
        <f t="shared" si="111"/>
        <v>0</v>
      </c>
      <c r="AQ730" s="3">
        <f t="shared" si="103"/>
        <v>0</v>
      </c>
      <c r="AR730" s="3">
        <f t="shared" si="104"/>
        <v>13.243828001666458</v>
      </c>
      <c r="AS730" s="81">
        <f t="shared" si="105"/>
        <v>1</v>
      </c>
      <c r="AT730" s="81">
        <f t="shared" si="106"/>
        <v>0</v>
      </c>
    </row>
    <row r="731" spans="1:46" x14ac:dyDescent="0.25">
      <c r="A731" t="s">
        <v>808</v>
      </c>
      <c r="B731">
        <v>2025</v>
      </c>
      <c r="C731" t="s">
        <v>680</v>
      </c>
      <c r="D731" t="s">
        <v>812</v>
      </c>
      <c r="E731" t="s">
        <v>2278</v>
      </c>
      <c r="F731">
        <v>8</v>
      </c>
      <c r="G731" t="s">
        <v>2468</v>
      </c>
      <c r="H731" s="460">
        <v>14390.160774634471</v>
      </c>
      <c r="I731">
        <v>17273</v>
      </c>
      <c r="J731">
        <v>160.0000000231087</v>
      </c>
      <c r="K731" s="67">
        <v>381.31200000000001</v>
      </c>
      <c r="L731" s="159">
        <v>0</v>
      </c>
      <c r="M731" s="159">
        <v>16666</v>
      </c>
      <c r="N731" s="159">
        <v>220</v>
      </c>
      <c r="O731" s="159">
        <v>0</v>
      </c>
      <c r="P731" s="159">
        <v>5352</v>
      </c>
      <c r="Q731" s="159">
        <v>1500</v>
      </c>
      <c r="R731" s="159">
        <v>2000</v>
      </c>
      <c r="S731" s="159">
        <v>62465</v>
      </c>
      <c r="T731" s="159">
        <v>6601</v>
      </c>
      <c r="U731" s="159">
        <v>106767</v>
      </c>
      <c r="V731" s="159">
        <v>4500</v>
      </c>
      <c r="W731" s="159">
        <v>186</v>
      </c>
      <c r="X731" s="159">
        <v>0</v>
      </c>
      <c r="Y731" s="159">
        <v>1500</v>
      </c>
      <c r="Z731" s="159">
        <v>9904</v>
      </c>
      <c r="AA731" s="159">
        <v>0</v>
      </c>
      <c r="AB731" s="159">
        <v>0</v>
      </c>
      <c r="AC731" s="159">
        <v>1500</v>
      </c>
      <c r="AD731" s="207">
        <v>219161</v>
      </c>
      <c r="AE731" s="200">
        <v>6.5499864826531313</v>
      </c>
      <c r="AF731" s="200">
        <v>6.5439467890647682</v>
      </c>
      <c r="AG731" s="200">
        <v>6.4081572236949684</v>
      </c>
      <c r="AH731" s="200">
        <v>2297</v>
      </c>
      <c r="AI731" s="200">
        <v>2400</v>
      </c>
      <c r="AJ731" s="200">
        <v>2858</v>
      </c>
      <c r="AL731" s="197">
        <f t="shared" si="107"/>
        <v>251238.65681848527</v>
      </c>
      <c r="AM731" s="197" t="str">
        <f t="shared" si="108"/>
        <v>Drayage DayCab 8</v>
      </c>
      <c r="AN731" s="3">
        <f t="shared" si="109"/>
        <v>7.2850170679694113</v>
      </c>
      <c r="AO731" s="3">
        <f t="shared" si="110"/>
        <v>2.8119746354528505</v>
      </c>
      <c r="AP731" s="3">
        <f t="shared" si="111"/>
        <v>132.90168640560725</v>
      </c>
      <c r="AQ731" s="3">
        <f t="shared" si="103"/>
        <v>4.7844607106018611</v>
      </c>
      <c r="AR731" s="3">
        <f t="shared" si="104"/>
        <v>7.5964353460547116</v>
      </c>
      <c r="AS731" s="81">
        <f t="shared" si="105"/>
        <v>0.37017028479196878</v>
      </c>
      <c r="AT731" s="81">
        <f t="shared" si="106"/>
        <v>0.62982971520803122</v>
      </c>
    </row>
    <row r="732" spans="1:46" x14ac:dyDescent="0.25">
      <c r="A732" t="s">
        <v>230</v>
      </c>
      <c r="B732">
        <v>2025</v>
      </c>
      <c r="C732" t="s">
        <v>680</v>
      </c>
      <c r="D732" t="s">
        <v>812</v>
      </c>
      <c r="E732" t="s">
        <v>2278</v>
      </c>
      <c r="F732">
        <v>8</v>
      </c>
      <c r="G732" t="s">
        <v>2469</v>
      </c>
      <c r="H732" s="460">
        <v>13755.17889872185</v>
      </c>
      <c r="I732">
        <v>17273</v>
      </c>
      <c r="J732">
        <v>200.00000001335161</v>
      </c>
      <c r="K732" s="67">
        <v>474.15750000000003</v>
      </c>
      <c r="L732" s="159">
        <v>0</v>
      </c>
      <c r="M732" s="159">
        <v>0</v>
      </c>
      <c r="N732" s="159">
        <v>0</v>
      </c>
      <c r="O732" s="159">
        <v>0</v>
      </c>
      <c r="P732" s="159">
        <v>4825</v>
      </c>
      <c r="Q732" s="159">
        <v>1500</v>
      </c>
      <c r="R732" s="159">
        <v>2000</v>
      </c>
      <c r="S732" s="159">
        <v>62465</v>
      </c>
      <c r="T732" s="159">
        <v>0</v>
      </c>
      <c r="U732" s="159">
        <v>132764</v>
      </c>
      <c r="V732" s="159">
        <v>4500</v>
      </c>
      <c r="W732" s="159">
        <v>186</v>
      </c>
      <c r="X732" s="159">
        <v>0</v>
      </c>
      <c r="Y732" s="159">
        <v>1500</v>
      </c>
      <c r="Z732" s="159">
        <v>8816</v>
      </c>
      <c r="AA732" s="159">
        <v>0</v>
      </c>
      <c r="AB732" s="159">
        <v>0</v>
      </c>
      <c r="AC732" s="159">
        <v>1500</v>
      </c>
      <c r="AD732" s="207">
        <v>220056</v>
      </c>
      <c r="AE732" s="200">
        <v>0</v>
      </c>
      <c r="AF732" s="200">
        <v>0</v>
      </c>
      <c r="AG732" s="200">
        <v>0</v>
      </c>
      <c r="AH732" s="200">
        <v>2183</v>
      </c>
      <c r="AI732" s="200">
        <v>2131</v>
      </c>
      <c r="AJ732" s="200">
        <v>2535</v>
      </c>
      <c r="AL732" s="197">
        <f t="shared" si="107"/>
        <v>252264.65413485334</v>
      </c>
      <c r="AM732" s="197" t="str">
        <f t="shared" si="108"/>
        <v>Drayage DayCab 8</v>
      </c>
      <c r="AN732" s="3">
        <f t="shared" si="109"/>
        <v>0</v>
      </c>
      <c r="AO732" s="3">
        <f t="shared" si="110"/>
        <v>0</v>
      </c>
      <c r="AP732" s="3">
        <f t="shared" si="111"/>
        <v>149.09465992270123</v>
      </c>
      <c r="AQ732" s="3">
        <f t="shared" si="103"/>
        <v>5.3674077572172436</v>
      </c>
      <c r="AR732" s="3">
        <f t="shared" si="104"/>
        <v>5.3674077572172436</v>
      </c>
      <c r="AS732" s="81">
        <f t="shared" si="105"/>
        <v>0</v>
      </c>
      <c r="AT732" s="81">
        <f t="shared" si="106"/>
        <v>1</v>
      </c>
    </row>
    <row r="733" spans="1:46" x14ac:dyDescent="0.25">
      <c r="A733" t="s">
        <v>496</v>
      </c>
      <c r="B733">
        <v>2025</v>
      </c>
      <c r="C733" t="s">
        <v>680</v>
      </c>
      <c r="D733" t="s">
        <v>812</v>
      </c>
      <c r="E733" t="s">
        <v>2278</v>
      </c>
      <c r="F733">
        <v>8</v>
      </c>
      <c r="G733" t="s">
        <v>2470</v>
      </c>
      <c r="H733" s="460">
        <v>11997.616037075506</v>
      </c>
      <c r="I733">
        <v>17273</v>
      </c>
      <c r="J733">
        <v>200.00000001335161</v>
      </c>
      <c r="K733" s="67">
        <v>14.287680000000002</v>
      </c>
      <c r="L733" s="159">
        <v>0</v>
      </c>
      <c r="M733" s="159">
        <v>0</v>
      </c>
      <c r="N733" s="159">
        <v>0</v>
      </c>
      <c r="O733" s="159">
        <v>0</v>
      </c>
      <c r="P733" s="159">
        <v>5428</v>
      </c>
      <c r="Q733" s="159">
        <v>1500</v>
      </c>
      <c r="R733" s="159">
        <v>2000</v>
      </c>
      <c r="S733" s="159">
        <v>62465</v>
      </c>
      <c r="T733" s="159">
        <v>0</v>
      </c>
      <c r="U733" s="159">
        <v>6750</v>
      </c>
      <c r="V733" s="159">
        <v>4500</v>
      </c>
      <c r="W733" s="159">
        <v>186</v>
      </c>
      <c r="X733" s="159">
        <v>0</v>
      </c>
      <c r="Y733" s="159">
        <v>1500</v>
      </c>
      <c r="Z733" s="159">
        <v>10061</v>
      </c>
      <c r="AA733" s="159">
        <v>86537</v>
      </c>
      <c r="AB733" s="159">
        <v>21059</v>
      </c>
      <c r="AC733" s="159">
        <v>1500</v>
      </c>
      <c r="AD733" s="207">
        <v>203486</v>
      </c>
      <c r="AE733" s="200">
        <v>8.3861801035418235</v>
      </c>
      <c r="AF733" s="200">
        <v>9.4033522610914897</v>
      </c>
      <c r="AG733" s="200">
        <v>7.7218553820341693</v>
      </c>
      <c r="AH733" s="200">
        <v>0</v>
      </c>
      <c r="AI733" s="200">
        <v>0</v>
      </c>
      <c r="AJ733" s="200">
        <v>0</v>
      </c>
      <c r="AL733" s="197">
        <f t="shared" si="107"/>
        <v>233269.37421058625</v>
      </c>
      <c r="AM733" s="197" t="str">
        <f t="shared" si="108"/>
        <v>Drayage DayCab 8</v>
      </c>
      <c r="AN733" s="3">
        <f t="shared" si="109"/>
        <v>29.076497209906371</v>
      </c>
      <c r="AO733" s="3">
        <f t="shared" si="110"/>
        <v>11.223360477982014</v>
      </c>
      <c r="AP733" s="3">
        <f t="shared" si="111"/>
        <v>0</v>
      </c>
      <c r="AQ733" s="3">
        <f t="shared" si="103"/>
        <v>0</v>
      </c>
      <c r="AR733" s="3">
        <f t="shared" si="104"/>
        <v>11.223360477982014</v>
      </c>
      <c r="AS733" s="81">
        <f t="shared" si="105"/>
        <v>1</v>
      </c>
      <c r="AT733" s="81">
        <f t="shared" si="106"/>
        <v>0</v>
      </c>
    </row>
    <row r="734" spans="1:46" x14ac:dyDescent="0.25">
      <c r="A734" t="s">
        <v>828</v>
      </c>
      <c r="B734">
        <v>2025</v>
      </c>
      <c r="C734" t="s">
        <v>680</v>
      </c>
      <c r="D734" t="s">
        <v>812</v>
      </c>
      <c r="E734" t="s">
        <v>2278</v>
      </c>
      <c r="F734">
        <v>8</v>
      </c>
      <c r="G734" t="s">
        <v>2471</v>
      </c>
      <c r="H734" s="460">
        <v>12025.497386952669</v>
      </c>
      <c r="I734">
        <v>17273</v>
      </c>
      <c r="J734">
        <v>200.00000001335161</v>
      </c>
      <c r="K734" s="67">
        <v>77.950500000000005</v>
      </c>
      <c r="L734" s="159">
        <v>0</v>
      </c>
      <c r="M734" s="159">
        <v>0</v>
      </c>
      <c r="N734" s="159">
        <v>0</v>
      </c>
      <c r="O734" s="159">
        <v>0</v>
      </c>
      <c r="P734" s="159">
        <v>5865</v>
      </c>
      <c r="Q734" s="159">
        <v>1500</v>
      </c>
      <c r="R734" s="159">
        <v>2000</v>
      </c>
      <c r="S734" s="159">
        <v>62465</v>
      </c>
      <c r="T734" s="159">
        <v>0</v>
      </c>
      <c r="U734" s="159">
        <v>21826</v>
      </c>
      <c r="V734" s="159">
        <v>4500</v>
      </c>
      <c r="W734" s="159">
        <v>186</v>
      </c>
      <c r="X734" s="159">
        <v>0</v>
      </c>
      <c r="Y734" s="159">
        <v>1500</v>
      </c>
      <c r="Z734" s="159">
        <v>10963</v>
      </c>
      <c r="AA734" s="159">
        <v>42150</v>
      </c>
      <c r="AB734" s="159">
        <v>15227</v>
      </c>
      <c r="AC734" s="159">
        <v>1500</v>
      </c>
      <c r="AD734" s="207">
        <v>169682</v>
      </c>
      <c r="AE734" s="200">
        <v>8.6527394679386216</v>
      </c>
      <c r="AF734" s="200">
        <v>9.0060624480414777</v>
      </c>
      <c r="AG734" s="200">
        <v>7.8366548406227761</v>
      </c>
      <c r="AH734" s="200">
        <v>0</v>
      </c>
      <c r="AI734" s="200">
        <v>0</v>
      </c>
      <c r="AJ734" s="200">
        <v>350.05047935863041</v>
      </c>
      <c r="AL734" s="197">
        <f t="shared" si="107"/>
        <v>194517.62752622145</v>
      </c>
      <c r="AM734" s="197" t="str">
        <f t="shared" si="108"/>
        <v>Drayage DayCab 8</v>
      </c>
      <c r="AN734" s="3">
        <f t="shared" si="109"/>
        <v>28.81433107477136</v>
      </c>
      <c r="AO734" s="3">
        <f t="shared" si="110"/>
        <v>11.122165859576015</v>
      </c>
      <c r="AP734" s="3">
        <f t="shared" si="111"/>
        <v>13.920756756777525</v>
      </c>
      <c r="AQ734" s="3">
        <f t="shared" si="103"/>
        <v>0.50114724324399096</v>
      </c>
      <c r="AR734" s="3">
        <f t="shared" si="104"/>
        <v>11.623313102820006</v>
      </c>
      <c r="AS734" s="81">
        <f t="shared" si="105"/>
        <v>0.95688430322655549</v>
      </c>
      <c r="AT734" s="81">
        <f t="shared" si="106"/>
        <v>4.3115696773444435E-2</v>
      </c>
    </row>
    <row r="735" spans="1:46" x14ac:dyDescent="0.25">
      <c r="A735" t="s">
        <v>805</v>
      </c>
      <c r="B735">
        <v>2030</v>
      </c>
      <c r="C735" t="s">
        <v>680</v>
      </c>
      <c r="D735" t="s">
        <v>812</v>
      </c>
      <c r="E735" t="s">
        <v>2278</v>
      </c>
      <c r="F735">
        <v>8</v>
      </c>
      <c r="G735" t="s">
        <v>2472</v>
      </c>
      <c r="H735" s="460">
        <v>12095.707973803655</v>
      </c>
      <c r="I735">
        <v>17273</v>
      </c>
      <c r="J735">
        <v>0</v>
      </c>
      <c r="K735" s="67">
        <v>0</v>
      </c>
      <c r="L735" s="159">
        <v>300</v>
      </c>
      <c r="M735" s="159">
        <v>36815</v>
      </c>
      <c r="N735" s="159">
        <v>1920</v>
      </c>
      <c r="O735" s="159">
        <v>392</v>
      </c>
      <c r="P735" s="159">
        <v>11352</v>
      </c>
      <c r="Q735" s="159">
        <v>1500</v>
      </c>
      <c r="R735" s="159">
        <v>2000</v>
      </c>
      <c r="S735" s="159">
        <v>62985</v>
      </c>
      <c r="T735" s="159">
        <v>183</v>
      </c>
      <c r="U735" s="159">
        <v>120</v>
      </c>
      <c r="V735" s="159">
        <v>0</v>
      </c>
      <c r="W735" s="159">
        <v>186</v>
      </c>
      <c r="X735" s="159">
        <v>0</v>
      </c>
      <c r="Y735" s="159">
        <v>0</v>
      </c>
      <c r="Z735" s="159">
        <v>0</v>
      </c>
      <c r="AA735" s="159">
        <v>0</v>
      </c>
      <c r="AB735" s="159">
        <v>0</v>
      </c>
      <c r="AC735" s="159">
        <v>1500</v>
      </c>
      <c r="AD735" s="207">
        <v>119253</v>
      </c>
      <c r="AE735" s="200">
        <v>4.6962022680888023</v>
      </c>
      <c r="AF735" s="200">
        <v>8.6207852541332421</v>
      </c>
      <c r="AG735" s="200">
        <v>7.7217470756717281</v>
      </c>
      <c r="AH735" s="200">
        <v>0</v>
      </c>
      <c r="AI735" s="200">
        <v>0</v>
      </c>
      <c r="AJ735" s="200">
        <v>0</v>
      </c>
      <c r="AL735" s="197">
        <f t="shared" si="107"/>
        <v>136707.55080317587</v>
      </c>
      <c r="AM735" s="197" t="str">
        <f t="shared" si="108"/>
        <v>Drayage DayCab 8</v>
      </c>
      <c r="AN735" s="3">
        <f t="shared" si="109"/>
        <v>33.650063651503416</v>
      </c>
      <c r="AO735" s="3">
        <f t="shared" si="110"/>
        <v>12.988730786292626</v>
      </c>
      <c r="AP735" s="3">
        <f t="shared" si="111"/>
        <v>0</v>
      </c>
      <c r="AQ735" s="3">
        <f t="shared" si="103"/>
        <v>0</v>
      </c>
      <c r="AR735" s="3">
        <f t="shared" si="104"/>
        <v>12.988730786292626</v>
      </c>
      <c r="AS735" s="81">
        <f t="shared" si="105"/>
        <v>1</v>
      </c>
      <c r="AT735" s="81">
        <f t="shared" si="106"/>
        <v>0</v>
      </c>
    </row>
    <row r="736" spans="1:46" x14ac:dyDescent="0.25">
      <c r="A736" t="s">
        <v>807</v>
      </c>
      <c r="B736">
        <v>2030</v>
      </c>
      <c r="C736" t="s">
        <v>680</v>
      </c>
      <c r="D736" t="s">
        <v>812</v>
      </c>
      <c r="E736" t="s">
        <v>2278</v>
      </c>
      <c r="F736">
        <v>8</v>
      </c>
      <c r="G736" t="s">
        <v>2473</v>
      </c>
      <c r="H736" s="460">
        <v>12088.324842131118</v>
      </c>
      <c r="I736">
        <v>17273</v>
      </c>
      <c r="J736">
        <v>0</v>
      </c>
      <c r="K736" s="67">
        <v>6.8904000000000005</v>
      </c>
      <c r="L736" s="159">
        <v>300</v>
      </c>
      <c r="M736" s="159">
        <v>33977</v>
      </c>
      <c r="N736" s="159">
        <v>220</v>
      </c>
      <c r="O736" s="159">
        <v>392</v>
      </c>
      <c r="P736" s="159">
        <v>10412</v>
      </c>
      <c r="Q736" s="159">
        <v>1500</v>
      </c>
      <c r="R736" s="159">
        <v>2000</v>
      </c>
      <c r="S736" s="159">
        <v>62985</v>
      </c>
      <c r="T736" s="159">
        <v>0</v>
      </c>
      <c r="U736" s="159">
        <v>2474</v>
      </c>
      <c r="V736" s="159">
        <v>4500</v>
      </c>
      <c r="W736" s="159">
        <v>186</v>
      </c>
      <c r="X736" s="159">
        <v>120</v>
      </c>
      <c r="Y736" s="159">
        <v>1500</v>
      </c>
      <c r="Z736" s="159">
        <v>4441</v>
      </c>
      <c r="AA736" s="159">
        <v>0</v>
      </c>
      <c r="AB736" s="159">
        <v>0</v>
      </c>
      <c r="AC736" s="159">
        <v>1500</v>
      </c>
      <c r="AD736" s="207">
        <v>126507</v>
      </c>
      <c r="AE736" s="200">
        <v>6.396260317792632</v>
      </c>
      <c r="AF736" s="200">
        <v>8.9660768416134076</v>
      </c>
      <c r="AG736" s="200">
        <v>7.546606220803131</v>
      </c>
      <c r="AH736" s="200">
        <v>0</v>
      </c>
      <c r="AI736" s="200">
        <v>0</v>
      </c>
      <c r="AJ736" s="200">
        <v>0</v>
      </c>
      <c r="AL736" s="197">
        <f t="shared" si="107"/>
        <v>145023.28771148203</v>
      </c>
      <c r="AM736" s="197" t="str">
        <f t="shared" si="108"/>
        <v>Drayage DayCab 8</v>
      </c>
      <c r="AN736" s="3">
        <f t="shared" si="109"/>
        <v>31.394525440957022</v>
      </c>
      <c r="AO736" s="3">
        <f t="shared" si="110"/>
        <v>12.118106026161616</v>
      </c>
      <c r="AP736" s="3">
        <f t="shared" si="111"/>
        <v>0</v>
      </c>
      <c r="AQ736" s="3">
        <f t="shared" si="103"/>
        <v>0</v>
      </c>
      <c r="AR736" s="3">
        <f t="shared" si="104"/>
        <v>12.118106026161616</v>
      </c>
      <c r="AS736" s="81">
        <f t="shared" si="105"/>
        <v>1</v>
      </c>
      <c r="AT736" s="81">
        <f t="shared" si="106"/>
        <v>0</v>
      </c>
    </row>
    <row r="737" spans="1:46" x14ac:dyDescent="0.25">
      <c r="A737" t="s">
        <v>808</v>
      </c>
      <c r="B737">
        <v>2030</v>
      </c>
      <c r="C737" t="s">
        <v>680</v>
      </c>
      <c r="D737" t="s">
        <v>812</v>
      </c>
      <c r="E737" t="s">
        <v>2278</v>
      </c>
      <c r="F737">
        <v>8</v>
      </c>
      <c r="G737" t="s">
        <v>2474</v>
      </c>
      <c r="H737" s="460">
        <v>13667.916586362731</v>
      </c>
      <c r="I737">
        <v>17273</v>
      </c>
      <c r="J737">
        <v>160.0000000231087</v>
      </c>
      <c r="K737" s="67">
        <v>353.75625000000002</v>
      </c>
      <c r="L737" s="159">
        <v>0</v>
      </c>
      <c r="M737" s="159">
        <v>16570</v>
      </c>
      <c r="N737" s="159">
        <v>220</v>
      </c>
      <c r="O737" s="159">
        <v>0</v>
      </c>
      <c r="P737" s="159">
        <v>5155</v>
      </c>
      <c r="Q737" s="159">
        <v>1500</v>
      </c>
      <c r="R737" s="159">
        <v>2000</v>
      </c>
      <c r="S737" s="159">
        <v>62985</v>
      </c>
      <c r="T737" s="159">
        <v>5086</v>
      </c>
      <c r="U737" s="159">
        <v>70751</v>
      </c>
      <c r="V737" s="159">
        <v>4500</v>
      </c>
      <c r="W737" s="159">
        <v>186</v>
      </c>
      <c r="X737" s="159">
        <v>0</v>
      </c>
      <c r="Y737" s="159">
        <v>1500</v>
      </c>
      <c r="Z737" s="159">
        <v>7524</v>
      </c>
      <c r="AA737" s="159">
        <v>0</v>
      </c>
      <c r="AB737" s="159">
        <v>0</v>
      </c>
      <c r="AC737" s="159">
        <v>1500</v>
      </c>
      <c r="AD737" s="207">
        <v>179477</v>
      </c>
      <c r="AE737" s="200">
        <v>7.1166342696224261</v>
      </c>
      <c r="AF737" s="200">
        <v>7.0913167796945853</v>
      </c>
      <c r="AG737" s="200">
        <v>6.945957665210293</v>
      </c>
      <c r="AH737" s="200">
        <v>2163</v>
      </c>
      <c r="AI737" s="200">
        <v>2199</v>
      </c>
      <c r="AJ737" s="200">
        <v>2615</v>
      </c>
      <c r="AL737" s="197">
        <f t="shared" si="107"/>
        <v>205746.27972043969</v>
      </c>
      <c r="AM737" s="197" t="str">
        <f t="shared" si="108"/>
        <v>Drayage DayCab 8</v>
      </c>
      <c r="AN737" s="3">
        <f t="shared" si="109"/>
        <v>6.7182573661450409</v>
      </c>
      <c r="AO737" s="3">
        <f t="shared" si="110"/>
        <v>2.5932086543909594</v>
      </c>
      <c r="AP737" s="3">
        <f t="shared" si="111"/>
        <v>122.20661886239077</v>
      </c>
      <c r="AQ737" s="3">
        <f t="shared" si="103"/>
        <v>4.399438279046068</v>
      </c>
      <c r="AR737" s="3">
        <f t="shared" si="104"/>
        <v>6.9926469334370278</v>
      </c>
      <c r="AS737" s="81">
        <f t="shared" si="105"/>
        <v>0.37084793198851596</v>
      </c>
      <c r="AT737" s="81">
        <f t="shared" si="106"/>
        <v>0.62915206801148404</v>
      </c>
    </row>
    <row r="738" spans="1:46" x14ac:dyDescent="0.25">
      <c r="A738" t="s">
        <v>230</v>
      </c>
      <c r="B738">
        <v>2030</v>
      </c>
      <c r="C738" t="s">
        <v>680</v>
      </c>
      <c r="D738" t="s">
        <v>812</v>
      </c>
      <c r="E738" t="s">
        <v>2278</v>
      </c>
      <c r="F738">
        <v>8</v>
      </c>
      <c r="G738" t="s">
        <v>2475</v>
      </c>
      <c r="H738" s="460">
        <v>12859.360759812</v>
      </c>
      <c r="I738">
        <v>17273</v>
      </c>
      <c r="J738">
        <v>200.00000001335161</v>
      </c>
      <c r="K738" s="67">
        <v>419.91487499999999</v>
      </c>
      <c r="L738" s="159">
        <v>0</v>
      </c>
      <c r="M738" s="159">
        <v>0</v>
      </c>
      <c r="N738" s="159">
        <v>0</v>
      </c>
      <c r="O738" s="159">
        <v>0</v>
      </c>
      <c r="P738" s="159">
        <v>4825</v>
      </c>
      <c r="Q738" s="159">
        <v>1500</v>
      </c>
      <c r="R738" s="159">
        <v>2000</v>
      </c>
      <c r="S738" s="159">
        <v>62985</v>
      </c>
      <c r="T738" s="159">
        <v>0</v>
      </c>
      <c r="U738" s="159">
        <v>83983</v>
      </c>
      <c r="V738" s="159">
        <v>4500</v>
      </c>
      <c r="W738" s="159">
        <v>186</v>
      </c>
      <c r="X738" s="159">
        <v>0</v>
      </c>
      <c r="Y738" s="159">
        <v>1500</v>
      </c>
      <c r="Z738" s="159">
        <v>6982</v>
      </c>
      <c r="AA738" s="159">
        <v>0</v>
      </c>
      <c r="AB738" s="159">
        <v>0</v>
      </c>
      <c r="AC738" s="159">
        <v>1500</v>
      </c>
      <c r="AD738" s="207">
        <v>169961</v>
      </c>
      <c r="AE738" s="200">
        <v>0</v>
      </c>
      <c r="AF738" s="200">
        <v>0</v>
      </c>
      <c r="AG738" s="200">
        <v>0</v>
      </c>
      <c r="AH738" s="200">
        <v>2025</v>
      </c>
      <c r="AI738" s="200">
        <v>1938</v>
      </c>
      <c r="AJ738" s="200">
        <v>2303</v>
      </c>
      <c r="AL738" s="197">
        <f t="shared" si="107"/>
        <v>194837.4635611563</v>
      </c>
      <c r="AM738" s="197" t="str">
        <f t="shared" si="108"/>
        <v>Drayage DayCab 8</v>
      </c>
      <c r="AN738" s="3">
        <f t="shared" si="109"/>
        <v>0</v>
      </c>
      <c r="AO738" s="3">
        <f t="shared" si="110"/>
        <v>0</v>
      </c>
      <c r="AP738" s="3">
        <f t="shared" si="111"/>
        <v>135.96443262455415</v>
      </c>
      <c r="AQ738" s="3">
        <f t="shared" si="103"/>
        <v>4.8947195744839496</v>
      </c>
      <c r="AR738" s="3">
        <f t="shared" si="104"/>
        <v>4.8947195744839496</v>
      </c>
      <c r="AS738" s="81">
        <f t="shared" si="105"/>
        <v>0</v>
      </c>
      <c r="AT738" s="81">
        <f t="shared" si="106"/>
        <v>1</v>
      </c>
    </row>
    <row r="739" spans="1:46" x14ac:dyDescent="0.25">
      <c r="A739" t="s">
        <v>496</v>
      </c>
      <c r="B739">
        <v>2030</v>
      </c>
      <c r="C739" t="s">
        <v>680</v>
      </c>
      <c r="D739" t="s">
        <v>812</v>
      </c>
      <c r="E739" t="s">
        <v>2278</v>
      </c>
      <c r="F739">
        <v>8</v>
      </c>
      <c r="G739" t="s">
        <v>2476</v>
      </c>
      <c r="H739" s="460">
        <v>11631.233145411461</v>
      </c>
      <c r="I739">
        <v>17273</v>
      </c>
      <c r="J739">
        <v>200.00000001335161</v>
      </c>
      <c r="K739" s="67">
        <v>13.305600000000002</v>
      </c>
      <c r="L739" s="159">
        <v>0</v>
      </c>
      <c r="M739" s="159">
        <v>0</v>
      </c>
      <c r="N739" s="159">
        <v>0</v>
      </c>
      <c r="O739" s="159">
        <v>0</v>
      </c>
      <c r="P739" s="159">
        <v>5381</v>
      </c>
      <c r="Q739" s="159">
        <v>1500</v>
      </c>
      <c r="R739" s="159">
        <v>2000</v>
      </c>
      <c r="S739" s="159">
        <v>62985</v>
      </c>
      <c r="T739" s="159">
        <v>0</v>
      </c>
      <c r="U739" s="159">
        <v>4778</v>
      </c>
      <c r="V739" s="159">
        <v>4500</v>
      </c>
      <c r="W739" s="159">
        <v>186</v>
      </c>
      <c r="X739" s="159">
        <v>0</v>
      </c>
      <c r="Y739" s="159">
        <v>1500</v>
      </c>
      <c r="Z739" s="159">
        <v>7896</v>
      </c>
      <c r="AA739" s="159">
        <v>70700</v>
      </c>
      <c r="AB739" s="159">
        <v>16419</v>
      </c>
      <c r="AC739" s="159">
        <v>1500</v>
      </c>
      <c r="AD739" s="207">
        <v>179345</v>
      </c>
      <c r="AE739" s="200">
        <v>9.0462121656908288</v>
      </c>
      <c r="AF739" s="200">
        <v>10.586129477292296</v>
      </c>
      <c r="AG739" s="200">
        <v>8.7367538173270667</v>
      </c>
      <c r="AH739" s="200">
        <v>0</v>
      </c>
      <c r="AI739" s="200">
        <v>0</v>
      </c>
      <c r="AJ739" s="200">
        <v>0</v>
      </c>
      <c r="AL739" s="197">
        <f t="shared" si="107"/>
        <v>205594.95944584685</v>
      </c>
      <c r="AM739" s="197" t="str">
        <f t="shared" si="108"/>
        <v>Drayage DayCab 8</v>
      </c>
      <c r="AN739" s="3">
        <f t="shared" si="109"/>
        <v>25.947936433347984</v>
      </c>
      <c r="AO739" s="3">
        <f t="shared" si="110"/>
        <v>10.015754034912003</v>
      </c>
      <c r="AP739" s="3">
        <f t="shared" si="111"/>
        <v>0</v>
      </c>
      <c r="AQ739" s="3">
        <f t="shared" si="103"/>
        <v>0</v>
      </c>
      <c r="AR739" s="3">
        <f t="shared" si="104"/>
        <v>10.015754034912003</v>
      </c>
      <c r="AS739" s="81">
        <f t="shared" si="105"/>
        <v>1</v>
      </c>
      <c r="AT739" s="81">
        <f t="shared" si="106"/>
        <v>0</v>
      </c>
    </row>
    <row r="740" spans="1:46" x14ac:dyDescent="0.25">
      <c r="A740" t="s">
        <v>828</v>
      </c>
      <c r="B740">
        <v>2030</v>
      </c>
      <c r="C740" t="s">
        <v>680</v>
      </c>
      <c r="D740" t="s">
        <v>812</v>
      </c>
      <c r="E740" t="s">
        <v>2278</v>
      </c>
      <c r="F740">
        <v>8</v>
      </c>
      <c r="G740" t="s">
        <v>2477</v>
      </c>
      <c r="H740" s="460">
        <v>11628.174487945998</v>
      </c>
      <c r="I740">
        <v>17273</v>
      </c>
      <c r="J740">
        <v>200.00000001335161</v>
      </c>
      <c r="K740" s="67">
        <v>79.936499999999995</v>
      </c>
      <c r="L740" s="159">
        <v>0</v>
      </c>
      <c r="M740" s="159">
        <v>0</v>
      </c>
      <c r="N740" s="159">
        <v>0</v>
      </c>
      <c r="O740" s="159">
        <v>0</v>
      </c>
      <c r="P740" s="159">
        <v>5773</v>
      </c>
      <c r="Q740" s="159">
        <v>1500</v>
      </c>
      <c r="R740" s="159">
        <v>2000</v>
      </c>
      <c r="S740" s="159">
        <v>62985</v>
      </c>
      <c r="T740" s="159">
        <v>0</v>
      </c>
      <c r="U740" s="159">
        <v>15987</v>
      </c>
      <c r="V740" s="159">
        <v>4500</v>
      </c>
      <c r="W740" s="159">
        <v>186</v>
      </c>
      <c r="X740" s="159">
        <v>0</v>
      </c>
      <c r="Y740" s="159">
        <v>1500</v>
      </c>
      <c r="Z740" s="159">
        <v>8539</v>
      </c>
      <c r="AA740" s="159">
        <v>31966</v>
      </c>
      <c r="AB740" s="159">
        <v>11437</v>
      </c>
      <c r="AC740" s="159">
        <v>1500</v>
      </c>
      <c r="AD740" s="207">
        <v>147873</v>
      </c>
      <c r="AE740" s="200">
        <v>9.4510366142254068</v>
      </c>
      <c r="AF740" s="200">
        <v>10.123978650259113</v>
      </c>
      <c r="AG740" s="200">
        <v>8.8079244464243232</v>
      </c>
      <c r="AH740" s="200">
        <v>0</v>
      </c>
      <c r="AI740" s="200">
        <v>0</v>
      </c>
      <c r="AJ740" s="200">
        <v>310.24750202823014</v>
      </c>
      <c r="AL740" s="197">
        <f t="shared" si="107"/>
        <v>169516.53761262211</v>
      </c>
      <c r="AM740" s="197" t="str">
        <f t="shared" si="108"/>
        <v>Drayage DayCab 8</v>
      </c>
      <c r="AN740" s="3">
        <f t="shared" si="109"/>
        <v>25.769526919410723</v>
      </c>
      <c r="AO740" s="3">
        <f t="shared" si="110"/>
        <v>9.9468889899526918</v>
      </c>
      <c r="AP740" s="3">
        <f t="shared" si="111"/>
        <v>12.33787771993906</v>
      </c>
      <c r="AQ740" s="3">
        <f t="shared" si="103"/>
        <v>0.44416359791780613</v>
      </c>
      <c r="AR740" s="3">
        <f t="shared" si="104"/>
        <v>10.391052587870497</v>
      </c>
      <c r="AS740" s="81">
        <f t="shared" si="105"/>
        <v>0.9572551871755246</v>
      </c>
      <c r="AT740" s="81">
        <f t="shared" si="106"/>
        <v>4.2744812824475495E-2</v>
      </c>
    </row>
    <row r="741" spans="1:46" x14ac:dyDescent="0.25">
      <c r="A741" t="s">
        <v>805</v>
      </c>
      <c r="B741">
        <v>2035</v>
      </c>
      <c r="C741" t="s">
        <v>680</v>
      </c>
      <c r="D741" t="s">
        <v>812</v>
      </c>
      <c r="E741" t="s">
        <v>2278</v>
      </c>
      <c r="F741">
        <v>8</v>
      </c>
      <c r="G741" t="s">
        <v>2478</v>
      </c>
      <c r="H741" s="460">
        <v>12052.75858929495</v>
      </c>
      <c r="I741">
        <v>17273</v>
      </c>
      <c r="J741">
        <v>0</v>
      </c>
      <c r="K741" s="67">
        <v>0</v>
      </c>
      <c r="L741" s="159">
        <v>300</v>
      </c>
      <c r="M741" s="159">
        <v>36103</v>
      </c>
      <c r="N741" s="159">
        <v>1920</v>
      </c>
      <c r="O741" s="159">
        <v>392</v>
      </c>
      <c r="P741" s="159">
        <v>11073</v>
      </c>
      <c r="Q741" s="159">
        <v>1500</v>
      </c>
      <c r="R741" s="159">
        <v>2000</v>
      </c>
      <c r="S741" s="159">
        <v>62985</v>
      </c>
      <c r="T741" s="159">
        <v>156</v>
      </c>
      <c r="U741" s="159">
        <v>120</v>
      </c>
      <c r="V741" s="159">
        <v>0</v>
      </c>
      <c r="W741" s="159">
        <v>186</v>
      </c>
      <c r="X741" s="159">
        <v>0</v>
      </c>
      <c r="Y741" s="159">
        <v>0</v>
      </c>
      <c r="Z741" s="159">
        <v>0</v>
      </c>
      <c r="AA741" s="159">
        <v>0</v>
      </c>
      <c r="AB741" s="159">
        <v>0</v>
      </c>
      <c r="AC741" s="159">
        <v>1500</v>
      </c>
      <c r="AD741" s="207">
        <v>118235</v>
      </c>
      <c r="AE741" s="200">
        <v>4.8783946533646363</v>
      </c>
      <c r="AF741" s="200">
        <v>9.3149161723571527</v>
      </c>
      <c r="AG741" s="200">
        <v>8.4149485691989128</v>
      </c>
      <c r="AH741" s="200">
        <v>0</v>
      </c>
      <c r="AI741" s="200">
        <v>0</v>
      </c>
      <c r="AJ741" s="200">
        <v>0</v>
      </c>
      <c r="AL741" s="197">
        <f t="shared" si="107"/>
        <v>135540.55050366445</v>
      </c>
      <c r="AM741" s="197" t="str">
        <f t="shared" si="108"/>
        <v>Drayage DayCab 8</v>
      </c>
      <c r="AN741" s="3">
        <f t="shared" si="109"/>
        <v>31.343041732193626</v>
      </c>
      <c r="AO741" s="3">
        <f t="shared" si="110"/>
        <v>12.098233611062108</v>
      </c>
      <c r="AP741" s="3">
        <f t="shared" si="111"/>
        <v>0</v>
      </c>
      <c r="AQ741" s="3">
        <f t="shared" si="103"/>
        <v>0</v>
      </c>
      <c r="AR741" s="3">
        <f t="shared" si="104"/>
        <v>12.098233611062108</v>
      </c>
      <c r="AS741" s="81">
        <f t="shared" si="105"/>
        <v>1</v>
      </c>
      <c r="AT741" s="81">
        <f t="shared" si="106"/>
        <v>0</v>
      </c>
    </row>
    <row r="742" spans="1:46" x14ac:dyDescent="0.25">
      <c r="A742" t="s">
        <v>807</v>
      </c>
      <c r="B742">
        <v>2035</v>
      </c>
      <c r="C742" t="s">
        <v>680</v>
      </c>
      <c r="D742" t="s">
        <v>812</v>
      </c>
      <c r="E742" t="s">
        <v>2278</v>
      </c>
      <c r="F742">
        <v>8</v>
      </c>
      <c r="G742" t="s">
        <v>2479</v>
      </c>
      <c r="H742" s="460">
        <v>12072.603685765604</v>
      </c>
      <c r="I742">
        <v>17273</v>
      </c>
      <c r="J742">
        <v>0</v>
      </c>
      <c r="K742" s="67">
        <v>7.223040000000001</v>
      </c>
      <c r="L742" s="159">
        <v>300</v>
      </c>
      <c r="M742" s="159">
        <v>33864</v>
      </c>
      <c r="N742" s="159">
        <v>220</v>
      </c>
      <c r="O742" s="159">
        <v>392</v>
      </c>
      <c r="P742" s="159">
        <v>10317</v>
      </c>
      <c r="Q742" s="159">
        <v>1500</v>
      </c>
      <c r="R742" s="159">
        <v>2000</v>
      </c>
      <c r="S742" s="159">
        <v>62985</v>
      </c>
      <c r="T742" s="159">
        <v>0</v>
      </c>
      <c r="U742" s="159">
        <v>2457</v>
      </c>
      <c r="V742" s="159">
        <v>4500</v>
      </c>
      <c r="W742" s="159">
        <v>186</v>
      </c>
      <c r="X742" s="159">
        <v>120</v>
      </c>
      <c r="Y742" s="159">
        <v>1500</v>
      </c>
      <c r="Z742" s="159">
        <v>3661</v>
      </c>
      <c r="AA742" s="159">
        <v>0</v>
      </c>
      <c r="AB742" s="159">
        <v>0</v>
      </c>
      <c r="AC742" s="159">
        <v>1500</v>
      </c>
      <c r="AD742" s="207">
        <v>125502</v>
      </c>
      <c r="AE742" s="200">
        <v>6.779084659476462</v>
      </c>
      <c r="AF742" s="200">
        <v>9.8166736364088987</v>
      </c>
      <c r="AG742" s="200">
        <v>8.316052464333481</v>
      </c>
      <c r="AH742" s="200">
        <v>0</v>
      </c>
      <c r="AI742" s="200">
        <v>0</v>
      </c>
      <c r="AJ742" s="200">
        <v>0</v>
      </c>
      <c r="AL742" s="197">
        <f t="shared" si="107"/>
        <v>143871.1901662866</v>
      </c>
      <c r="AM742" s="197" t="str">
        <f t="shared" si="108"/>
        <v>Drayage DayCab 8</v>
      </c>
      <c r="AN742" s="3">
        <f t="shared" si="109"/>
        <v>28.767855576388257</v>
      </c>
      <c r="AO742" s="3">
        <f t="shared" si="110"/>
        <v>11.104226584842131</v>
      </c>
      <c r="AP742" s="3">
        <f t="shared" si="111"/>
        <v>0</v>
      </c>
      <c r="AQ742" s="3">
        <f t="shared" si="103"/>
        <v>0</v>
      </c>
      <c r="AR742" s="3">
        <f t="shared" si="104"/>
        <v>11.104226584842131</v>
      </c>
      <c r="AS742" s="81">
        <f t="shared" si="105"/>
        <v>1</v>
      </c>
      <c r="AT742" s="81">
        <f t="shared" si="106"/>
        <v>0</v>
      </c>
    </row>
    <row r="743" spans="1:46" x14ac:dyDescent="0.25">
      <c r="A743" t="s">
        <v>808</v>
      </c>
      <c r="B743">
        <v>2035</v>
      </c>
      <c r="C743" t="s">
        <v>680</v>
      </c>
      <c r="D743" t="s">
        <v>812</v>
      </c>
      <c r="E743" t="s">
        <v>2278</v>
      </c>
      <c r="F743">
        <v>8</v>
      </c>
      <c r="G743" t="s">
        <v>2480</v>
      </c>
      <c r="H743" s="460">
        <v>13098.976481908081</v>
      </c>
      <c r="I743">
        <v>17273</v>
      </c>
      <c r="J743">
        <v>160.0000000231087</v>
      </c>
      <c r="K743" s="67">
        <v>316.27050000000003</v>
      </c>
      <c r="L743" s="159">
        <v>0</v>
      </c>
      <c r="M743" s="159">
        <v>15404</v>
      </c>
      <c r="N743" s="159">
        <v>220</v>
      </c>
      <c r="O743" s="159">
        <v>0</v>
      </c>
      <c r="P743" s="159">
        <v>5122</v>
      </c>
      <c r="Q743" s="159">
        <v>1500</v>
      </c>
      <c r="R743" s="159">
        <v>2000</v>
      </c>
      <c r="S743" s="159">
        <v>62985</v>
      </c>
      <c r="T743" s="159">
        <v>3902</v>
      </c>
      <c r="U743" s="159">
        <v>50603</v>
      </c>
      <c r="V743" s="159">
        <v>4500</v>
      </c>
      <c r="W743" s="159">
        <v>186</v>
      </c>
      <c r="X743" s="159">
        <v>0</v>
      </c>
      <c r="Y743" s="159">
        <v>1500</v>
      </c>
      <c r="Z743" s="159">
        <v>6137</v>
      </c>
      <c r="AA743" s="159">
        <v>0</v>
      </c>
      <c r="AB743" s="159">
        <v>0</v>
      </c>
      <c r="AC743" s="159">
        <v>1500</v>
      </c>
      <c r="AD743" s="207">
        <v>155559</v>
      </c>
      <c r="AE743" s="200">
        <v>7.7537939504962869</v>
      </c>
      <c r="AF743" s="200">
        <v>7.9748553057758347</v>
      </c>
      <c r="AG743" s="200">
        <v>7.7803849067824062</v>
      </c>
      <c r="AH743" s="200">
        <v>2010</v>
      </c>
      <c r="AI743" s="200">
        <v>2003</v>
      </c>
      <c r="AJ743" s="200">
        <v>2377</v>
      </c>
      <c r="AL743" s="197">
        <f t="shared" si="107"/>
        <v>178327.50451050483</v>
      </c>
      <c r="AM743" s="197" t="str">
        <f t="shared" si="108"/>
        <v>Drayage DayCab 8</v>
      </c>
      <c r="AN743" s="3">
        <f t="shared" si="109"/>
        <v>6.0252364156752982</v>
      </c>
      <c r="AO743" s="3">
        <f t="shared" si="110"/>
        <v>2.3257065584622358</v>
      </c>
      <c r="AP743" s="3">
        <f t="shared" si="111"/>
        <v>111.53342363950438</v>
      </c>
      <c r="AQ743" s="3">
        <f t="shared" si="103"/>
        <v>4.0152032510221582</v>
      </c>
      <c r="AR743" s="3">
        <f t="shared" si="104"/>
        <v>6.3409098094843941</v>
      </c>
      <c r="AS743" s="81">
        <f t="shared" si="105"/>
        <v>0.36677805367670868</v>
      </c>
      <c r="AT743" s="81">
        <f t="shared" si="106"/>
        <v>0.63322194632329132</v>
      </c>
    </row>
    <row r="744" spans="1:46" x14ac:dyDescent="0.25">
      <c r="A744" t="s">
        <v>230</v>
      </c>
      <c r="B744">
        <v>2035</v>
      </c>
      <c r="C744" t="s">
        <v>680</v>
      </c>
      <c r="D744" t="s">
        <v>812</v>
      </c>
      <c r="E744" t="s">
        <v>2278</v>
      </c>
      <c r="F744">
        <v>8</v>
      </c>
      <c r="G744" t="s">
        <v>2481</v>
      </c>
      <c r="H744" s="460">
        <v>12296.70228607245</v>
      </c>
      <c r="I744">
        <v>17273</v>
      </c>
      <c r="J744">
        <v>200.00000001335161</v>
      </c>
      <c r="K744" s="67">
        <v>379.32600000000002</v>
      </c>
      <c r="L744" s="159">
        <v>0</v>
      </c>
      <c r="M744" s="159">
        <v>0</v>
      </c>
      <c r="N744" s="159">
        <v>0</v>
      </c>
      <c r="O744" s="159">
        <v>0</v>
      </c>
      <c r="P744" s="159">
        <v>4825</v>
      </c>
      <c r="Q744" s="159">
        <v>1500</v>
      </c>
      <c r="R744" s="159">
        <v>2000</v>
      </c>
      <c r="S744" s="159">
        <v>62985</v>
      </c>
      <c r="T744" s="159">
        <v>0</v>
      </c>
      <c r="U744" s="159">
        <v>60692</v>
      </c>
      <c r="V744" s="159">
        <v>4500</v>
      </c>
      <c r="W744" s="159">
        <v>186</v>
      </c>
      <c r="X744" s="159">
        <v>0</v>
      </c>
      <c r="Y744" s="159">
        <v>1500</v>
      </c>
      <c r="Z744" s="159">
        <v>5737</v>
      </c>
      <c r="AA744" s="159">
        <v>0</v>
      </c>
      <c r="AB744" s="159">
        <v>0</v>
      </c>
      <c r="AC744" s="159">
        <v>1500</v>
      </c>
      <c r="AD744" s="207">
        <v>145425</v>
      </c>
      <c r="AE744" s="200">
        <v>0</v>
      </c>
      <c r="AF744" s="200">
        <v>0</v>
      </c>
      <c r="AG744" s="200">
        <v>0</v>
      </c>
      <c r="AH744" s="200">
        <v>1870</v>
      </c>
      <c r="AI744" s="200">
        <v>1750</v>
      </c>
      <c r="AJ744" s="200">
        <v>2074</v>
      </c>
      <c r="AL744" s="197">
        <f t="shared" si="107"/>
        <v>166710.23433835499</v>
      </c>
      <c r="AM744" s="197" t="str">
        <f t="shared" si="108"/>
        <v>Drayage DayCab 8</v>
      </c>
      <c r="AN744" s="3">
        <f t="shared" si="109"/>
        <v>0</v>
      </c>
      <c r="AO744" s="3">
        <f t="shared" si="110"/>
        <v>0</v>
      </c>
      <c r="AP744" s="3">
        <f t="shared" si="111"/>
        <v>123.04174382044812</v>
      </c>
      <c r="AQ744" s="3">
        <f t="shared" si="103"/>
        <v>4.4295027775361326</v>
      </c>
      <c r="AR744" s="3">
        <f t="shared" si="104"/>
        <v>4.4295027775361326</v>
      </c>
      <c r="AS744" s="81">
        <f t="shared" si="105"/>
        <v>0</v>
      </c>
      <c r="AT744" s="81">
        <f t="shared" si="106"/>
        <v>1</v>
      </c>
    </row>
    <row r="745" spans="1:46" x14ac:dyDescent="0.25">
      <c r="A745" t="s">
        <v>496</v>
      </c>
      <c r="B745">
        <v>2035</v>
      </c>
      <c r="C745" t="s">
        <v>680</v>
      </c>
      <c r="D745" t="s">
        <v>812</v>
      </c>
      <c r="E745" t="s">
        <v>2278</v>
      </c>
      <c r="F745">
        <v>8</v>
      </c>
      <c r="G745" t="s">
        <v>2482</v>
      </c>
      <c r="H745" s="460">
        <v>11500.784359107343</v>
      </c>
      <c r="I745">
        <v>17273</v>
      </c>
      <c r="J745">
        <v>200.00000001335161</v>
      </c>
      <c r="K745" s="67">
        <v>13.464000000000002</v>
      </c>
      <c r="L745" s="159">
        <v>0</v>
      </c>
      <c r="M745" s="159">
        <v>0</v>
      </c>
      <c r="N745" s="159">
        <v>0</v>
      </c>
      <c r="O745" s="159">
        <v>0</v>
      </c>
      <c r="P745" s="159">
        <v>5342</v>
      </c>
      <c r="Q745" s="159">
        <v>1500</v>
      </c>
      <c r="R745" s="159">
        <v>2000</v>
      </c>
      <c r="S745" s="159">
        <v>62985</v>
      </c>
      <c r="T745" s="159">
        <v>0</v>
      </c>
      <c r="U745" s="159">
        <v>4580</v>
      </c>
      <c r="V745" s="159">
        <v>4500</v>
      </c>
      <c r="W745" s="159">
        <v>186</v>
      </c>
      <c r="X745" s="159">
        <v>0</v>
      </c>
      <c r="Y745" s="159">
        <v>1500</v>
      </c>
      <c r="Z745" s="159">
        <v>6434</v>
      </c>
      <c r="AA745" s="159">
        <v>61747</v>
      </c>
      <c r="AB745" s="159">
        <v>12644</v>
      </c>
      <c r="AC745" s="159">
        <v>1500</v>
      </c>
      <c r="AD745" s="207">
        <v>164918</v>
      </c>
      <c r="AE745" s="200">
        <v>9.7081428531019647</v>
      </c>
      <c r="AF745" s="200">
        <v>11.825361860333137</v>
      </c>
      <c r="AG745" s="200">
        <v>9.8254302938676386</v>
      </c>
      <c r="AH745" s="200">
        <v>0</v>
      </c>
      <c r="AI745" s="200">
        <v>0</v>
      </c>
      <c r="AJ745" s="200">
        <v>0</v>
      </c>
      <c r="AL745" s="197">
        <f t="shared" si="107"/>
        <v>189056.34125228008</v>
      </c>
      <c r="AM745" s="197" t="str">
        <f t="shared" si="108"/>
        <v>Drayage DayCab 8</v>
      </c>
      <c r="AN745" s="3">
        <f t="shared" si="109"/>
        <v>23.306096567462234</v>
      </c>
      <c r="AO745" s="3">
        <f t="shared" si="110"/>
        <v>8.9960190604448051</v>
      </c>
      <c r="AP745" s="3">
        <f t="shared" si="111"/>
        <v>0</v>
      </c>
      <c r="AQ745" s="3">
        <f t="shared" si="103"/>
        <v>0</v>
      </c>
      <c r="AR745" s="3">
        <f t="shared" si="104"/>
        <v>8.9960190604448051</v>
      </c>
      <c r="AS745" s="81">
        <f t="shared" si="105"/>
        <v>1</v>
      </c>
      <c r="AT745" s="81">
        <f t="shared" si="106"/>
        <v>0</v>
      </c>
    </row>
    <row r="746" spans="1:46" x14ac:dyDescent="0.25">
      <c r="A746" t="s">
        <v>828</v>
      </c>
      <c r="B746">
        <v>2035</v>
      </c>
      <c r="C746" t="s">
        <v>680</v>
      </c>
      <c r="D746" t="s">
        <v>812</v>
      </c>
      <c r="E746" t="s">
        <v>2278</v>
      </c>
      <c r="F746">
        <v>8</v>
      </c>
      <c r="G746" t="s">
        <v>2483</v>
      </c>
      <c r="H746" s="460">
        <v>11442.289046557773</v>
      </c>
      <c r="I746">
        <v>17273</v>
      </c>
      <c r="J746">
        <v>200.00000001335161</v>
      </c>
      <c r="K746" s="67">
        <v>79.936499999999995</v>
      </c>
      <c r="L746" s="159">
        <v>0</v>
      </c>
      <c r="M746" s="159">
        <v>0</v>
      </c>
      <c r="N746" s="159">
        <v>0</v>
      </c>
      <c r="O746" s="159">
        <v>0</v>
      </c>
      <c r="P746" s="159">
        <v>5738</v>
      </c>
      <c r="Q746" s="159">
        <v>1500</v>
      </c>
      <c r="R746" s="159">
        <v>2000</v>
      </c>
      <c r="S746" s="159">
        <v>62985</v>
      </c>
      <c r="T746" s="159">
        <v>0</v>
      </c>
      <c r="U746" s="159">
        <v>12790</v>
      </c>
      <c r="V746" s="159">
        <v>4500</v>
      </c>
      <c r="W746" s="159">
        <v>186</v>
      </c>
      <c r="X746" s="159">
        <v>0</v>
      </c>
      <c r="Y746" s="159">
        <v>1500</v>
      </c>
      <c r="Z746" s="159">
        <v>6966</v>
      </c>
      <c r="AA746" s="159">
        <v>26665</v>
      </c>
      <c r="AB746" s="159">
        <v>8427</v>
      </c>
      <c r="AC746" s="159">
        <v>1500</v>
      </c>
      <c r="AD746" s="207">
        <v>134757</v>
      </c>
      <c r="AE746" s="200">
        <v>10.22460759407039</v>
      </c>
      <c r="AF746" s="200">
        <v>11.314920546430802</v>
      </c>
      <c r="AG746" s="200">
        <v>10.195111112201513</v>
      </c>
      <c r="AH746" s="200">
        <v>0</v>
      </c>
      <c r="AI746" s="200">
        <v>0</v>
      </c>
      <c r="AJ746" s="200">
        <v>0</v>
      </c>
      <c r="AL746" s="197">
        <f t="shared" si="107"/>
        <v>154480.80487353416</v>
      </c>
      <c r="AM746" s="197" t="str">
        <f t="shared" si="108"/>
        <v>Drayage DayCab 8</v>
      </c>
      <c r="AN746" s="3">
        <f t="shared" si="109"/>
        <v>22.670554456700255</v>
      </c>
      <c r="AO746" s="3">
        <f t="shared" si="110"/>
        <v>8.7507034656354996</v>
      </c>
      <c r="AP746" s="3">
        <f t="shared" si="111"/>
        <v>0</v>
      </c>
      <c r="AQ746" s="3">
        <f t="shared" si="103"/>
        <v>0</v>
      </c>
      <c r="AR746" s="3">
        <f t="shared" si="104"/>
        <v>8.7507034656354996</v>
      </c>
      <c r="AS746" s="81">
        <f t="shared" si="105"/>
        <v>1</v>
      </c>
      <c r="AT746" s="81">
        <f t="shared" si="106"/>
        <v>0</v>
      </c>
    </row>
    <row r="747" spans="1:46" x14ac:dyDescent="0.25">
      <c r="A747" t="s">
        <v>805</v>
      </c>
      <c r="B747">
        <v>2050</v>
      </c>
      <c r="C747" t="s">
        <v>680</v>
      </c>
      <c r="D747" t="s">
        <v>812</v>
      </c>
      <c r="E747" t="s">
        <v>2278</v>
      </c>
      <c r="F747">
        <v>8</v>
      </c>
      <c r="G747" t="s">
        <v>2484</v>
      </c>
      <c r="H747" s="460">
        <v>11975.150780208303</v>
      </c>
      <c r="I747">
        <v>17273</v>
      </c>
      <c r="J747">
        <v>0</v>
      </c>
      <c r="K747" s="67">
        <v>0</v>
      </c>
      <c r="L747" s="159">
        <v>300</v>
      </c>
      <c r="M747" s="159">
        <v>36766</v>
      </c>
      <c r="N747" s="159">
        <v>1920</v>
      </c>
      <c r="O747" s="159">
        <v>392</v>
      </c>
      <c r="P747" s="159">
        <v>10947</v>
      </c>
      <c r="Q747" s="159">
        <v>1500</v>
      </c>
      <c r="R747" s="159">
        <v>2000</v>
      </c>
      <c r="S747" s="159">
        <v>63275</v>
      </c>
      <c r="T747" s="159">
        <v>110</v>
      </c>
      <c r="U747" s="159">
        <v>120</v>
      </c>
      <c r="V747" s="159">
        <v>0</v>
      </c>
      <c r="W747" s="159">
        <v>186</v>
      </c>
      <c r="X747" s="159">
        <v>0</v>
      </c>
      <c r="Y747" s="159">
        <v>0</v>
      </c>
      <c r="Z747" s="159">
        <v>0</v>
      </c>
      <c r="AA747" s="159">
        <v>0</v>
      </c>
      <c r="AB747" s="159">
        <v>0</v>
      </c>
      <c r="AC747" s="159">
        <v>1500</v>
      </c>
      <c r="AD747" s="207">
        <v>119016</v>
      </c>
      <c r="AE747" s="200">
        <v>5.1013215810787678</v>
      </c>
      <c r="AF747" s="200">
        <v>10.137836495264517</v>
      </c>
      <c r="AG747" s="200">
        <v>9.1999802148666969</v>
      </c>
      <c r="AH747" s="200">
        <v>0</v>
      </c>
      <c r="AI747" s="200">
        <v>0</v>
      </c>
      <c r="AJ747" s="200">
        <v>0</v>
      </c>
      <c r="AL747" s="197">
        <f t="shared" si="107"/>
        <v>136435.86212833872</v>
      </c>
      <c r="AM747" s="197" t="str">
        <f t="shared" si="108"/>
        <v>Drayage DayCab 8</v>
      </c>
      <c r="AN747" s="3">
        <f t="shared" si="109"/>
        <v>29.067762434545855</v>
      </c>
      <c r="AO747" s="3">
        <f t="shared" si="110"/>
        <v>11.219988904994471</v>
      </c>
      <c r="AP747" s="3">
        <f t="shared" si="111"/>
        <v>0</v>
      </c>
      <c r="AQ747" s="3">
        <f t="shared" si="103"/>
        <v>0</v>
      </c>
      <c r="AR747" s="3">
        <f t="shared" si="104"/>
        <v>11.219988904994471</v>
      </c>
      <c r="AS747" s="81">
        <f t="shared" si="105"/>
        <v>1</v>
      </c>
      <c r="AT747" s="81">
        <f t="shared" si="106"/>
        <v>0</v>
      </c>
    </row>
    <row r="748" spans="1:46" x14ac:dyDescent="0.25">
      <c r="A748" t="s">
        <v>807</v>
      </c>
      <c r="B748">
        <v>2050</v>
      </c>
      <c r="C748" t="s">
        <v>680</v>
      </c>
      <c r="D748" t="s">
        <v>812</v>
      </c>
      <c r="E748" t="s">
        <v>2278</v>
      </c>
      <c r="F748">
        <v>8</v>
      </c>
      <c r="G748" t="s">
        <v>2485</v>
      </c>
      <c r="H748" s="460">
        <v>11990.401043974609</v>
      </c>
      <c r="I748">
        <v>17273</v>
      </c>
      <c r="J748">
        <v>0</v>
      </c>
      <c r="K748" s="67">
        <v>6.9220800000000011</v>
      </c>
      <c r="L748" s="159">
        <v>300</v>
      </c>
      <c r="M748" s="159">
        <v>34487</v>
      </c>
      <c r="N748" s="159">
        <v>220</v>
      </c>
      <c r="O748" s="159">
        <v>392</v>
      </c>
      <c r="P748" s="159">
        <v>10166</v>
      </c>
      <c r="Q748" s="159">
        <v>1500</v>
      </c>
      <c r="R748" s="159">
        <v>2000</v>
      </c>
      <c r="S748" s="159">
        <v>63275</v>
      </c>
      <c r="T748" s="159">
        <v>0</v>
      </c>
      <c r="U748" s="159">
        <v>2224</v>
      </c>
      <c r="V748" s="159">
        <v>4500</v>
      </c>
      <c r="W748" s="159">
        <v>186</v>
      </c>
      <c r="X748" s="159">
        <v>120</v>
      </c>
      <c r="Y748" s="159">
        <v>1500</v>
      </c>
      <c r="Z748" s="159">
        <v>2716</v>
      </c>
      <c r="AA748" s="159">
        <v>0</v>
      </c>
      <c r="AB748" s="159">
        <v>0</v>
      </c>
      <c r="AC748" s="159">
        <v>1500</v>
      </c>
      <c r="AD748" s="207">
        <v>125086</v>
      </c>
      <c r="AE748" s="200">
        <v>7.3193105882164584</v>
      </c>
      <c r="AF748" s="200">
        <v>10.898525621971398</v>
      </c>
      <c r="AG748" s="200">
        <v>9.2192033633716246</v>
      </c>
      <c r="AH748" s="200">
        <v>0</v>
      </c>
      <c r="AI748" s="200">
        <v>0</v>
      </c>
      <c r="AJ748" s="200">
        <v>0</v>
      </c>
      <c r="AL748" s="197">
        <f t="shared" si="107"/>
        <v>143394.30202817585</v>
      </c>
      <c r="AM748" s="197" t="str">
        <f t="shared" si="108"/>
        <v>Drayage DayCab 8</v>
      </c>
      <c r="AN748" s="3">
        <f t="shared" si="109"/>
        <v>26.103582135285684</v>
      </c>
      <c r="AO748" s="3">
        <f t="shared" si="110"/>
        <v>10.075832379531182</v>
      </c>
      <c r="AP748" s="3">
        <f t="shared" si="111"/>
        <v>0</v>
      </c>
      <c r="AQ748" s="3">
        <f t="shared" si="103"/>
        <v>0</v>
      </c>
      <c r="AR748" s="3">
        <f t="shared" si="104"/>
        <v>10.075832379531182</v>
      </c>
      <c r="AS748" s="81">
        <f t="shared" si="105"/>
        <v>1</v>
      </c>
      <c r="AT748" s="81">
        <f t="shared" si="106"/>
        <v>0</v>
      </c>
    </row>
    <row r="749" spans="1:46" x14ac:dyDescent="0.25">
      <c r="A749" t="s">
        <v>808</v>
      </c>
      <c r="B749">
        <v>2050</v>
      </c>
      <c r="C749" t="s">
        <v>680</v>
      </c>
      <c r="D749" t="s">
        <v>812</v>
      </c>
      <c r="E749" t="s">
        <v>2278</v>
      </c>
      <c r="F749">
        <v>8</v>
      </c>
      <c r="G749" t="s">
        <v>2486</v>
      </c>
      <c r="H749" s="460">
        <v>12339.689804769445</v>
      </c>
      <c r="I749">
        <v>17273</v>
      </c>
      <c r="J749">
        <v>160.0000000231087</v>
      </c>
      <c r="K749" s="67">
        <v>280.02600000000001</v>
      </c>
      <c r="L749" s="159">
        <v>0</v>
      </c>
      <c r="M749" s="159">
        <v>15672</v>
      </c>
      <c r="N749" s="159">
        <v>220</v>
      </c>
      <c r="O749" s="159">
        <v>0</v>
      </c>
      <c r="P749" s="159">
        <v>5085</v>
      </c>
      <c r="Q749" s="159">
        <v>1500</v>
      </c>
      <c r="R749" s="159">
        <v>2000</v>
      </c>
      <c r="S749" s="159">
        <v>63275</v>
      </c>
      <c r="T749" s="159">
        <v>2491</v>
      </c>
      <c r="U749" s="159">
        <v>25202</v>
      </c>
      <c r="V749" s="159">
        <v>4500</v>
      </c>
      <c r="W749" s="159">
        <v>186</v>
      </c>
      <c r="X749" s="159">
        <v>0</v>
      </c>
      <c r="Y749" s="159">
        <v>1500</v>
      </c>
      <c r="Z749" s="159">
        <v>4451</v>
      </c>
      <c r="AA749" s="159">
        <v>0</v>
      </c>
      <c r="AB749" s="159">
        <v>0</v>
      </c>
      <c r="AC749" s="159">
        <v>1500</v>
      </c>
      <c r="AD749" s="207">
        <v>127582</v>
      </c>
      <c r="AE749" s="200">
        <v>8.9280682301561214</v>
      </c>
      <c r="AF749" s="200">
        <v>9.0354678814682163</v>
      </c>
      <c r="AG749" s="200">
        <v>8.7788569195728421</v>
      </c>
      <c r="AH749" s="200">
        <v>1786</v>
      </c>
      <c r="AI749" s="200">
        <v>1798</v>
      </c>
      <c r="AJ749" s="200">
        <v>2140</v>
      </c>
      <c r="AL749" s="197">
        <f t="shared" si="107"/>
        <v>146255.63085684035</v>
      </c>
      <c r="AM749" s="197" t="str">
        <f t="shared" si="108"/>
        <v>Drayage DayCab 8</v>
      </c>
      <c r="AN749" s="3">
        <f t="shared" si="109"/>
        <v>5.3157850835845135</v>
      </c>
      <c r="AO749" s="3">
        <f t="shared" si="110"/>
        <v>2.0518624298466817</v>
      </c>
      <c r="AP749" s="3">
        <f t="shared" si="111"/>
        <v>100.14540122037604</v>
      </c>
      <c r="AQ749" s="3">
        <f t="shared" si="103"/>
        <v>3.6052344439335378</v>
      </c>
      <c r="AR749" s="3">
        <f t="shared" si="104"/>
        <v>5.657096873780219</v>
      </c>
      <c r="AS749" s="81">
        <f t="shared" si="105"/>
        <v>0.36270590297945066</v>
      </c>
      <c r="AT749" s="81">
        <f t="shared" si="106"/>
        <v>0.6372940970205494</v>
      </c>
    </row>
    <row r="750" spans="1:46" x14ac:dyDescent="0.25">
      <c r="A750" t="s">
        <v>230</v>
      </c>
      <c r="B750">
        <v>2050</v>
      </c>
      <c r="C750" t="s">
        <v>680</v>
      </c>
      <c r="D750" t="s">
        <v>812</v>
      </c>
      <c r="E750" t="s">
        <v>2278</v>
      </c>
      <c r="F750">
        <v>8</v>
      </c>
      <c r="G750" t="s">
        <v>2487</v>
      </c>
      <c r="H750" s="460">
        <v>11516.255747968225</v>
      </c>
      <c r="I750">
        <v>17273</v>
      </c>
      <c r="J750">
        <v>200.00000001335161</v>
      </c>
      <c r="K750" s="67">
        <v>344.0745</v>
      </c>
      <c r="L750" s="159">
        <v>0</v>
      </c>
      <c r="M750" s="159">
        <v>0</v>
      </c>
      <c r="N750" s="159">
        <v>0</v>
      </c>
      <c r="O750" s="159">
        <v>0</v>
      </c>
      <c r="P750" s="159">
        <v>4825</v>
      </c>
      <c r="Q750" s="159">
        <v>1500</v>
      </c>
      <c r="R750" s="159">
        <v>2000</v>
      </c>
      <c r="S750" s="159">
        <v>63275</v>
      </c>
      <c r="T750" s="159">
        <v>0</v>
      </c>
      <c r="U750" s="159">
        <v>30967</v>
      </c>
      <c r="V750" s="159">
        <v>4500</v>
      </c>
      <c r="W750" s="159">
        <v>186</v>
      </c>
      <c r="X750" s="159">
        <v>0</v>
      </c>
      <c r="Y750" s="159">
        <v>1500</v>
      </c>
      <c r="Z750" s="159">
        <v>4194</v>
      </c>
      <c r="AA750" s="159">
        <v>0</v>
      </c>
      <c r="AB750" s="159">
        <v>0</v>
      </c>
      <c r="AC750" s="159">
        <v>1500</v>
      </c>
      <c r="AD750" s="207">
        <v>114447</v>
      </c>
      <c r="AE750" s="200">
        <v>0</v>
      </c>
      <c r="AF750" s="200">
        <v>0</v>
      </c>
      <c r="AG750" s="200">
        <v>0</v>
      </c>
      <c r="AH750" s="200">
        <v>1640</v>
      </c>
      <c r="AI750" s="200">
        <v>1554</v>
      </c>
      <c r="AJ750" s="200">
        <v>1848</v>
      </c>
      <c r="AL750" s="197">
        <f t="shared" si="107"/>
        <v>131198.11716913676</v>
      </c>
      <c r="AM750" s="197" t="str">
        <f t="shared" si="108"/>
        <v>Drayage DayCab 8</v>
      </c>
      <c r="AN750" s="3">
        <f t="shared" si="109"/>
        <v>0</v>
      </c>
      <c r="AO750" s="3">
        <f t="shared" si="110"/>
        <v>0</v>
      </c>
      <c r="AP750" s="3">
        <f t="shared" si="111"/>
        <v>109.26839573986851</v>
      </c>
      <c r="AQ750" s="3">
        <f t="shared" si="103"/>
        <v>3.9336622466352664</v>
      </c>
      <c r="AR750" s="3">
        <f t="shared" si="104"/>
        <v>3.9336622466352664</v>
      </c>
      <c r="AS750" s="81">
        <f t="shared" si="105"/>
        <v>0</v>
      </c>
      <c r="AT750" s="81">
        <f t="shared" si="106"/>
        <v>1</v>
      </c>
    </row>
    <row r="751" spans="1:46" x14ac:dyDescent="0.25">
      <c r="A751" t="s">
        <v>496</v>
      </c>
      <c r="B751">
        <v>2050</v>
      </c>
      <c r="C751" t="s">
        <v>680</v>
      </c>
      <c r="D751" t="s">
        <v>812</v>
      </c>
      <c r="E751" t="s">
        <v>2278</v>
      </c>
      <c r="F751">
        <v>8</v>
      </c>
      <c r="G751" t="s">
        <v>2488</v>
      </c>
      <c r="H751" s="460">
        <v>11220.804245513049</v>
      </c>
      <c r="I751">
        <v>17273</v>
      </c>
      <c r="J751">
        <v>200.00000001335161</v>
      </c>
      <c r="K751" s="67">
        <v>12.988800000000001</v>
      </c>
      <c r="L751" s="159">
        <v>0</v>
      </c>
      <c r="M751" s="159">
        <v>0</v>
      </c>
      <c r="N751" s="159">
        <v>0</v>
      </c>
      <c r="O751" s="159">
        <v>0</v>
      </c>
      <c r="P751" s="159">
        <v>5299</v>
      </c>
      <c r="Q751" s="159">
        <v>1500</v>
      </c>
      <c r="R751" s="159">
        <v>2000</v>
      </c>
      <c r="S751" s="159">
        <v>63275</v>
      </c>
      <c r="T751" s="159">
        <v>0</v>
      </c>
      <c r="U751" s="159">
        <v>4173</v>
      </c>
      <c r="V751" s="159">
        <v>4500</v>
      </c>
      <c r="W751" s="159">
        <v>186</v>
      </c>
      <c r="X751" s="159">
        <v>0</v>
      </c>
      <c r="Y751" s="159">
        <v>1500</v>
      </c>
      <c r="Z751" s="159">
        <v>4662</v>
      </c>
      <c r="AA751" s="159">
        <v>45862</v>
      </c>
      <c r="AB751" s="159">
        <v>7232</v>
      </c>
      <c r="AC751" s="159">
        <v>1500</v>
      </c>
      <c r="AD751" s="207">
        <v>141689</v>
      </c>
      <c r="AE751" s="200">
        <v>11.067114089731596</v>
      </c>
      <c r="AF751" s="200">
        <v>13.806103990701985</v>
      </c>
      <c r="AG751" s="200">
        <v>11.472483521140996</v>
      </c>
      <c r="AH751" s="200">
        <v>0</v>
      </c>
      <c r="AI751" s="200">
        <v>0</v>
      </c>
      <c r="AJ751" s="200">
        <v>0</v>
      </c>
      <c r="AL751" s="197">
        <f t="shared" si="107"/>
        <v>162427.41202109115</v>
      </c>
      <c r="AM751" s="197" t="str">
        <f t="shared" si="108"/>
        <v>Drayage DayCab 8</v>
      </c>
      <c r="AN751" s="3">
        <f t="shared" si="109"/>
        <v>20.056094410336037</v>
      </c>
      <c r="AO751" s="3">
        <f t="shared" si="110"/>
        <v>7.7415369438293595</v>
      </c>
      <c r="AP751" s="3">
        <f t="shared" si="111"/>
        <v>0</v>
      </c>
      <c r="AQ751" s="3">
        <f t="shared" si="103"/>
        <v>0</v>
      </c>
      <c r="AR751" s="3">
        <f t="shared" si="104"/>
        <v>7.7415369438293595</v>
      </c>
      <c r="AS751" s="81">
        <f t="shared" si="105"/>
        <v>1</v>
      </c>
      <c r="AT751" s="81">
        <f t="shared" si="106"/>
        <v>0</v>
      </c>
    </row>
    <row r="752" spans="1:46" x14ac:dyDescent="0.25">
      <c r="A752" t="s">
        <v>828</v>
      </c>
      <c r="B752">
        <v>2050</v>
      </c>
      <c r="C752" t="s">
        <v>680</v>
      </c>
      <c r="D752" t="s">
        <v>812</v>
      </c>
      <c r="E752" t="s">
        <v>2278</v>
      </c>
      <c r="F752">
        <v>8</v>
      </c>
      <c r="G752" t="s">
        <v>2489</v>
      </c>
      <c r="H752" s="460">
        <v>11072.29372343565</v>
      </c>
      <c r="I752">
        <v>17273</v>
      </c>
      <c r="J752">
        <v>200.00000001335161</v>
      </c>
      <c r="K752" s="67">
        <v>81.922499999999999</v>
      </c>
      <c r="L752" s="159">
        <v>0</v>
      </c>
      <c r="M752" s="159">
        <v>0</v>
      </c>
      <c r="N752" s="159">
        <v>0</v>
      </c>
      <c r="O752" s="159">
        <v>0</v>
      </c>
      <c r="P752" s="159">
        <v>5705</v>
      </c>
      <c r="Q752" s="159">
        <v>1500</v>
      </c>
      <c r="R752" s="159">
        <v>2000</v>
      </c>
      <c r="S752" s="159">
        <v>63275</v>
      </c>
      <c r="T752" s="159">
        <v>0</v>
      </c>
      <c r="U752" s="159">
        <v>7373</v>
      </c>
      <c r="V752" s="159">
        <v>4500</v>
      </c>
      <c r="W752" s="159">
        <v>186</v>
      </c>
      <c r="X752" s="159">
        <v>0</v>
      </c>
      <c r="Y752" s="159">
        <v>1500</v>
      </c>
      <c r="Z752" s="159">
        <v>5063</v>
      </c>
      <c r="AA752" s="159">
        <v>17866</v>
      </c>
      <c r="AB752" s="159">
        <v>4479</v>
      </c>
      <c r="AC752" s="159">
        <v>1500</v>
      </c>
      <c r="AD752" s="207">
        <v>114947</v>
      </c>
      <c r="AE752" s="200">
        <v>11.893616920027908</v>
      </c>
      <c r="AF752" s="200">
        <v>13.204022144455077</v>
      </c>
      <c r="AG752" s="200">
        <v>11.939299012527957</v>
      </c>
      <c r="AH752" s="200">
        <v>0</v>
      </c>
      <c r="AI752" s="200">
        <v>0</v>
      </c>
      <c r="AJ752" s="200">
        <v>0</v>
      </c>
      <c r="AL752" s="197">
        <f t="shared" si="107"/>
        <v>131771.30002744295</v>
      </c>
      <c r="AM752" s="197" t="str">
        <f t="shared" si="108"/>
        <v>Drayage DayCab 8</v>
      </c>
      <c r="AN752" s="3">
        <f t="shared" si="109"/>
        <v>19.394499729946197</v>
      </c>
      <c r="AO752" s="3">
        <f t="shared" si="110"/>
        <v>7.4861652071746203</v>
      </c>
      <c r="AP752" s="3">
        <f t="shared" si="111"/>
        <v>0</v>
      </c>
      <c r="AQ752" s="3">
        <f t="shared" si="103"/>
        <v>0</v>
      </c>
      <c r="AR752" s="3">
        <f t="shared" si="104"/>
        <v>7.4861652071746203</v>
      </c>
      <c r="AS752" s="81">
        <f t="shared" si="105"/>
        <v>1</v>
      </c>
      <c r="AT752" s="81">
        <f t="shared" si="106"/>
        <v>0</v>
      </c>
    </row>
    <row r="753" spans="1:46" x14ac:dyDescent="0.25">
      <c r="A753" t="s">
        <v>805</v>
      </c>
      <c r="B753">
        <v>2023</v>
      </c>
      <c r="C753" t="s">
        <v>680</v>
      </c>
      <c r="D753" t="s">
        <v>834</v>
      </c>
      <c r="E753" t="s">
        <v>2490</v>
      </c>
      <c r="F753">
        <v>8</v>
      </c>
      <c r="G753" t="s">
        <v>2491</v>
      </c>
      <c r="H753" s="460">
        <v>12172.197039442428</v>
      </c>
      <c r="I753">
        <v>7250</v>
      </c>
      <c r="J753">
        <v>0</v>
      </c>
      <c r="K753" s="67">
        <v>0</v>
      </c>
      <c r="L753" s="159">
        <v>300</v>
      </c>
      <c r="M753" s="159">
        <v>33239</v>
      </c>
      <c r="N753" s="159">
        <v>1920</v>
      </c>
      <c r="O753" s="159">
        <v>506</v>
      </c>
      <c r="P753" s="159">
        <v>7583</v>
      </c>
      <c r="Q753" s="159">
        <v>1500</v>
      </c>
      <c r="R753" s="159">
        <v>2000</v>
      </c>
      <c r="S753" s="159">
        <v>56000</v>
      </c>
      <c r="T753" s="159">
        <v>98</v>
      </c>
      <c r="U753" s="159">
        <v>120</v>
      </c>
      <c r="V753" s="159">
        <v>0</v>
      </c>
      <c r="W753" s="159">
        <v>186</v>
      </c>
      <c r="X753" s="159">
        <v>0</v>
      </c>
      <c r="Y753" s="159">
        <v>0</v>
      </c>
      <c r="Z753" s="159">
        <v>0</v>
      </c>
      <c r="AA753" s="159">
        <v>0</v>
      </c>
      <c r="AB753" s="159">
        <v>0</v>
      </c>
      <c r="AC753" s="159">
        <v>0</v>
      </c>
      <c r="AD753" s="207">
        <v>103452</v>
      </c>
      <c r="AE753" s="200">
        <v>5.0804764284779944</v>
      </c>
      <c r="AF753" s="200">
        <v>7.0965650935126376</v>
      </c>
      <c r="AG753" s="200">
        <v>5.6933217483985361</v>
      </c>
      <c r="AH753" s="200">
        <v>0</v>
      </c>
      <c r="AI753" s="200">
        <v>0</v>
      </c>
      <c r="AJ753" s="200">
        <v>0</v>
      </c>
      <c r="AL753" s="197">
        <f t="shared" si="107"/>
        <v>118593.82611498368</v>
      </c>
      <c r="AM753" s="197" t="str">
        <f t="shared" si="108"/>
        <v>Vocational Heavy 8</v>
      </c>
      <c r="AN753" s="3">
        <f t="shared" si="109"/>
        <v>45.849396540143999</v>
      </c>
      <c r="AO753" s="3">
        <f t="shared" si="110"/>
        <v>17.697603028079271</v>
      </c>
      <c r="AP753" s="3">
        <f t="shared" si="111"/>
        <v>0</v>
      </c>
      <c r="AQ753" s="3">
        <f t="shared" si="103"/>
        <v>0</v>
      </c>
      <c r="AR753" s="3">
        <f t="shared" si="104"/>
        <v>17.697603028079271</v>
      </c>
      <c r="AS753" s="81">
        <f t="shared" si="105"/>
        <v>1</v>
      </c>
      <c r="AT753" s="81">
        <f t="shared" si="106"/>
        <v>0</v>
      </c>
    </row>
    <row r="754" spans="1:46" x14ac:dyDescent="0.25">
      <c r="A754" t="s">
        <v>807</v>
      </c>
      <c r="B754">
        <v>2023</v>
      </c>
      <c r="C754" t="s">
        <v>680</v>
      </c>
      <c r="D754" t="s">
        <v>834</v>
      </c>
      <c r="E754" t="s">
        <v>2490</v>
      </c>
      <c r="F754">
        <v>8</v>
      </c>
      <c r="G754" t="s">
        <v>2492</v>
      </c>
      <c r="H754" s="460">
        <v>12354.321755582943</v>
      </c>
      <c r="I754">
        <v>7250</v>
      </c>
      <c r="J754">
        <v>0</v>
      </c>
      <c r="K754" s="67">
        <v>9.8841600000000014</v>
      </c>
      <c r="L754" s="159">
        <v>300</v>
      </c>
      <c r="M754" s="159">
        <v>33335</v>
      </c>
      <c r="N754" s="159">
        <v>220</v>
      </c>
      <c r="O754" s="159">
        <v>392</v>
      </c>
      <c r="P754" s="159">
        <v>7606</v>
      </c>
      <c r="Q754" s="159">
        <v>1500</v>
      </c>
      <c r="R754" s="159">
        <v>2000</v>
      </c>
      <c r="S754" s="159">
        <v>56000</v>
      </c>
      <c r="T754" s="159">
        <v>0</v>
      </c>
      <c r="U754" s="159">
        <v>6919</v>
      </c>
      <c r="V754" s="159">
        <v>4500</v>
      </c>
      <c r="W754" s="159">
        <v>186</v>
      </c>
      <c r="X754" s="159">
        <v>120</v>
      </c>
      <c r="Y754" s="159">
        <v>1500</v>
      </c>
      <c r="Z754" s="159">
        <v>6441</v>
      </c>
      <c r="AA754" s="159">
        <v>0</v>
      </c>
      <c r="AB754" s="159">
        <v>0</v>
      </c>
      <c r="AC754" s="159">
        <v>0</v>
      </c>
      <c r="AD754" s="207">
        <v>121019</v>
      </c>
      <c r="AE754" s="200">
        <v>6.9124124777821363</v>
      </c>
      <c r="AF754" s="200">
        <v>6.9612565068906811</v>
      </c>
      <c r="AG754" s="200">
        <v>5.7179409989663341</v>
      </c>
      <c r="AH754" s="200">
        <v>0</v>
      </c>
      <c r="AI754" s="200">
        <v>0</v>
      </c>
      <c r="AJ754" s="200">
        <v>0</v>
      </c>
      <c r="AL754" s="197">
        <f t="shared" si="107"/>
        <v>138732.03265871332</v>
      </c>
      <c r="AM754" s="197" t="str">
        <f t="shared" si="108"/>
        <v>Vocational Heavy 8</v>
      </c>
      <c r="AN754" s="3">
        <f t="shared" si="109"/>
        <v>39.354226801570761</v>
      </c>
      <c r="AO754" s="3">
        <f t="shared" si="110"/>
        <v>15.190504913219291</v>
      </c>
      <c r="AP754" s="3">
        <f t="shared" si="111"/>
        <v>0</v>
      </c>
      <c r="AQ754" s="3">
        <f t="shared" si="103"/>
        <v>0</v>
      </c>
      <c r="AR754" s="3">
        <f t="shared" si="104"/>
        <v>15.190504913219291</v>
      </c>
      <c r="AS754" s="81">
        <f t="shared" si="105"/>
        <v>1</v>
      </c>
      <c r="AT754" s="81">
        <f t="shared" si="106"/>
        <v>0</v>
      </c>
    </row>
    <row r="755" spans="1:46" x14ac:dyDescent="0.25">
      <c r="A755" t="s">
        <v>808</v>
      </c>
      <c r="B755">
        <v>2023</v>
      </c>
      <c r="C755" t="s">
        <v>680</v>
      </c>
      <c r="D755" t="s">
        <v>834</v>
      </c>
      <c r="E755" t="s">
        <v>2490</v>
      </c>
      <c r="F755">
        <v>8</v>
      </c>
      <c r="G755" t="s">
        <v>2493</v>
      </c>
      <c r="H755" s="460">
        <v>16100.439504671274</v>
      </c>
      <c r="I755">
        <v>7250</v>
      </c>
      <c r="J755">
        <v>160.0000000231087</v>
      </c>
      <c r="K755" s="67">
        <v>505.68525</v>
      </c>
      <c r="L755" s="159">
        <v>0</v>
      </c>
      <c r="M755" s="159">
        <v>15378</v>
      </c>
      <c r="N755" s="159">
        <v>220</v>
      </c>
      <c r="O755" s="159">
        <v>0</v>
      </c>
      <c r="P755" s="159">
        <v>5997</v>
      </c>
      <c r="Q755" s="159">
        <v>1500</v>
      </c>
      <c r="R755" s="159">
        <v>2000</v>
      </c>
      <c r="S755" s="159">
        <v>56000</v>
      </c>
      <c r="T755" s="159">
        <v>7010</v>
      </c>
      <c r="U755" s="159">
        <v>176990</v>
      </c>
      <c r="V755" s="159">
        <v>4500</v>
      </c>
      <c r="W755" s="159">
        <v>186</v>
      </c>
      <c r="X755" s="159">
        <v>0</v>
      </c>
      <c r="Y755" s="159">
        <v>1500</v>
      </c>
      <c r="Z755" s="159">
        <v>12992</v>
      </c>
      <c r="AA755" s="159">
        <v>0</v>
      </c>
      <c r="AB755" s="159">
        <v>0</v>
      </c>
      <c r="AC755" s="159">
        <v>0</v>
      </c>
      <c r="AD755" s="207">
        <v>284273</v>
      </c>
      <c r="AE755" s="200">
        <v>6.2956266222677009</v>
      </c>
      <c r="AF755" s="200">
        <v>4.5586678124101523</v>
      </c>
      <c r="AG755" s="200">
        <v>4.4051414215106508</v>
      </c>
      <c r="AH755" s="200">
        <v>2095</v>
      </c>
      <c r="AI755" s="200">
        <v>2690</v>
      </c>
      <c r="AJ755" s="200">
        <v>2681</v>
      </c>
      <c r="AL755" s="197">
        <f t="shared" si="107"/>
        <v>325880.8213585504</v>
      </c>
      <c r="AM755" s="197" t="str">
        <f t="shared" si="108"/>
        <v>Vocational Heavy 8</v>
      </c>
      <c r="AN755" s="3">
        <f t="shared" si="109"/>
        <v>9.91466410715317</v>
      </c>
      <c r="AO755" s="3">
        <f t="shared" si="110"/>
        <v>3.8270032490288406</v>
      </c>
      <c r="AP755" s="3">
        <f t="shared" si="111"/>
        <v>130.99432065318703</v>
      </c>
      <c r="AQ755" s="3">
        <f t="shared" si="103"/>
        <v>4.7157955435147336</v>
      </c>
      <c r="AR755" s="3">
        <f t="shared" si="104"/>
        <v>8.5427987925435751</v>
      </c>
      <c r="AS755" s="81">
        <f t="shared" si="105"/>
        <v>0.44798002878976501</v>
      </c>
      <c r="AT755" s="81">
        <f t="shared" si="106"/>
        <v>0.55201997121023483</v>
      </c>
    </row>
    <row r="756" spans="1:46" x14ac:dyDescent="0.25">
      <c r="A756" t="s">
        <v>230</v>
      </c>
      <c r="B756">
        <v>2023</v>
      </c>
      <c r="C756" t="s">
        <v>680</v>
      </c>
      <c r="D756" t="s">
        <v>834</v>
      </c>
      <c r="E756" t="s">
        <v>2490</v>
      </c>
      <c r="F756">
        <v>8</v>
      </c>
      <c r="G756" t="s">
        <v>2494</v>
      </c>
      <c r="H756" s="460">
        <v>15986.851350351601</v>
      </c>
      <c r="I756">
        <v>7250</v>
      </c>
      <c r="J756">
        <v>200.00000001335161</v>
      </c>
      <c r="K756" s="67">
        <v>608.21249999999998</v>
      </c>
      <c r="L756" s="159">
        <v>0</v>
      </c>
      <c r="M756" s="159">
        <v>0</v>
      </c>
      <c r="N756" s="159">
        <v>0</v>
      </c>
      <c r="O756" s="159">
        <v>0</v>
      </c>
      <c r="P756" s="159">
        <v>5119</v>
      </c>
      <c r="Q756" s="159">
        <v>1500</v>
      </c>
      <c r="R756" s="159">
        <v>2000</v>
      </c>
      <c r="S756" s="159">
        <v>56000</v>
      </c>
      <c r="T756" s="159">
        <v>0</v>
      </c>
      <c r="U756" s="159">
        <v>212874</v>
      </c>
      <c r="V756" s="159">
        <v>4500</v>
      </c>
      <c r="W756" s="159">
        <v>186</v>
      </c>
      <c r="X756" s="159">
        <v>0</v>
      </c>
      <c r="Y756" s="159">
        <v>1500</v>
      </c>
      <c r="Z756" s="159">
        <v>10865</v>
      </c>
      <c r="AA756" s="159">
        <v>0</v>
      </c>
      <c r="AB756" s="159">
        <v>0</v>
      </c>
      <c r="AC756" s="159">
        <v>0</v>
      </c>
      <c r="AD756" s="207">
        <v>294544</v>
      </c>
      <c r="AE756" s="200">
        <v>0</v>
      </c>
      <c r="AF756" s="200">
        <v>0</v>
      </c>
      <c r="AG756" s="200">
        <v>0</v>
      </c>
      <c r="AH756" s="200">
        <v>1957</v>
      </c>
      <c r="AI756" s="200">
        <v>2260</v>
      </c>
      <c r="AJ756" s="200">
        <v>2758</v>
      </c>
      <c r="AL756" s="197">
        <f t="shared" si="107"/>
        <v>337655.14363387611</v>
      </c>
      <c r="AM756" s="197" t="str">
        <f t="shared" si="108"/>
        <v>Vocational Heavy 8</v>
      </c>
      <c r="AN756" s="3">
        <f t="shared" si="109"/>
        <v>0</v>
      </c>
      <c r="AO756" s="3">
        <f t="shared" si="110"/>
        <v>0</v>
      </c>
      <c r="AP756" s="3">
        <f t="shared" si="111"/>
        <v>152.97078305392276</v>
      </c>
      <c r="AQ756" s="3">
        <f t="shared" si="103"/>
        <v>5.5069481899412196</v>
      </c>
      <c r="AR756" s="3">
        <f t="shared" si="104"/>
        <v>5.5069481899412196</v>
      </c>
      <c r="AS756" s="81">
        <f t="shared" si="105"/>
        <v>0</v>
      </c>
      <c r="AT756" s="81">
        <f t="shared" si="106"/>
        <v>1</v>
      </c>
    </row>
    <row r="757" spans="1:46" x14ac:dyDescent="0.25">
      <c r="A757" t="s">
        <v>496</v>
      </c>
      <c r="B757">
        <v>2023</v>
      </c>
      <c r="C757" t="s">
        <v>680</v>
      </c>
      <c r="D757" t="s">
        <v>834</v>
      </c>
      <c r="E757" t="s">
        <v>2490</v>
      </c>
      <c r="F757">
        <v>8</v>
      </c>
      <c r="G757" t="s">
        <v>2495</v>
      </c>
      <c r="H757" s="460">
        <v>13192.249564967417</v>
      </c>
      <c r="I757">
        <v>7250</v>
      </c>
      <c r="J757">
        <v>200.00000001335161</v>
      </c>
      <c r="K757" s="67">
        <v>14.192640000000001</v>
      </c>
      <c r="L757" s="159">
        <v>0</v>
      </c>
      <c r="M757" s="159">
        <v>0</v>
      </c>
      <c r="N757" s="159">
        <v>0</v>
      </c>
      <c r="O757" s="159">
        <v>0</v>
      </c>
      <c r="P757" s="159">
        <v>5609</v>
      </c>
      <c r="Q757" s="159">
        <v>1500</v>
      </c>
      <c r="R757" s="159">
        <v>2000</v>
      </c>
      <c r="S757" s="159">
        <v>56000</v>
      </c>
      <c r="T757" s="159">
        <v>0</v>
      </c>
      <c r="U757" s="159">
        <v>9935</v>
      </c>
      <c r="V757" s="159">
        <v>4500</v>
      </c>
      <c r="W757" s="159">
        <v>186</v>
      </c>
      <c r="X757" s="159">
        <v>0</v>
      </c>
      <c r="Y757" s="159">
        <v>1500</v>
      </c>
      <c r="Z757" s="159">
        <v>12051</v>
      </c>
      <c r="AA757" s="159">
        <v>55866</v>
      </c>
      <c r="AB757" s="159">
        <v>33945</v>
      </c>
      <c r="AC757" s="159">
        <v>0</v>
      </c>
      <c r="AD757" s="207">
        <v>183092</v>
      </c>
      <c r="AE757" s="200">
        <v>10.905446714601009</v>
      </c>
      <c r="AF757" s="200">
        <v>9.8145266249139009</v>
      </c>
      <c r="AG757" s="200">
        <v>7.7632175461902895</v>
      </c>
      <c r="AH757" s="200">
        <v>0</v>
      </c>
      <c r="AI757" s="200">
        <v>0</v>
      </c>
      <c r="AJ757" s="200">
        <v>0</v>
      </c>
      <c r="AL757" s="197">
        <f t="shared" si="107"/>
        <v>209890.39178599342</v>
      </c>
      <c r="AM757" s="197" t="str">
        <f t="shared" si="108"/>
        <v>Vocational Heavy 8</v>
      </c>
      <c r="AN757" s="3">
        <f t="shared" si="109"/>
        <v>26.841149970675385</v>
      </c>
      <c r="AO757" s="3">
        <f t="shared" si="110"/>
        <v>10.360529316503467</v>
      </c>
      <c r="AP757" s="3">
        <f t="shared" si="111"/>
        <v>0</v>
      </c>
      <c r="AQ757" s="3">
        <f t="shared" ref="AQ757:AQ820" si="112">AP757*3.6/100</f>
        <v>0</v>
      </c>
      <c r="AR757" s="3">
        <f t="shared" ref="AR757:AR820" si="113">AO757+AQ757</f>
        <v>10.360529316503467</v>
      </c>
      <c r="AS757" s="81">
        <f t="shared" ref="AS757:AS820" si="114">AO757/AR757</f>
        <v>1</v>
      </c>
      <c r="AT757" s="81">
        <f t="shared" ref="AT757:AT820" si="115">AQ757/AR757</f>
        <v>0</v>
      </c>
    </row>
    <row r="758" spans="1:46" x14ac:dyDescent="0.25">
      <c r="A758" t="s">
        <v>828</v>
      </c>
      <c r="B758">
        <v>2023</v>
      </c>
      <c r="C758" t="s">
        <v>680</v>
      </c>
      <c r="D758" t="s">
        <v>834</v>
      </c>
      <c r="E758" t="s">
        <v>2490</v>
      </c>
      <c r="F758">
        <v>8</v>
      </c>
      <c r="G758" t="s">
        <v>2496</v>
      </c>
      <c r="H758" s="460">
        <v>13344.851296612425</v>
      </c>
      <c r="I758">
        <v>7250</v>
      </c>
      <c r="J758">
        <v>200.00000001335161</v>
      </c>
      <c r="K758" s="67">
        <v>99.920625000000001</v>
      </c>
      <c r="L758" s="159">
        <v>0</v>
      </c>
      <c r="M758" s="159">
        <v>0</v>
      </c>
      <c r="N758" s="159">
        <v>0</v>
      </c>
      <c r="O758" s="159">
        <v>0</v>
      </c>
      <c r="P758" s="159">
        <v>5945</v>
      </c>
      <c r="Q758" s="159">
        <v>1500</v>
      </c>
      <c r="R758" s="159">
        <v>2000</v>
      </c>
      <c r="S758" s="159">
        <v>56000</v>
      </c>
      <c r="T758" s="159">
        <v>0</v>
      </c>
      <c r="U758" s="159">
        <v>34972</v>
      </c>
      <c r="V758" s="159">
        <v>4500</v>
      </c>
      <c r="W758" s="159">
        <v>186</v>
      </c>
      <c r="X758" s="159">
        <v>0</v>
      </c>
      <c r="Y758" s="159">
        <v>1500</v>
      </c>
      <c r="Z758" s="159">
        <v>12867</v>
      </c>
      <c r="AA758" s="159">
        <v>24539</v>
      </c>
      <c r="AB758" s="159">
        <v>24894</v>
      </c>
      <c r="AC758" s="159">
        <v>0</v>
      </c>
      <c r="AD758" s="207">
        <v>168903</v>
      </c>
      <c r="AE758" s="200">
        <v>10.991948979284222</v>
      </c>
      <c r="AF758" s="200">
        <v>9.1864608614673529</v>
      </c>
      <c r="AG758" s="200">
        <v>8.0750535399196668</v>
      </c>
      <c r="AH758" s="200">
        <v>0</v>
      </c>
      <c r="AI758" s="200">
        <v>0</v>
      </c>
      <c r="AJ758" s="200">
        <v>615.73670690116182</v>
      </c>
      <c r="AL758" s="197">
        <f t="shared" si="107"/>
        <v>193624.60863298041</v>
      </c>
      <c r="AM758" s="197" t="str">
        <f t="shared" si="108"/>
        <v>Vocational Heavy 8</v>
      </c>
      <c r="AN758" s="3">
        <f t="shared" si="109"/>
        <v>26.880665169884491</v>
      </c>
      <c r="AO758" s="3">
        <f t="shared" si="110"/>
        <v>10.37578195583899</v>
      </c>
      <c r="AP758" s="3">
        <f t="shared" si="111"/>
        <v>10.712856073441618</v>
      </c>
      <c r="AQ758" s="3">
        <f t="shared" si="112"/>
        <v>0.38566281864389823</v>
      </c>
      <c r="AR758" s="3">
        <f t="shared" si="113"/>
        <v>10.761444774482888</v>
      </c>
      <c r="AS758" s="81">
        <f t="shared" si="114"/>
        <v>0.9641625426022381</v>
      </c>
      <c r="AT758" s="81">
        <f t="shared" si="115"/>
        <v>3.5837457397761931E-2</v>
      </c>
    </row>
    <row r="759" spans="1:46" x14ac:dyDescent="0.25">
      <c r="A759" t="s">
        <v>805</v>
      </c>
      <c r="B759">
        <v>2025</v>
      </c>
      <c r="C759" t="s">
        <v>680</v>
      </c>
      <c r="D759" t="s">
        <v>834</v>
      </c>
      <c r="E759" t="s">
        <v>2490</v>
      </c>
      <c r="F759">
        <v>8</v>
      </c>
      <c r="G759" t="s">
        <v>2497</v>
      </c>
      <c r="H759" s="460">
        <v>12068.538843633403</v>
      </c>
      <c r="I759">
        <v>7250</v>
      </c>
      <c r="J759">
        <v>0</v>
      </c>
      <c r="K759" s="67">
        <v>0</v>
      </c>
      <c r="L759" s="159">
        <v>300</v>
      </c>
      <c r="M759" s="159">
        <v>33568</v>
      </c>
      <c r="N759" s="159">
        <v>1920</v>
      </c>
      <c r="O759" s="159">
        <v>506</v>
      </c>
      <c r="P759" s="159">
        <v>7571</v>
      </c>
      <c r="Q759" s="159">
        <v>1500</v>
      </c>
      <c r="R759" s="159">
        <v>2000</v>
      </c>
      <c r="S759" s="159">
        <v>56512</v>
      </c>
      <c r="T759" s="159">
        <v>92</v>
      </c>
      <c r="U759" s="159">
        <v>120</v>
      </c>
      <c r="V759" s="159">
        <v>0</v>
      </c>
      <c r="W759" s="159">
        <v>186</v>
      </c>
      <c r="X759" s="159">
        <v>0</v>
      </c>
      <c r="Y759" s="159">
        <v>0</v>
      </c>
      <c r="Z759" s="159">
        <v>0</v>
      </c>
      <c r="AA759" s="159">
        <v>0</v>
      </c>
      <c r="AB759" s="159">
        <v>0</v>
      </c>
      <c r="AC759" s="159">
        <v>0</v>
      </c>
      <c r="AD759" s="207">
        <v>104275</v>
      </c>
      <c r="AE759" s="200">
        <v>5.4089521707134436</v>
      </c>
      <c r="AF759" s="200">
        <v>7.8226805711722571</v>
      </c>
      <c r="AG759" s="200">
        <v>6.3203287510290513</v>
      </c>
      <c r="AH759" s="200">
        <v>0</v>
      </c>
      <c r="AI759" s="200">
        <v>0</v>
      </c>
      <c r="AJ759" s="200">
        <v>0</v>
      </c>
      <c r="AL759" s="197">
        <f t="shared" si="107"/>
        <v>119537.28509975567</v>
      </c>
      <c r="AM759" s="197" t="str">
        <f t="shared" si="108"/>
        <v>Vocational Heavy 8</v>
      </c>
      <c r="AN759" s="3">
        <f t="shared" si="109"/>
        <v>42.322102023689048</v>
      </c>
      <c r="AO759" s="3">
        <f t="shared" si="110"/>
        <v>16.33608765762758</v>
      </c>
      <c r="AP759" s="3">
        <f t="shared" si="111"/>
        <v>0</v>
      </c>
      <c r="AQ759" s="3">
        <f t="shared" si="112"/>
        <v>0</v>
      </c>
      <c r="AR759" s="3">
        <f t="shared" si="113"/>
        <v>16.33608765762758</v>
      </c>
      <c r="AS759" s="81">
        <f t="shared" si="114"/>
        <v>1</v>
      </c>
      <c r="AT759" s="81">
        <f t="shared" si="115"/>
        <v>0</v>
      </c>
    </row>
    <row r="760" spans="1:46" x14ac:dyDescent="0.25">
      <c r="A760" t="s">
        <v>807</v>
      </c>
      <c r="B760">
        <v>2025</v>
      </c>
      <c r="C760" t="s">
        <v>680</v>
      </c>
      <c r="D760" t="s">
        <v>834</v>
      </c>
      <c r="E760" t="s">
        <v>2490</v>
      </c>
      <c r="F760">
        <v>8</v>
      </c>
      <c r="G760" t="s">
        <v>2498</v>
      </c>
      <c r="H760" s="460">
        <v>12216.840146133192</v>
      </c>
      <c r="I760">
        <v>7250</v>
      </c>
      <c r="J760">
        <v>0</v>
      </c>
      <c r="K760" s="67">
        <v>6.7953600000000005</v>
      </c>
      <c r="L760" s="159">
        <v>300</v>
      </c>
      <c r="M760" s="159">
        <v>33374</v>
      </c>
      <c r="N760" s="159">
        <v>220</v>
      </c>
      <c r="O760" s="159">
        <v>392</v>
      </c>
      <c r="P760" s="159">
        <v>7525</v>
      </c>
      <c r="Q760" s="159">
        <v>1500</v>
      </c>
      <c r="R760" s="159">
        <v>2000</v>
      </c>
      <c r="S760" s="159">
        <v>56512</v>
      </c>
      <c r="T760" s="159">
        <v>0</v>
      </c>
      <c r="U760" s="159">
        <v>3210</v>
      </c>
      <c r="V760" s="159">
        <v>4500</v>
      </c>
      <c r="W760" s="159">
        <v>186</v>
      </c>
      <c r="X760" s="159">
        <v>120</v>
      </c>
      <c r="Y760" s="159">
        <v>1500</v>
      </c>
      <c r="Z760" s="159">
        <v>5447</v>
      </c>
      <c r="AA760" s="159">
        <v>0</v>
      </c>
      <c r="AB760" s="159">
        <v>0</v>
      </c>
      <c r="AC760" s="159">
        <v>0</v>
      </c>
      <c r="AD760" s="207">
        <v>116786</v>
      </c>
      <c r="AE760" s="200">
        <v>7.3015551536306598</v>
      </c>
      <c r="AF760" s="200">
        <v>7.7420204638544234</v>
      </c>
      <c r="AG760" s="200">
        <v>6.4014006021847694</v>
      </c>
      <c r="AH760" s="200">
        <v>0</v>
      </c>
      <c r="AI760" s="200">
        <v>0</v>
      </c>
      <c r="AJ760" s="200">
        <v>0</v>
      </c>
      <c r="AL760" s="197">
        <f t="shared" si="107"/>
        <v>133879.46658029311</v>
      </c>
      <c r="AM760" s="197" t="str">
        <f t="shared" si="108"/>
        <v>Vocational Heavy 8</v>
      </c>
      <c r="AN760" s="3">
        <f t="shared" si="109"/>
        <v>36.191032016391055</v>
      </c>
      <c r="AO760" s="3">
        <f t="shared" si="110"/>
        <v>13.96952994227096</v>
      </c>
      <c r="AP760" s="3">
        <f t="shared" si="111"/>
        <v>0</v>
      </c>
      <c r="AQ760" s="3">
        <f t="shared" si="112"/>
        <v>0</v>
      </c>
      <c r="AR760" s="3">
        <f t="shared" si="113"/>
        <v>13.96952994227096</v>
      </c>
      <c r="AS760" s="81">
        <f t="shared" si="114"/>
        <v>1</v>
      </c>
      <c r="AT760" s="81">
        <f t="shared" si="115"/>
        <v>0</v>
      </c>
    </row>
    <row r="761" spans="1:46" x14ac:dyDescent="0.25">
      <c r="A761" t="s">
        <v>808</v>
      </c>
      <c r="B761">
        <v>2025</v>
      </c>
      <c r="C761" t="s">
        <v>680</v>
      </c>
      <c r="D761" t="s">
        <v>834</v>
      </c>
      <c r="E761" t="s">
        <v>2490</v>
      </c>
      <c r="F761">
        <v>8</v>
      </c>
      <c r="G761" t="s">
        <v>2499</v>
      </c>
      <c r="H761" s="460">
        <v>15332.547347426822</v>
      </c>
      <c r="I761">
        <v>7250</v>
      </c>
      <c r="J761">
        <v>160.0000000231087</v>
      </c>
      <c r="K761" s="67">
        <v>481.60500000000002</v>
      </c>
      <c r="L761" s="159">
        <v>0</v>
      </c>
      <c r="M761" s="159">
        <v>15062</v>
      </c>
      <c r="N761" s="159">
        <v>220</v>
      </c>
      <c r="O761" s="159">
        <v>0</v>
      </c>
      <c r="P761" s="159">
        <v>5975</v>
      </c>
      <c r="Q761" s="159">
        <v>1500</v>
      </c>
      <c r="R761" s="159">
        <v>2000</v>
      </c>
      <c r="S761" s="159">
        <v>56512</v>
      </c>
      <c r="T761" s="159">
        <v>6209</v>
      </c>
      <c r="U761" s="159">
        <v>134849</v>
      </c>
      <c r="V761" s="159">
        <v>4500</v>
      </c>
      <c r="W761" s="159">
        <v>186</v>
      </c>
      <c r="X761" s="159">
        <v>0</v>
      </c>
      <c r="Y761" s="159">
        <v>1500</v>
      </c>
      <c r="Z761" s="159">
        <v>10970</v>
      </c>
      <c r="AA761" s="159">
        <v>0</v>
      </c>
      <c r="AB761" s="159">
        <v>0</v>
      </c>
      <c r="AC761" s="159">
        <v>0</v>
      </c>
      <c r="AD761" s="207">
        <v>239483</v>
      </c>
      <c r="AE761" s="200">
        <v>7.1139270437296362</v>
      </c>
      <c r="AF761" s="200">
        <v>5.0959296915607872</v>
      </c>
      <c r="AG761" s="200">
        <v>4.9205228610394807</v>
      </c>
      <c r="AH761" s="200">
        <v>1944</v>
      </c>
      <c r="AI761" s="200">
        <v>2496</v>
      </c>
      <c r="AJ761" s="200">
        <v>2483</v>
      </c>
      <c r="AL761" s="197">
        <f t="shared" si="107"/>
        <v>274535.100911482</v>
      </c>
      <c r="AM761" s="197" t="str">
        <f t="shared" si="108"/>
        <v>Vocational Heavy 8</v>
      </c>
      <c r="AN761" s="3">
        <f t="shared" si="109"/>
        <v>8.8326935392122721</v>
      </c>
      <c r="AO761" s="3">
        <f t="shared" si="110"/>
        <v>3.4093688406300746</v>
      </c>
      <c r="AP761" s="3">
        <f t="shared" si="111"/>
        <v>121.48483229149838</v>
      </c>
      <c r="AQ761" s="3">
        <f t="shared" si="112"/>
        <v>4.3734539624939419</v>
      </c>
      <c r="AR761" s="3">
        <f t="shared" si="113"/>
        <v>7.7828228031240165</v>
      </c>
      <c r="AS761" s="81">
        <f t="shared" si="114"/>
        <v>0.43806327432529463</v>
      </c>
      <c r="AT761" s="81">
        <f t="shared" si="115"/>
        <v>0.56193672567470532</v>
      </c>
    </row>
    <row r="762" spans="1:46" x14ac:dyDescent="0.25">
      <c r="A762" t="s">
        <v>230</v>
      </c>
      <c r="B762">
        <v>2025</v>
      </c>
      <c r="C762" t="s">
        <v>680</v>
      </c>
      <c r="D762" t="s">
        <v>834</v>
      </c>
      <c r="E762" t="s">
        <v>2490</v>
      </c>
      <c r="F762">
        <v>8</v>
      </c>
      <c r="G762" t="s">
        <v>2500</v>
      </c>
      <c r="H762" s="460">
        <v>15188.408639163772</v>
      </c>
      <c r="I762">
        <v>7250</v>
      </c>
      <c r="J762">
        <v>200.00000001335161</v>
      </c>
      <c r="K762" s="67">
        <v>577.92600000000004</v>
      </c>
      <c r="L762" s="159">
        <v>0</v>
      </c>
      <c r="M762" s="159">
        <v>0</v>
      </c>
      <c r="N762" s="159">
        <v>0</v>
      </c>
      <c r="O762" s="159">
        <v>0</v>
      </c>
      <c r="P762" s="159">
        <v>5048</v>
      </c>
      <c r="Q762" s="159">
        <v>1500</v>
      </c>
      <c r="R762" s="159">
        <v>2000</v>
      </c>
      <c r="S762" s="159">
        <v>56512</v>
      </c>
      <c r="T762" s="159">
        <v>0</v>
      </c>
      <c r="U762" s="159">
        <v>161819</v>
      </c>
      <c r="V762" s="159">
        <v>4500</v>
      </c>
      <c r="W762" s="159">
        <v>186</v>
      </c>
      <c r="X762" s="159">
        <v>0</v>
      </c>
      <c r="Y762" s="159">
        <v>1500</v>
      </c>
      <c r="Z762" s="159">
        <v>9057</v>
      </c>
      <c r="AA762" s="159">
        <v>0</v>
      </c>
      <c r="AB762" s="159">
        <v>0</v>
      </c>
      <c r="AC762" s="159">
        <v>0</v>
      </c>
      <c r="AD762" s="207">
        <v>242122</v>
      </c>
      <c r="AE762" s="200">
        <v>0</v>
      </c>
      <c r="AF762" s="200">
        <v>0</v>
      </c>
      <c r="AG762" s="200">
        <v>0</v>
      </c>
      <c r="AH762" s="200">
        <v>1805</v>
      </c>
      <c r="AI762" s="200">
        <v>2079</v>
      </c>
      <c r="AJ762" s="200">
        <v>2533</v>
      </c>
      <c r="AL762" s="197">
        <f t="shared" si="107"/>
        <v>277560.36003762204</v>
      </c>
      <c r="AM762" s="197" t="str">
        <f t="shared" si="108"/>
        <v>Vocational Heavy 8</v>
      </c>
      <c r="AN762" s="3">
        <f t="shared" si="109"/>
        <v>0</v>
      </c>
      <c r="AO762" s="3">
        <f t="shared" si="110"/>
        <v>0</v>
      </c>
      <c r="AP762" s="3">
        <f t="shared" si="111"/>
        <v>140.80679036126611</v>
      </c>
      <c r="AQ762" s="3">
        <f t="shared" si="112"/>
        <v>5.0690444530055796</v>
      </c>
      <c r="AR762" s="3">
        <f t="shared" si="113"/>
        <v>5.0690444530055796</v>
      </c>
      <c r="AS762" s="81">
        <f t="shared" si="114"/>
        <v>0</v>
      </c>
      <c r="AT762" s="81">
        <f t="shared" si="115"/>
        <v>1</v>
      </c>
    </row>
    <row r="763" spans="1:46" x14ac:dyDescent="0.25">
      <c r="A763" t="s">
        <v>496</v>
      </c>
      <c r="B763">
        <v>2025</v>
      </c>
      <c r="C763" t="s">
        <v>680</v>
      </c>
      <c r="D763" t="s">
        <v>834</v>
      </c>
      <c r="E763" t="s">
        <v>2490</v>
      </c>
      <c r="F763">
        <v>8</v>
      </c>
      <c r="G763" t="s">
        <v>2501</v>
      </c>
      <c r="H763" s="460">
        <v>12741.134527092512</v>
      </c>
      <c r="I763">
        <v>7250</v>
      </c>
      <c r="J763">
        <v>200.00000001335161</v>
      </c>
      <c r="K763" s="67">
        <v>14.287680000000002</v>
      </c>
      <c r="L763" s="159">
        <v>0</v>
      </c>
      <c r="M763" s="159">
        <v>0</v>
      </c>
      <c r="N763" s="159">
        <v>0</v>
      </c>
      <c r="O763" s="159">
        <v>0</v>
      </c>
      <c r="P763" s="159">
        <v>5585</v>
      </c>
      <c r="Q763" s="159">
        <v>1500</v>
      </c>
      <c r="R763" s="159">
        <v>2000</v>
      </c>
      <c r="S763" s="159">
        <v>56512</v>
      </c>
      <c r="T763" s="159">
        <v>0</v>
      </c>
      <c r="U763" s="159">
        <v>6750</v>
      </c>
      <c r="V763" s="159">
        <v>4500</v>
      </c>
      <c r="W763" s="159">
        <v>186</v>
      </c>
      <c r="X763" s="159">
        <v>0</v>
      </c>
      <c r="Y763" s="159">
        <v>1500</v>
      </c>
      <c r="Z763" s="159">
        <v>10165</v>
      </c>
      <c r="AA763" s="159">
        <v>41150</v>
      </c>
      <c r="AB763" s="159">
        <v>25442</v>
      </c>
      <c r="AC763" s="159">
        <v>0</v>
      </c>
      <c r="AD763" s="207">
        <v>155290</v>
      </c>
      <c r="AE763" s="200">
        <v>11.643789831197305</v>
      </c>
      <c r="AF763" s="200">
        <v>10.664284803598155</v>
      </c>
      <c r="AG763" s="200">
        <v>8.4658503781693319</v>
      </c>
      <c r="AH763" s="200">
        <v>0</v>
      </c>
      <c r="AI763" s="200">
        <v>0</v>
      </c>
      <c r="AJ763" s="200">
        <v>0</v>
      </c>
      <c r="AL763" s="197">
        <f t="shared" si="107"/>
        <v>178019.13213273609</v>
      </c>
      <c r="AM763" s="197" t="str">
        <f t="shared" si="108"/>
        <v>Vocational Heavy 8</v>
      </c>
      <c r="AN763" s="3">
        <f t="shared" si="109"/>
        <v>24.863783643956609</v>
      </c>
      <c r="AO763" s="3">
        <f t="shared" si="110"/>
        <v>9.5972773016002773</v>
      </c>
      <c r="AP763" s="3">
        <f t="shared" si="111"/>
        <v>0</v>
      </c>
      <c r="AQ763" s="3">
        <f t="shared" si="112"/>
        <v>0</v>
      </c>
      <c r="AR763" s="3">
        <f t="shared" si="113"/>
        <v>9.5972773016002773</v>
      </c>
      <c r="AS763" s="81">
        <f t="shared" si="114"/>
        <v>1</v>
      </c>
      <c r="AT763" s="81">
        <f t="shared" si="115"/>
        <v>0</v>
      </c>
    </row>
    <row r="764" spans="1:46" x14ac:dyDescent="0.25">
      <c r="A764" t="s">
        <v>828</v>
      </c>
      <c r="B764">
        <v>2025</v>
      </c>
      <c r="C764" t="s">
        <v>680</v>
      </c>
      <c r="D764" t="s">
        <v>834</v>
      </c>
      <c r="E764" t="s">
        <v>2490</v>
      </c>
      <c r="F764">
        <v>8</v>
      </c>
      <c r="G764" t="s">
        <v>2502</v>
      </c>
      <c r="H764" s="460">
        <v>12875.83396375041</v>
      </c>
      <c r="I764">
        <v>7250</v>
      </c>
      <c r="J764">
        <v>200.00000001335161</v>
      </c>
      <c r="K764" s="67">
        <v>103.02375000000001</v>
      </c>
      <c r="L764" s="159">
        <v>0</v>
      </c>
      <c r="M764" s="159">
        <v>0</v>
      </c>
      <c r="N764" s="159">
        <v>0</v>
      </c>
      <c r="O764" s="159">
        <v>0</v>
      </c>
      <c r="P764" s="159">
        <v>5924</v>
      </c>
      <c r="Q764" s="159">
        <v>1500</v>
      </c>
      <c r="R764" s="159">
        <v>2000</v>
      </c>
      <c r="S764" s="159">
        <v>56512</v>
      </c>
      <c r="T764" s="159">
        <v>0</v>
      </c>
      <c r="U764" s="159">
        <v>28847</v>
      </c>
      <c r="V764" s="159">
        <v>4500</v>
      </c>
      <c r="W764" s="159">
        <v>186</v>
      </c>
      <c r="X764" s="159">
        <v>0</v>
      </c>
      <c r="Y764" s="159">
        <v>1500</v>
      </c>
      <c r="Z764" s="159">
        <v>10865</v>
      </c>
      <c r="AA764" s="159">
        <v>17079</v>
      </c>
      <c r="AB764" s="159">
        <v>18052</v>
      </c>
      <c r="AC764" s="159">
        <v>0</v>
      </c>
      <c r="AD764" s="207">
        <v>146965</v>
      </c>
      <c r="AE764" s="200">
        <v>11.77211528129642</v>
      </c>
      <c r="AF764" s="200">
        <v>9.9401862484471</v>
      </c>
      <c r="AG764" s="200">
        <v>8.6964896943230112</v>
      </c>
      <c r="AH764" s="200">
        <v>0</v>
      </c>
      <c r="AI764" s="200">
        <v>0</v>
      </c>
      <c r="AJ764" s="200">
        <v>525.4347096530596</v>
      </c>
      <c r="AL764" s="197">
        <f t="shared" si="107"/>
        <v>168475.63754193805</v>
      </c>
      <c r="AM764" s="197" t="str">
        <f t="shared" si="108"/>
        <v>Vocational Heavy 8</v>
      </c>
      <c r="AN764" s="3">
        <f t="shared" si="109"/>
        <v>24.988429996637514</v>
      </c>
      <c r="AO764" s="3">
        <f t="shared" si="110"/>
        <v>9.6453900759246505</v>
      </c>
      <c r="AP764" s="3">
        <f t="shared" si="111"/>
        <v>9.1417424971017116</v>
      </c>
      <c r="AQ764" s="3">
        <f t="shared" si="112"/>
        <v>0.32910272989566158</v>
      </c>
      <c r="AR764" s="3">
        <f t="shared" si="113"/>
        <v>9.9744928058203115</v>
      </c>
      <c r="AS764" s="81">
        <f t="shared" si="114"/>
        <v>0.96700556747069655</v>
      </c>
      <c r="AT764" s="81">
        <f t="shared" si="115"/>
        <v>3.2994432529303515E-2</v>
      </c>
    </row>
    <row r="765" spans="1:46" x14ac:dyDescent="0.25">
      <c r="A765" t="s">
        <v>805</v>
      </c>
      <c r="B765">
        <v>2030</v>
      </c>
      <c r="C765" t="s">
        <v>680</v>
      </c>
      <c r="D765" t="s">
        <v>834</v>
      </c>
      <c r="E765" t="s">
        <v>2490</v>
      </c>
      <c r="F765">
        <v>8</v>
      </c>
      <c r="G765" t="s">
        <v>2503</v>
      </c>
      <c r="H765" s="460">
        <v>11951.687911886387</v>
      </c>
      <c r="I765">
        <v>7250</v>
      </c>
      <c r="J765">
        <v>0</v>
      </c>
      <c r="K765" s="67">
        <v>0</v>
      </c>
      <c r="L765" s="159">
        <v>300</v>
      </c>
      <c r="M765" s="159">
        <v>33846</v>
      </c>
      <c r="N765" s="159">
        <v>1920</v>
      </c>
      <c r="O765" s="159">
        <v>506</v>
      </c>
      <c r="P765" s="159">
        <v>7555</v>
      </c>
      <c r="Q765" s="159">
        <v>1500</v>
      </c>
      <c r="R765" s="159">
        <v>2000</v>
      </c>
      <c r="S765" s="159">
        <v>57084</v>
      </c>
      <c r="T765" s="159">
        <v>73</v>
      </c>
      <c r="U765" s="159">
        <v>120</v>
      </c>
      <c r="V765" s="159">
        <v>0</v>
      </c>
      <c r="W765" s="159">
        <v>186</v>
      </c>
      <c r="X765" s="159">
        <v>0</v>
      </c>
      <c r="Y765" s="159">
        <v>0</v>
      </c>
      <c r="Z765" s="159">
        <v>0</v>
      </c>
      <c r="AA765" s="159">
        <v>0</v>
      </c>
      <c r="AB765" s="159">
        <v>0</v>
      </c>
      <c r="AC765" s="159">
        <v>0</v>
      </c>
      <c r="AD765" s="207">
        <v>105090</v>
      </c>
      <c r="AE765" s="200">
        <v>5.724936319984903</v>
      </c>
      <c r="AF765" s="200">
        <v>8.5859196185877469</v>
      </c>
      <c r="AG765" s="200">
        <v>6.9874790258094039</v>
      </c>
      <c r="AH765" s="200">
        <v>0</v>
      </c>
      <c r="AI765" s="200">
        <v>0</v>
      </c>
      <c r="AJ765" s="200">
        <v>0</v>
      </c>
      <c r="AL765" s="197">
        <f t="shared" si="107"/>
        <v>120471.57315879475</v>
      </c>
      <c r="AM765" s="197" t="str">
        <f t="shared" si="108"/>
        <v>Vocational Heavy 8</v>
      </c>
      <c r="AN765" s="3">
        <f t="shared" si="109"/>
        <v>39.282666165111891</v>
      </c>
      <c r="AO765" s="3">
        <f t="shared" si="110"/>
        <v>15.162882919647862</v>
      </c>
      <c r="AP765" s="3">
        <f t="shared" si="111"/>
        <v>0</v>
      </c>
      <c r="AQ765" s="3">
        <f t="shared" si="112"/>
        <v>0</v>
      </c>
      <c r="AR765" s="3">
        <f t="shared" si="113"/>
        <v>15.162882919647862</v>
      </c>
      <c r="AS765" s="81">
        <f t="shared" si="114"/>
        <v>1</v>
      </c>
      <c r="AT765" s="81">
        <f t="shared" si="115"/>
        <v>0</v>
      </c>
    </row>
    <row r="766" spans="1:46" x14ac:dyDescent="0.25">
      <c r="A766" t="s">
        <v>807</v>
      </c>
      <c r="B766">
        <v>2030</v>
      </c>
      <c r="C766" t="s">
        <v>680</v>
      </c>
      <c r="D766" t="s">
        <v>834</v>
      </c>
      <c r="E766" t="s">
        <v>2490</v>
      </c>
      <c r="F766">
        <v>8</v>
      </c>
      <c r="G766" t="s">
        <v>2504</v>
      </c>
      <c r="H766" s="460">
        <v>12095.307132740094</v>
      </c>
      <c r="I766">
        <v>7250</v>
      </c>
      <c r="J766">
        <v>0</v>
      </c>
      <c r="K766" s="67">
        <v>9.9792000000000005</v>
      </c>
      <c r="L766" s="159">
        <v>300</v>
      </c>
      <c r="M766" s="159">
        <v>33371</v>
      </c>
      <c r="N766" s="159">
        <v>220</v>
      </c>
      <c r="O766" s="159">
        <v>392</v>
      </c>
      <c r="P766" s="159">
        <v>7442</v>
      </c>
      <c r="Q766" s="159">
        <v>1500</v>
      </c>
      <c r="R766" s="159">
        <v>2000</v>
      </c>
      <c r="S766" s="159">
        <v>57084</v>
      </c>
      <c r="T766" s="159">
        <v>0</v>
      </c>
      <c r="U766" s="159">
        <v>3583</v>
      </c>
      <c r="V766" s="159">
        <v>4500</v>
      </c>
      <c r="W766" s="159">
        <v>186</v>
      </c>
      <c r="X766" s="159">
        <v>120</v>
      </c>
      <c r="Y766" s="159">
        <v>1500</v>
      </c>
      <c r="Z766" s="159">
        <v>4276</v>
      </c>
      <c r="AA766" s="159">
        <v>0</v>
      </c>
      <c r="AB766" s="159">
        <v>0</v>
      </c>
      <c r="AC766" s="159">
        <v>0</v>
      </c>
      <c r="AD766" s="207">
        <v>116474</v>
      </c>
      <c r="AE766" s="200">
        <v>8.237969054255732</v>
      </c>
      <c r="AF766" s="200">
        <v>8.575520872191035</v>
      </c>
      <c r="AG766" s="200">
        <v>7.1643172616143378</v>
      </c>
      <c r="AH766" s="200">
        <v>0</v>
      </c>
      <c r="AI766" s="200">
        <v>0</v>
      </c>
      <c r="AJ766" s="200">
        <v>0</v>
      </c>
      <c r="AL766" s="197">
        <f t="shared" si="107"/>
        <v>133521.80047671005</v>
      </c>
      <c r="AM766" s="197" t="str">
        <f t="shared" si="108"/>
        <v>Vocational Heavy 8</v>
      </c>
      <c r="AN766" s="3">
        <f t="shared" si="109"/>
        <v>32.291224100564435</v>
      </c>
      <c r="AO766" s="3">
        <f t="shared" si="110"/>
        <v>12.464226544883125</v>
      </c>
      <c r="AP766" s="3">
        <f t="shared" si="111"/>
        <v>0</v>
      </c>
      <c r="AQ766" s="3">
        <f t="shared" si="112"/>
        <v>0</v>
      </c>
      <c r="AR766" s="3">
        <f t="shared" si="113"/>
        <v>12.464226544883125</v>
      </c>
      <c r="AS766" s="81">
        <f t="shared" si="114"/>
        <v>1</v>
      </c>
      <c r="AT766" s="81">
        <f t="shared" si="115"/>
        <v>0</v>
      </c>
    </row>
    <row r="767" spans="1:46" x14ac:dyDescent="0.25">
      <c r="A767" t="s">
        <v>808</v>
      </c>
      <c r="B767">
        <v>2030</v>
      </c>
      <c r="C767" t="s">
        <v>680</v>
      </c>
      <c r="D767" t="s">
        <v>834</v>
      </c>
      <c r="E767" t="s">
        <v>2490</v>
      </c>
      <c r="F767">
        <v>8</v>
      </c>
      <c r="G767" t="s">
        <v>2505</v>
      </c>
      <c r="H767" s="460">
        <v>14545.735390099224</v>
      </c>
      <c r="I767">
        <v>7250</v>
      </c>
      <c r="J767">
        <v>160.0000000231087</v>
      </c>
      <c r="K767" s="67">
        <v>459.88312500000001</v>
      </c>
      <c r="L767" s="159">
        <v>0</v>
      </c>
      <c r="M767" s="159">
        <v>14726</v>
      </c>
      <c r="N767" s="159">
        <v>220</v>
      </c>
      <c r="O767" s="159">
        <v>0</v>
      </c>
      <c r="P767" s="159">
        <v>5953</v>
      </c>
      <c r="Q767" s="159">
        <v>1500</v>
      </c>
      <c r="R767" s="159">
        <v>2000</v>
      </c>
      <c r="S767" s="159">
        <v>57084</v>
      </c>
      <c r="T767" s="159">
        <v>4672</v>
      </c>
      <c r="U767" s="159">
        <v>91977</v>
      </c>
      <c r="V767" s="159">
        <v>4500</v>
      </c>
      <c r="W767" s="159">
        <v>186</v>
      </c>
      <c r="X767" s="159">
        <v>0</v>
      </c>
      <c r="Y767" s="159">
        <v>1500</v>
      </c>
      <c r="Z767" s="159">
        <v>8672</v>
      </c>
      <c r="AA767" s="159">
        <v>0</v>
      </c>
      <c r="AB767" s="159">
        <v>0</v>
      </c>
      <c r="AC767" s="159">
        <v>0</v>
      </c>
      <c r="AD767" s="207">
        <v>192990</v>
      </c>
      <c r="AE767" s="200">
        <v>7.8640150355121952</v>
      </c>
      <c r="AF767" s="200">
        <v>5.6857567134652092</v>
      </c>
      <c r="AG767" s="200">
        <v>5.469922399431554</v>
      </c>
      <c r="AH767" s="200">
        <v>1834</v>
      </c>
      <c r="AI767" s="200">
        <v>2344</v>
      </c>
      <c r="AJ767" s="200">
        <v>2327</v>
      </c>
      <c r="AL767" s="197">
        <f t="shared" si="107"/>
        <v>221237.11964902273</v>
      </c>
      <c r="AM767" s="197" t="str">
        <f t="shared" si="108"/>
        <v>Vocational Heavy 8</v>
      </c>
      <c r="AN767" s="3">
        <f t="shared" si="109"/>
        <v>7.9550742766441811</v>
      </c>
      <c r="AO767" s="3">
        <f t="shared" si="110"/>
        <v>3.0706128592917659</v>
      </c>
      <c r="AP767" s="3">
        <f t="shared" si="111"/>
        <v>114.24509426224418</v>
      </c>
      <c r="AQ767" s="3">
        <f t="shared" si="112"/>
        <v>4.1128233934407907</v>
      </c>
      <c r="AR767" s="3">
        <f t="shared" si="113"/>
        <v>7.183436252732557</v>
      </c>
      <c r="AS767" s="81">
        <f t="shared" si="114"/>
        <v>0.42745738268697159</v>
      </c>
      <c r="AT767" s="81">
        <f t="shared" si="115"/>
        <v>0.57254261731302836</v>
      </c>
    </row>
    <row r="768" spans="1:46" x14ac:dyDescent="0.25">
      <c r="A768" t="s">
        <v>230</v>
      </c>
      <c r="B768">
        <v>2030</v>
      </c>
      <c r="C768" t="s">
        <v>680</v>
      </c>
      <c r="D768" t="s">
        <v>834</v>
      </c>
      <c r="E768" t="s">
        <v>2490</v>
      </c>
      <c r="F768">
        <v>8</v>
      </c>
      <c r="G768" t="s">
        <v>2506</v>
      </c>
      <c r="H768" s="460">
        <v>14329.793013885865</v>
      </c>
      <c r="I768">
        <v>7250</v>
      </c>
      <c r="J768">
        <v>200.00000001335161</v>
      </c>
      <c r="K768" s="67">
        <v>548.13599999999997</v>
      </c>
      <c r="L768" s="159">
        <v>0</v>
      </c>
      <c r="M768" s="159">
        <v>0</v>
      </c>
      <c r="N768" s="159">
        <v>0</v>
      </c>
      <c r="O768" s="159">
        <v>0</v>
      </c>
      <c r="P768" s="159">
        <v>5040</v>
      </c>
      <c r="Q768" s="159">
        <v>1500</v>
      </c>
      <c r="R768" s="159">
        <v>2000</v>
      </c>
      <c r="S768" s="159">
        <v>57084</v>
      </c>
      <c r="T768" s="159">
        <v>0</v>
      </c>
      <c r="U768" s="159">
        <v>109627</v>
      </c>
      <c r="V768" s="159">
        <v>4500</v>
      </c>
      <c r="W768" s="159">
        <v>186</v>
      </c>
      <c r="X768" s="159">
        <v>0</v>
      </c>
      <c r="Y768" s="159">
        <v>1500</v>
      </c>
      <c r="Z768" s="159">
        <v>7173</v>
      </c>
      <c r="AA768" s="159">
        <v>0</v>
      </c>
      <c r="AB768" s="159">
        <v>0</v>
      </c>
      <c r="AC768" s="159">
        <v>0</v>
      </c>
      <c r="AD768" s="207">
        <v>188610</v>
      </c>
      <c r="AE768" s="200">
        <v>0</v>
      </c>
      <c r="AF768" s="200">
        <v>0</v>
      </c>
      <c r="AG768" s="200">
        <v>0</v>
      </c>
      <c r="AH768" s="200">
        <v>1691</v>
      </c>
      <c r="AI768" s="200">
        <v>1922</v>
      </c>
      <c r="AJ768" s="200">
        <v>2337</v>
      </c>
      <c r="AL768" s="197">
        <f t="shared" si="107"/>
        <v>216216.03781026052</v>
      </c>
      <c r="AM768" s="197" t="str">
        <f t="shared" si="108"/>
        <v>Vocational Heavy 8</v>
      </c>
      <c r="AN768" s="3">
        <f t="shared" si="109"/>
        <v>0</v>
      </c>
      <c r="AO768" s="3">
        <f t="shared" si="110"/>
        <v>0</v>
      </c>
      <c r="AP768" s="3">
        <f t="shared" si="111"/>
        <v>130.83997166540323</v>
      </c>
      <c r="AQ768" s="3">
        <f t="shared" si="112"/>
        <v>4.7102389799545161</v>
      </c>
      <c r="AR768" s="3">
        <f t="shared" si="113"/>
        <v>4.7102389799545161</v>
      </c>
      <c r="AS768" s="81">
        <f t="shared" si="114"/>
        <v>0</v>
      </c>
      <c r="AT768" s="81">
        <f t="shared" si="115"/>
        <v>1</v>
      </c>
    </row>
    <row r="769" spans="1:46" x14ac:dyDescent="0.25">
      <c r="A769" t="s">
        <v>496</v>
      </c>
      <c r="B769">
        <v>2030</v>
      </c>
      <c r="C769" t="s">
        <v>680</v>
      </c>
      <c r="D769" t="s">
        <v>834</v>
      </c>
      <c r="E769" t="s">
        <v>2490</v>
      </c>
      <c r="F769">
        <v>8</v>
      </c>
      <c r="G769" t="s">
        <v>2507</v>
      </c>
      <c r="H769" s="460">
        <v>12367.166241337283</v>
      </c>
      <c r="I769">
        <v>7250</v>
      </c>
      <c r="J769">
        <v>200.00000001335161</v>
      </c>
      <c r="K769" s="67">
        <v>14.240160000000001</v>
      </c>
      <c r="L769" s="159">
        <v>0</v>
      </c>
      <c r="M769" s="159">
        <v>0</v>
      </c>
      <c r="N769" s="159">
        <v>0</v>
      </c>
      <c r="O769" s="159">
        <v>0</v>
      </c>
      <c r="P769" s="159">
        <v>5561</v>
      </c>
      <c r="Q769" s="159">
        <v>1500</v>
      </c>
      <c r="R769" s="159">
        <v>2000</v>
      </c>
      <c r="S769" s="159">
        <v>57084</v>
      </c>
      <c r="T769" s="159">
        <v>0</v>
      </c>
      <c r="U769" s="159">
        <v>5113</v>
      </c>
      <c r="V769" s="159">
        <v>4500</v>
      </c>
      <c r="W769" s="159">
        <v>186</v>
      </c>
      <c r="X769" s="159">
        <v>0</v>
      </c>
      <c r="Y769" s="159">
        <v>1500</v>
      </c>
      <c r="Z769" s="159">
        <v>8028</v>
      </c>
      <c r="AA769" s="159">
        <v>35625</v>
      </c>
      <c r="AB769" s="159">
        <v>20737</v>
      </c>
      <c r="AC769" s="159">
        <v>0</v>
      </c>
      <c r="AD769" s="207">
        <v>141834</v>
      </c>
      <c r="AE769" s="200">
        <v>12.393861769970375</v>
      </c>
      <c r="AF769" s="200">
        <v>11.655411389581738</v>
      </c>
      <c r="AG769" s="200">
        <v>9.2982693200063888</v>
      </c>
      <c r="AH769" s="200">
        <v>0</v>
      </c>
      <c r="AI769" s="200">
        <v>0</v>
      </c>
      <c r="AJ769" s="200">
        <v>0</v>
      </c>
      <c r="AL769" s="197">
        <f t="shared" si="107"/>
        <v>162593.63504999995</v>
      </c>
      <c r="AM769" s="197" t="str">
        <f t="shared" si="108"/>
        <v>Vocational Heavy 8</v>
      </c>
      <c r="AN769" s="3">
        <f t="shared" si="109"/>
        <v>22.981990038246419</v>
      </c>
      <c r="AO769" s="3">
        <f t="shared" si="110"/>
        <v>8.8709158066244864</v>
      </c>
      <c r="AP769" s="3">
        <f t="shared" si="111"/>
        <v>0</v>
      </c>
      <c r="AQ769" s="3">
        <f t="shared" si="112"/>
        <v>0</v>
      </c>
      <c r="AR769" s="3">
        <f t="shared" si="113"/>
        <v>8.8709158066244864</v>
      </c>
      <c r="AS769" s="81">
        <f t="shared" si="114"/>
        <v>1</v>
      </c>
      <c r="AT769" s="81">
        <f t="shared" si="115"/>
        <v>0</v>
      </c>
    </row>
    <row r="770" spans="1:46" x14ac:dyDescent="0.25">
      <c r="A770" t="s">
        <v>828</v>
      </c>
      <c r="B770">
        <v>2030</v>
      </c>
      <c r="C770" t="s">
        <v>680</v>
      </c>
      <c r="D770" t="s">
        <v>834</v>
      </c>
      <c r="E770" t="s">
        <v>2490</v>
      </c>
      <c r="F770">
        <v>8</v>
      </c>
      <c r="G770" t="s">
        <v>2508</v>
      </c>
      <c r="H770" s="460">
        <v>12466.087733972403</v>
      </c>
      <c r="I770">
        <v>7250</v>
      </c>
      <c r="J770">
        <v>200.00000001335161</v>
      </c>
      <c r="K770" s="67">
        <v>104.885625</v>
      </c>
      <c r="L770" s="159">
        <v>0</v>
      </c>
      <c r="M770" s="159">
        <v>0</v>
      </c>
      <c r="N770" s="159">
        <v>0</v>
      </c>
      <c r="O770" s="159">
        <v>0</v>
      </c>
      <c r="P770" s="159">
        <v>5902</v>
      </c>
      <c r="Q770" s="159">
        <v>1500</v>
      </c>
      <c r="R770" s="159">
        <v>2000</v>
      </c>
      <c r="S770" s="159">
        <v>57084</v>
      </c>
      <c r="T770" s="159">
        <v>0</v>
      </c>
      <c r="U770" s="159">
        <v>20977</v>
      </c>
      <c r="V770" s="159">
        <v>4500</v>
      </c>
      <c r="W770" s="159">
        <v>186</v>
      </c>
      <c r="X770" s="159">
        <v>0</v>
      </c>
      <c r="Y770" s="159">
        <v>1500</v>
      </c>
      <c r="Z770" s="159">
        <v>8589</v>
      </c>
      <c r="AA770" s="159">
        <v>14077</v>
      </c>
      <c r="AB770" s="159">
        <v>14300</v>
      </c>
      <c r="AC770" s="159">
        <v>0</v>
      </c>
      <c r="AD770" s="207">
        <v>130615</v>
      </c>
      <c r="AE770" s="200">
        <v>12.570756497499477</v>
      </c>
      <c r="AF770" s="200">
        <v>10.841773779236531</v>
      </c>
      <c r="AG770" s="200">
        <v>9.4268684045491948</v>
      </c>
      <c r="AH770" s="200">
        <v>0</v>
      </c>
      <c r="AI770" s="200">
        <v>0</v>
      </c>
      <c r="AJ770" s="200">
        <v>446.64210344494029</v>
      </c>
      <c r="AL770" s="197">
        <f t="shared" si="107"/>
        <v>149732.55807532568</v>
      </c>
      <c r="AM770" s="197" t="str">
        <f t="shared" si="108"/>
        <v>Vocational Heavy 8</v>
      </c>
      <c r="AN770" s="3">
        <f t="shared" si="109"/>
        <v>23.165210156649589</v>
      </c>
      <c r="AO770" s="3">
        <f t="shared" si="110"/>
        <v>8.9416377172044417</v>
      </c>
      <c r="AP770" s="3">
        <f t="shared" si="111"/>
        <v>7.7708743313770414</v>
      </c>
      <c r="AQ770" s="3">
        <f t="shared" si="112"/>
        <v>0.2797514759295735</v>
      </c>
      <c r="AR770" s="3">
        <f t="shared" si="113"/>
        <v>9.2213891931340157</v>
      </c>
      <c r="AS770" s="81">
        <f t="shared" si="114"/>
        <v>0.96966276229422466</v>
      </c>
      <c r="AT770" s="81">
        <f t="shared" si="115"/>
        <v>3.0337237705775233E-2</v>
      </c>
    </row>
    <row r="771" spans="1:46" x14ac:dyDescent="0.25">
      <c r="A771" t="s">
        <v>805</v>
      </c>
      <c r="B771">
        <v>2035</v>
      </c>
      <c r="C771" t="s">
        <v>680</v>
      </c>
      <c r="D771" t="s">
        <v>834</v>
      </c>
      <c r="E771" t="s">
        <v>2490</v>
      </c>
      <c r="F771">
        <v>8</v>
      </c>
      <c r="G771" t="s">
        <v>2509</v>
      </c>
      <c r="H771" s="460">
        <v>11952.853944542599</v>
      </c>
      <c r="I771">
        <v>7250</v>
      </c>
      <c r="J771">
        <v>0</v>
      </c>
      <c r="K771" s="67">
        <v>0</v>
      </c>
      <c r="L771" s="159">
        <v>300</v>
      </c>
      <c r="M771" s="159">
        <v>34100</v>
      </c>
      <c r="N771" s="159">
        <v>1920</v>
      </c>
      <c r="O771" s="159">
        <v>506</v>
      </c>
      <c r="P771" s="159">
        <v>7561</v>
      </c>
      <c r="Q771" s="159">
        <v>1500</v>
      </c>
      <c r="R771" s="159">
        <v>2000</v>
      </c>
      <c r="S771" s="159">
        <v>57084</v>
      </c>
      <c r="T771" s="159">
        <v>63</v>
      </c>
      <c r="U771" s="159">
        <v>120</v>
      </c>
      <c r="V771" s="159">
        <v>0</v>
      </c>
      <c r="W771" s="159">
        <v>186</v>
      </c>
      <c r="X771" s="159">
        <v>0</v>
      </c>
      <c r="Y771" s="159">
        <v>0</v>
      </c>
      <c r="Z771" s="159">
        <v>0</v>
      </c>
      <c r="AA771" s="159">
        <v>0</v>
      </c>
      <c r="AB771" s="159">
        <v>0</v>
      </c>
      <c r="AC771" s="159">
        <v>0</v>
      </c>
      <c r="AD771" s="207">
        <v>105340</v>
      </c>
      <c r="AE771" s="200">
        <v>5.9453170495513721</v>
      </c>
      <c r="AF771" s="200">
        <v>9.274882831527103</v>
      </c>
      <c r="AG771" s="200">
        <v>7.6126829515349135</v>
      </c>
      <c r="AH771" s="200">
        <v>0</v>
      </c>
      <c r="AI771" s="200">
        <v>0</v>
      </c>
      <c r="AJ771" s="200">
        <v>0</v>
      </c>
      <c r="AL771" s="197">
        <f t="shared" ref="AL771:AL834" si="116">AD771*USD2023_to_CAD2020</f>
        <v>120758.16458794785</v>
      </c>
      <c r="AM771" s="197" t="str">
        <f t="shared" ref="AM771:AM834" si="117">IF(AND(F771&lt;5, D771="School"), $BF$2, IF(F771&lt;5, $BA$2,
IF(AND(F771&lt;=7, D771="School"), $BE$2, IF(F771&lt;7, $AZ$2,
IF(AND(F771&lt;8, E771="DayCab"), $BC$2, IF(F771&lt;8, $AZ$2,
IF(VLOOKUP(D771, $BH$3:$BI$10, 2, FALSE)="Longhaul", $AY$2,
IF(VLOOKUP(D771, $BH$3:$BI$10, 2, FALSE)="Drayage", $BB$2,
IF(VLOOKUP(D771, $BH$3:$BI$10, 2, FALSE)="Regional", $BC$2,
IF(VLOOKUP(D771, $BH$3:$BI$10, 2, FALSE)="Transit", $BE$2,
IF(VLOOKUP(D771, $BH$3:$BI$10, 2, FALSE)="Vocational", $BD$2, NA())))))))))))</f>
        <v>Vocational Heavy 8</v>
      </c>
      <c r="AN771" s="3">
        <f t="shared" ref="AN771:AN834" si="118">(IFERROR(L_100km_to_mpg/AE771 * HLOOKUP($AM771, $AY$2:$BF$6, 2, FALSE) +
L_100km_to_mpg/AF771 * HLOOKUP($AM771, $AY$2:$BF$6, 3, FALSE) +
L_100km_to_mpg/AG771 * HLOOKUP($AM771, $AY$2:$BF$6, 4, FALSE), 0)) *
IF(ISERROR(SEARCH("PHEV",$A771)), 1, 1-HLOOKUP($AM771, $AY$2:$BF$6, 5, FALSE))</f>
        <v>37.116375286715552</v>
      </c>
      <c r="AO771" s="3">
        <f t="shared" ref="AO771:AO834" si="119">AN771*DSL_PJ_ML*10</f>
        <v>14.326707115771358</v>
      </c>
      <c r="AP771" s="3">
        <f t="shared" ref="AP771:AP834" si="120">(AH771/km_mile/10 * HLOOKUP($AM771, $AY$2:$BF$6, 2, FALSE) +
AI771/km_mile/10 * HLOOKUP($AM771, $AY$2:$BF$6, 3, FALSE) +
AJ771/km_mile/10 * HLOOKUP($AM771, $AY$2:$BF$6, 4, FALSE)) *
IF(ISERROR(SEARCH("PHEV",$A771)), 1, HLOOKUP($AM771, $AY$2:$BF$6, 5, FALSE))</f>
        <v>0</v>
      </c>
      <c r="AQ771" s="3">
        <f t="shared" si="112"/>
        <v>0</v>
      </c>
      <c r="AR771" s="3">
        <f t="shared" si="113"/>
        <v>14.326707115771358</v>
      </c>
      <c r="AS771" s="81">
        <f t="shared" si="114"/>
        <v>1</v>
      </c>
      <c r="AT771" s="81">
        <f t="shared" si="115"/>
        <v>0</v>
      </c>
    </row>
    <row r="772" spans="1:46" x14ac:dyDescent="0.25">
      <c r="A772" t="s">
        <v>807</v>
      </c>
      <c r="B772">
        <v>2035</v>
      </c>
      <c r="C772" t="s">
        <v>680</v>
      </c>
      <c r="D772" t="s">
        <v>834</v>
      </c>
      <c r="E772" t="s">
        <v>2490</v>
      </c>
      <c r="F772">
        <v>8</v>
      </c>
      <c r="G772" t="s">
        <v>2510</v>
      </c>
      <c r="H772" s="460">
        <v>12087.06316188788</v>
      </c>
      <c r="I772">
        <v>7250</v>
      </c>
      <c r="J772">
        <v>0</v>
      </c>
      <c r="K772" s="67">
        <v>10.692000000000002</v>
      </c>
      <c r="L772" s="159">
        <v>300</v>
      </c>
      <c r="M772" s="159">
        <v>33409</v>
      </c>
      <c r="N772" s="159">
        <v>220</v>
      </c>
      <c r="O772" s="159">
        <v>392</v>
      </c>
      <c r="P772" s="159">
        <v>7397</v>
      </c>
      <c r="Q772" s="159">
        <v>1500</v>
      </c>
      <c r="R772" s="159">
        <v>2000</v>
      </c>
      <c r="S772" s="159">
        <v>57084</v>
      </c>
      <c r="T772" s="159">
        <v>0</v>
      </c>
      <c r="U772" s="159">
        <v>3637</v>
      </c>
      <c r="V772" s="159">
        <v>4500</v>
      </c>
      <c r="W772" s="159">
        <v>186</v>
      </c>
      <c r="X772" s="159">
        <v>120</v>
      </c>
      <c r="Y772" s="159">
        <v>1500</v>
      </c>
      <c r="Z772" s="159">
        <v>3523</v>
      </c>
      <c r="AA772" s="159">
        <v>0</v>
      </c>
      <c r="AB772" s="159">
        <v>0</v>
      </c>
      <c r="AC772" s="159">
        <v>0</v>
      </c>
      <c r="AD772" s="207">
        <v>115768</v>
      </c>
      <c r="AE772" s="200">
        <v>8.8065919645650208</v>
      </c>
      <c r="AF772" s="200">
        <v>9.3760402879322164</v>
      </c>
      <c r="AG772" s="200">
        <v>7.8775544624787761</v>
      </c>
      <c r="AH772" s="200">
        <v>0</v>
      </c>
      <c r="AI772" s="200">
        <v>0</v>
      </c>
      <c r="AJ772" s="200">
        <v>0</v>
      </c>
      <c r="AL772" s="197">
        <f t="shared" si="116"/>
        <v>132712.46628078172</v>
      </c>
      <c r="AM772" s="197" t="str">
        <f t="shared" si="117"/>
        <v>Vocational Heavy 8</v>
      </c>
      <c r="AN772" s="3">
        <f t="shared" si="118"/>
        <v>29.807655486139986</v>
      </c>
      <c r="AO772" s="3">
        <f t="shared" si="119"/>
        <v>11.505583362031263</v>
      </c>
      <c r="AP772" s="3">
        <f t="shared" si="120"/>
        <v>0</v>
      </c>
      <c r="AQ772" s="3">
        <f t="shared" si="112"/>
        <v>0</v>
      </c>
      <c r="AR772" s="3">
        <f t="shared" si="113"/>
        <v>11.505583362031263</v>
      </c>
      <c r="AS772" s="81">
        <f t="shared" si="114"/>
        <v>1</v>
      </c>
      <c r="AT772" s="81">
        <f t="shared" si="115"/>
        <v>0</v>
      </c>
    </row>
    <row r="773" spans="1:46" x14ac:dyDescent="0.25">
      <c r="A773" t="s">
        <v>808</v>
      </c>
      <c r="B773">
        <v>2035</v>
      </c>
      <c r="C773" t="s">
        <v>680</v>
      </c>
      <c r="D773" t="s">
        <v>834</v>
      </c>
      <c r="E773" t="s">
        <v>2490</v>
      </c>
      <c r="F773">
        <v>8</v>
      </c>
      <c r="G773" t="s">
        <v>2511</v>
      </c>
      <c r="H773" s="460">
        <v>13941.046735247699</v>
      </c>
      <c r="I773">
        <v>7250</v>
      </c>
      <c r="J773">
        <v>160.0000000231087</v>
      </c>
      <c r="K773" s="67">
        <v>424.50749999999999</v>
      </c>
      <c r="L773" s="159">
        <v>0</v>
      </c>
      <c r="M773" s="159">
        <v>14326</v>
      </c>
      <c r="N773" s="159">
        <v>220</v>
      </c>
      <c r="O773" s="159">
        <v>0</v>
      </c>
      <c r="P773" s="159">
        <v>5931</v>
      </c>
      <c r="Q773" s="159">
        <v>1500</v>
      </c>
      <c r="R773" s="159">
        <v>2000</v>
      </c>
      <c r="S773" s="159">
        <v>57084</v>
      </c>
      <c r="T773" s="159">
        <v>3773</v>
      </c>
      <c r="U773" s="159">
        <v>67921</v>
      </c>
      <c r="V773" s="159">
        <v>4500</v>
      </c>
      <c r="W773" s="159">
        <v>186</v>
      </c>
      <c r="X773" s="159">
        <v>0</v>
      </c>
      <c r="Y773" s="159">
        <v>1500</v>
      </c>
      <c r="Z773" s="159">
        <v>7089</v>
      </c>
      <c r="AA773" s="159">
        <v>0</v>
      </c>
      <c r="AB773" s="159">
        <v>0</v>
      </c>
      <c r="AC773" s="159">
        <v>0</v>
      </c>
      <c r="AD773" s="207">
        <v>166030</v>
      </c>
      <c r="AE773" s="200">
        <v>8.6351788603767385</v>
      </c>
      <c r="AF773" s="200">
        <v>6.2502500530773411</v>
      </c>
      <c r="AG773" s="200">
        <v>6.0085431906556073</v>
      </c>
      <c r="AH773" s="200">
        <v>1718</v>
      </c>
      <c r="AI773" s="200">
        <v>2182</v>
      </c>
      <c r="AJ773" s="200">
        <v>2158</v>
      </c>
      <c r="AL773" s="197">
        <f t="shared" si="116"/>
        <v>190331.09992915305</v>
      </c>
      <c r="AM773" s="197" t="str">
        <f t="shared" si="117"/>
        <v>Vocational Heavy 8</v>
      </c>
      <c r="AN773" s="3">
        <f t="shared" si="118"/>
        <v>7.2414933792145133</v>
      </c>
      <c r="AO773" s="3">
        <f t="shared" si="119"/>
        <v>2.7951747422366457</v>
      </c>
      <c r="AP773" s="3">
        <f t="shared" si="120"/>
        <v>106.52416518572832</v>
      </c>
      <c r="AQ773" s="3">
        <f t="shared" si="112"/>
        <v>3.8348699466862195</v>
      </c>
      <c r="AR773" s="3">
        <f t="shared" si="113"/>
        <v>6.6300446889228652</v>
      </c>
      <c r="AS773" s="81">
        <f t="shared" si="114"/>
        <v>0.42159214204191997</v>
      </c>
      <c r="AT773" s="81">
        <f t="shared" si="115"/>
        <v>0.57840785795808003</v>
      </c>
    </row>
    <row r="774" spans="1:46" x14ac:dyDescent="0.25">
      <c r="A774" t="s">
        <v>230</v>
      </c>
      <c r="B774">
        <v>2035</v>
      </c>
      <c r="C774" t="s">
        <v>680</v>
      </c>
      <c r="D774" t="s">
        <v>834</v>
      </c>
      <c r="E774" t="s">
        <v>2490</v>
      </c>
      <c r="F774">
        <v>8</v>
      </c>
      <c r="G774" t="s">
        <v>2512</v>
      </c>
      <c r="H774" s="460">
        <v>13680.409253765516</v>
      </c>
      <c r="I774">
        <v>7250</v>
      </c>
      <c r="J774">
        <v>200.00000001335161</v>
      </c>
      <c r="K774" s="67">
        <v>510.89850000000001</v>
      </c>
      <c r="L774" s="159">
        <v>0</v>
      </c>
      <c r="M774" s="159">
        <v>0</v>
      </c>
      <c r="N774" s="159">
        <v>0</v>
      </c>
      <c r="O774" s="159">
        <v>0</v>
      </c>
      <c r="P774" s="159">
        <v>5033</v>
      </c>
      <c r="Q774" s="159">
        <v>1500</v>
      </c>
      <c r="R774" s="159">
        <v>2000</v>
      </c>
      <c r="S774" s="159">
        <v>57084</v>
      </c>
      <c r="T774" s="159">
        <v>0</v>
      </c>
      <c r="U774" s="159">
        <v>81744</v>
      </c>
      <c r="V774" s="159">
        <v>4500</v>
      </c>
      <c r="W774" s="159">
        <v>186</v>
      </c>
      <c r="X774" s="159">
        <v>0</v>
      </c>
      <c r="Y774" s="159">
        <v>1500</v>
      </c>
      <c r="Z774" s="159">
        <v>5879</v>
      </c>
      <c r="AA774" s="159">
        <v>0</v>
      </c>
      <c r="AB774" s="159">
        <v>0</v>
      </c>
      <c r="AC774" s="159">
        <v>0</v>
      </c>
      <c r="AD774" s="207">
        <v>159426</v>
      </c>
      <c r="AE774" s="200">
        <v>0</v>
      </c>
      <c r="AF774" s="200">
        <v>0</v>
      </c>
      <c r="AG774" s="200">
        <v>0</v>
      </c>
      <c r="AH774" s="200">
        <v>1573</v>
      </c>
      <c r="AI774" s="200">
        <v>1766</v>
      </c>
      <c r="AJ774" s="200">
        <v>2141</v>
      </c>
      <c r="AL774" s="197">
        <f t="shared" si="116"/>
        <v>182760.5007366449</v>
      </c>
      <c r="AM774" s="197" t="str">
        <f t="shared" si="117"/>
        <v>Vocational Heavy 8</v>
      </c>
      <c r="AN774" s="3">
        <f t="shared" si="118"/>
        <v>0</v>
      </c>
      <c r="AO774" s="3">
        <f t="shared" si="119"/>
        <v>0</v>
      </c>
      <c r="AP774" s="3">
        <f t="shared" si="120"/>
        <v>120.75633489505014</v>
      </c>
      <c r="AQ774" s="3">
        <f t="shared" si="112"/>
        <v>4.3472280562218053</v>
      </c>
      <c r="AR774" s="3">
        <f t="shared" si="113"/>
        <v>4.3472280562218053</v>
      </c>
      <c r="AS774" s="81">
        <f t="shared" si="114"/>
        <v>0</v>
      </c>
      <c r="AT774" s="81">
        <f t="shared" si="115"/>
        <v>1</v>
      </c>
    </row>
    <row r="775" spans="1:46" x14ac:dyDescent="0.25">
      <c r="A775" t="s">
        <v>496</v>
      </c>
      <c r="B775">
        <v>2035</v>
      </c>
      <c r="C775" t="s">
        <v>680</v>
      </c>
      <c r="D775" t="s">
        <v>834</v>
      </c>
      <c r="E775" t="s">
        <v>2490</v>
      </c>
      <c r="F775">
        <v>8</v>
      </c>
      <c r="G775" t="s">
        <v>2513</v>
      </c>
      <c r="H775" s="460">
        <v>12246.837580815281</v>
      </c>
      <c r="I775">
        <v>7250</v>
      </c>
      <c r="J775">
        <v>200.00000001335161</v>
      </c>
      <c r="K775" s="67">
        <v>14.256000000000002</v>
      </c>
      <c r="L775" s="159">
        <v>0</v>
      </c>
      <c r="M775" s="159">
        <v>0</v>
      </c>
      <c r="N775" s="159">
        <v>0</v>
      </c>
      <c r="O775" s="159">
        <v>0</v>
      </c>
      <c r="P775" s="159">
        <v>5537</v>
      </c>
      <c r="Q775" s="159">
        <v>1500</v>
      </c>
      <c r="R775" s="159">
        <v>2000</v>
      </c>
      <c r="S775" s="159">
        <v>57084</v>
      </c>
      <c r="T775" s="159">
        <v>0</v>
      </c>
      <c r="U775" s="159">
        <v>4849</v>
      </c>
      <c r="V775" s="159">
        <v>4500</v>
      </c>
      <c r="W775" s="159">
        <v>186</v>
      </c>
      <c r="X775" s="159">
        <v>0</v>
      </c>
      <c r="Y775" s="159">
        <v>1500</v>
      </c>
      <c r="Z775" s="159">
        <v>6558</v>
      </c>
      <c r="AA775" s="159">
        <v>30611</v>
      </c>
      <c r="AB775" s="159">
        <v>16696</v>
      </c>
      <c r="AC775" s="159">
        <v>0</v>
      </c>
      <c r="AD775" s="207">
        <v>131021</v>
      </c>
      <c r="AE775" s="200">
        <v>12.989886730086717</v>
      </c>
      <c r="AF775" s="200">
        <v>12.59296375919272</v>
      </c>
      <c r="AG775" s="200">
        <v>10.111810434343857</v>
      </c>
      <c r="AH775" s="200">
        <v>0</v>
      </c>
      <c r="AI775" s="200">
        <v>0</v>
      </c>
      <c r="AJ775" s="200">
        <v>0</v>
      </c>
      <c r="AL775" s="197">
        <f t="shared" si="116"/>
        <v>150197.98255627032</v>
      </c>
      <c r="AM775" s="197" t="str">
        <f t="shared" si="117"/>
        <v>Vocational Heavy 8</v>
      </c>
      <c r="AN775" s="3">
        <f t="shared" si="118"/>
        <v>21.521203165117335</v>
      </c>
      <c r="AO775" s="3">
        <f t="shared" si="119"/>
        <v>8.3070604859414239</v>
      </c>
      <c r="AP775" s="3">
        <f t="shared" si="120"/>
        <v>0</v>
      </c>
      <c r="AQ775" s="3">
        <f t="shared" si="112"/>
        <v>0</v>
      </c>
      <c r="AR775" s="3">
        <f t="shared" si="113"/>
        <v>8.3070604859414239</v>
      </c>
      <c r="AS775" s="81">
        <f t="shared" si="114"/>
        <v>1</v>
      </c>
      <c r="AT775" s="81">
        <f t="shared" si="115"/>
        <v>0</v>
      </c>
    </row>
    <row r="776" spans="1:46" x14ac:dyDescent="0.25">
      <c r="A776" t="s">
        <v>828</v>
      </c>
      <c r="B776">
        <v>2035</v>
      </c>
      <c r="C776" t="s">
        <v>680</v>
      </c>
      <c r="D776" t="s">
        <v>834</v>
      </c>
      <c r="E776" t="s">
        <v>2490</v>
      </c>
      <c r="F776">
        <v>8</v>
      </c>
      <c r="G776" t="s">
        <v>2514</v>
      </c>
      <c r="H776" s="460">
        <v>12275.648758607724</v>
      </c>
      <c r="I776">
        <v>7250</v>
      </c>
      <c r="J776">
        <v>200.00000001335161</v>
      </c>
      <c r="K776" s="67">
        <v>105.50625000000001</v>
      </c>
      <c r="L776" s="159">
        <v>0</v>
      </c>
      <c r="M776" s="159">
        <v>0</v>
      </c>
      <c r="N776" s="159">
        <v>0</v>
      </c>
      <c r="O776" s="159">
        <v>0</v>
      </c>
      <c r="P776" s="159">
        <v>5881</v>
      </c>
      <c r="Q776" s="159">
        <v>1500</v>
      </c>
      <c r="R776" s="159">
        <v>2000</v>
      </c>
      <c r="S776" s="159">
        <v>57084</v>
      </c>
      <c r="T776" s="159">
        <v>0</v>
      </c>
      <c r="U776" s="159">
        <v>16881</v>
      </c>
      <c r="V776" s="159">
        <v>4500</v>
      </c>
      <c r="W776" s="159">
        <v>186</v>
      </c>
      <c r="X776" s="159">
        <v>0</v>
      </c>
      <c r="Y776" s="159">
        <v>1500</v>
      </c>
      <c r="Z776" s="159">
        <v>7021</v>
      </c>
      <c r="AA776" s="159">
        <v>11426</v>
      </c>
      <c r="AB776" s="159">
        <v>10980</v>
      </c>
      <c r="AC776" s="159">
        <v>0</v>
      </c>
      <c r="AD776" s="207">
        <v>118959</v>
      </c>
      <c r="AE776" s="200">
        <v>13.278914939045245</v>
      </c>
      <c r="AF776" s="200">
        <v>11.700640116949772</v>
      </c>
      <c r="AG776" s="200">
        <v>11.306262617230558</v>
      </c>
      <c r="AH776" s="200">
        <v>0</v>
      </c>
      <c r="AI776" s="200">
        <v>0</v>
      </c>
      <c r="AJ776" s="200">
        <v>0</v>
      </c>
      <c r="AL776" s="197">
        <f t="shared" si="116"/>
        <v>136370.51928249182</v>
      </c>
      <c r="AM776" s="197" t="str">
        <f t="shared" si="117"/>
        <v>Vocational Heavy 8</v>
      </c>
      <c r="AN776" s="3">
        <f t="shared" si="118"/>
        <v>21.019134454541089</v>
      </c>
      <c r="AO776" s="3">
        <f t="shared" si="119"/>
        <v>8.1132648549603648</v>
      </c>
      <c r="AP776" s="3">
        <f t="shared" si="120"/>
        <v>0</v>
      </c>
      <c r="AQ776" s="3">
        <f t="shared" si="112"/>
        <v>0</v>
      </c>
      <c r="AR776" s="3">
        <f t="shared" si="113"/>
        <v>8.1132648549603648</v>
      </c>
      <c r="AS776" s="81">
        <f t="shared" si="114"/>
        <v>1</v>
      </c>
      <c r="AT776" s="81">
        <f t="shared" si="115"/>
        <v>0</v>
      </c>
    </row>
    <row r="777" spans="1:46" x14ac:dyDescent="0.25">
      <c r="A777" t="s">
        <v>805</v>
      </c>
      <c r="B777">
        <v>2050</v>
      </c>
      <c r="C777" t="s">
        <v>680</v>
      </c>
      <c r="D777" t="s">
        <v>834</v>
      </c>
      <c r="E777" t="s">
        <v>2490</v>
      </c>
      <c r="F777">
        <v>8</v>
      </c>
      <c r="G777" t="s">
        <v>2515</v>
      </c>
      <c r="H777" s="460">
        <v>11886.65917195017</v>
      </c>
      <c r="I777">
        <v>7250</v>
      </c>
      <c r="J777">
        <v>0</v>
      </c>
      <c r="K777" s="67">
        <v>0</v>
      </c>
      <c r="L777" s="159">
        <v>300</v>
      </c>
      <c r="M777" s="159">
        <v>34493</v>
      </c>
      <c r="N777" s="159">
        <v>1920</v>
      </c>
      <c r="O777" s="159">
        <v>506</v>
      </c>
      <c r="P777" s="159">
        <v>7547</v>
      </c>
      <c r="Q777" s="159">
        <v>1500</v>
      </c>
      <c r="R777" s="159">
        <v>2000</v>
      </c>
      <c r="S777" s="159">
        <v>57403</v>
      </c>
      <c r="T777" s="159">
        <v>44</v>
      </c>
      <c r="U777" s="159">
        <v>120</v>
      </c>
      <c r="V777" s="159">
        <v>0</v>
      </c>
      <c r="W777" s="159">
        <v>186</v>
      </c>
      <c r="X777" s="159">
        <v>0</v>
      </c>
      <c r="Y777" s="159">
        <v>0</v>
      </c>
      <c r="Z777" s="159">
        <v>0</v>
      </c>
      <c r="AA777" s="159">
        <v>0</v>
      </c>
      <c r="AB777" s="159">
        <v>0</v>
      </c>
      <c r="AC777" s="159">
        <v>0</v>
      </c>
      <c r="AD777" s="207">
        <v>106019</v>
      </c>
      <c r="AE777" s="200">
        <v>6.5932616435771303</v>
      </c>
      <c r="AF777" s="200">
        <v>10.676851215616699</v>
      </c>
      <c r="AG777" s="200">
        <v>8.8040421127514481</v>
      </c>
      <c r="AH777" s="200">
        <v>0</v>
      </c>
      <c r="AI777" s="200">
        <v>0</v>
      </c>
      <c r="AJ777" s="200">
        <v>0</v>
      </c>
      <c r="AL777" s="197">
        <f t="shared" si="116"/>
        <v>121536.54690952765</v>
      </c>
      <c r="AM777" s="197" t="str">
        <f t="shared" si="117"/>
        <v>Vocational Heavy 8</v>
      </c>
      <c r="AN777" s="3">
        <f t="shared" si="118"/>
        <v>32.913730280685293</v>
      </c>
      <c r="AO777" s="3">
        <f t="shared" si="119"/>
        <v>12.704510345535967</v>
      </c>
      <c r="AP777" s="3">
        <f t="shared" si="120"/>
        <v>0</v>
      </c>
      <c r="AQ777" s="3">
        <f t="shared" si="112"/>
        <v>0</v>
      </c>
      <c r="AR777" s="3">
        <f t="shared" si="113"/>
        <v>12.704510345535967</v>
      </c>
      <c r="AS777" s="81">
        <f t="shared" si="114"/>
        <v>1</v>
      </c>
      <c r="AT777" s="81">
        <f t="shared" si="115"/>
        <v>0</v>
      </c>
    </row>
    <row r="778" spans="1:46" x14ac:dyDescent="0.25">
      <c r="A778" t="s">
        <v>807</v>
      </c>
      <c r="B778">
        <v>2050</v>
      </c>
      <c r="C778" t="s">
        <v>680</v>
      </c>
      <c r="D778" t="s">
        <v>834</v>
      </c>
      <c r="E778" t="s">
        <v>2490</v>
      </c>
      <c r="F778">
        <v>8</v>
      </c>
      <c r="G778" t="s">
        <v>2516</v>
      </c>
      <c r="H778" s="460">
        <v>12012.807213912438</v>
      </c>
      <c r="I778">
        <v>7250</v>
      </c>
      <c r="J778">
        <v>0</v>
      </c>
      <c r="K778" s="67">
        <v>9.9316800000000001</v>
      </c>
      <c r="L778" s="159">
        <v>300</v>
      </c>
      <c r="M778" s="159">
        <v>33683</v>
      </c>
      <c r="N778" s="159">
        <v>220</v>
      </c>
      <c r="O778" s="159">
        <v>392</v>
      </c>
      <c r="P778" s="159">
        <v>7355</v>
      </c>
      <c r="Q778" s="159">
        <v>1500</v>
      </c>
      <c r="R778" s="159">
        <v>2000</v>
      </c>
      <c r="S778" s="159">
        <v>57403</v>
      </c>
      <c r="T778" s="159">
        <v>0</v>
      </c>
      <c r="U778" s="159">
        <v>3191</v>
      </c>
      <c r="V778" s="159">
        <v>4500</v>
      </c>
      <c r="W778" s="159">
        <v>186</v>
      </c>
      <c r="X778" s="159">
        <v>120</v>
      </c>
      <c r="Y778" s="159">
        <v>1500</v>
      </c>
      <c r="Z778" s="159">
        <v>2618</v>
      </c>
      <c r="AA778" s="159">
        <v>0</v>
      </c>
      <c r="AB778" s="159">
        <v>0</v>
      </c>
      <c r="AC778" s="159">
        <v>0</v>
      </c>
      <c r="AD778" s="207">
        <v>114968</v>
      </c>
      <c r="AE778" s="200">
        <v>10.303381272896797</v>
      </c>
      <c r="AF778" s="200">
        <v>10.98836038950313</v>
      </c>
      <c r="AG778" s="200">
        <v>9.261980408790599</v>
      </c>
      <c r="AH778" s="200">
        <v>0</v>
      </c>
      <c r="AI778" s="200">
        <v>0</v>
      </c>
      <c r="AJ778" s="200">
        <v>0</v>
      </c>
      <c r="AL778" s="197">
        <f t="shared" si="116"/>
        <v>131795.37370749182</v>
      </c>
      <c r="AM778" s="197" t="str">
        <f t="shared" si="117"/>
        <v>Vocational Heavy 8</v>
      </c>
      <c r="AN778" s="3">
        <f t="shared" si="118"/>
        <v>25.432071086752035</v>
      </c>
      <c r="AO778" s="3">
        <f t="shared" si="119"/>
        <v>9.8166329818790778</v>
      </c>
      <c r="AP778" s="3">
        <f t="shared" si="120"/>
        <v>0</v>
      </c>
      <c r="AQ778" s="3">
        <f t="shared" si="112"/>
        <v>0</v>
      </c>
      <c r="AR778" s="3">
        <f t="shared" si="113"/>
        <v>9.8166329818790778</v>
      </c>
      <c r="AS778" s="81">
        <f t="shared" si="114"/>
        <v>1</v>
      </c>
      <c r="AT778" s="81">
        <f t="shared" si="115"/>
        <v>0</v>
      </c>
    </row>
    <row r="779" spans="1:46" x14ac:dyDescent="0.25">
      <c r="A779" t="s">
        <v>808</v>
      </c>
      <c r="B779">
        <v>2050</v>
      </c>
      <c r="C779" t="s">
        <v>680</v>
      </c>
      <c r="D779" t="s">
        <v>834</v>
      </c>
      <c r="E779" t="s">
        <v>2490</v>
      </c>
      <c r="F779">
        <v>8</v>
      </c>
      <c r="G779" t="s">
        <v>2517</v>
      </c>
      <c r="H779" s="460">
        <v>13004.890923674549</v>
      </c>
      <c r="I779">
        <v>7250</v>
      </c>
      <c r="J779">
        <v>160.0000000231087</v>
      </c>
      <c r="K779" s="67">
        <v>381.31200000000001</v>
      </c>
      <c r="L779" s="159">
        <v>0</v>
      </c>
      <c r="M779" s="159">
        <v>14131</v>
      </c>
      <c r="N779" s="159">
        <v>220</v>
      </c>
      <c r="O779" s="159">
        <v>0</v>
      </c>
      <c r="P779" s="159">
        <v>5887</v>
      </c>
      <c r="Q779" s="159">
        <v>1500</v>
      </c>
      <c r="R779" s="159">
        <v>2000</v>
      </c>
      <c r="S779" s="159">
        <v>57403</v>
      </c>
      <c r="T779" s="159">
        <v>2416</v>
      </c>
      <c r="U779" s="159">
        <v>34318</v>
      </c>
      <c r="V779" s="159">
        <v>4500</v>
      </c>
      <c r="W779" s="159">
        <v>186</v>
      </c>
      <c r="X779" s="159">
        <v>0</v>
      </c>
      <c r="Y779" s="159">
        <v>1500</v>
      </c>
      <c r="Z779" s="159">
        <v>5148</v>
      </c>
      <c r="AA779" s="159">
        <v>0</v>
      </c>
      <c r="AB779" s="159">
        <v>0</v>
      </c>
      <c r="AC779" s="159">
        <v>0</v>
      </c>
      <c r="AD779" s="207">
        <v>129209</v>
      </c>
      <c r="AE779" s="200">
        <v>10.598977713459181</v>
      </c>
      <c r="AF779" s="200">
        <v>7.5671507088455172</v>
      </c>
      <c r="AG779" s="200">
        <v>7.262429403799417</v>
      </c>
      <c r="AH779" s="200">
        <v>1523</v>
      </c>
      <c r="AI779" s="200">
        <v>1971</v>
      </c>
      <c r="AJ779" s="200">
        <v>1940</v>
      </c>
      <c r="AL779" s="197">
        <f t="shared" si="116"/>
        <v>148120.7678777687</v>
      </c>
      <c r="AM779" s="197" t="str">
        <f t="shared" si="117"/>
        <v>Vocational Heavy 8</v>
      </c>
      <c r="AN779" s="3">
        <f t="shared" si="118"/>
        <v>5.9511748945969547</v>
      </c>
      <c r="AO779" s="3">
        <f t="shared" si="119"/>
        <v>2.2971192378297243</v>
      </c>
      <c r="AP779" s="3">
        <f t="shared" si="120"/>
        <v>95.31857780208037</v>
      </c>
      <c r="AQ779" s="3">
        <f t="shared" si="112"/>
        <v>3.4314688008748937</v>
      </c>
      <c r="AR779" s="3">
        <f t="shared" si="113"/>
        <v>5.7285880387046184</v>
      </c>
      <c r="AS779" s="81">
        <f t="shared" si="114"/>
        <v>0.40099222047552963</v>
      </c>
      <c r="AT779" s="81">
        <f t="shared" si="115"/>
        <v>0.59900777952447026</v>
      </c>
    </row>
    <row r="780" spans="1:46" x14ac:dyDescent="0.25">
      <c r="A780" t="s">
        <v>230</v>
      </c>
      <c r="B780">
        <v>2050</v>
      </c>
      <c r="C780" t="s">
        <v>680</v>
      </c>
      <c r="D780" t="s">
        <v>834</v>
      </c>
      <c r="E780" t="s">
        <v>2490</v>
      </c>
      <c r="F780">
        <v>8</v>
      </c>
      <c r="G780" t="s">
        <v>2518</v>
      </c>
      <c r="H780" s="460">
        <v>12679.741600371712</v>
      </c>
      <c r="I780">
        <v>7250</v>
      </c>
      <c r="J780">
        <v>200.00000001335161</v>
      </c>
      <c r="K780" s="67">
        <v>466.95825000000002</v>
      </c>
      <c r="L780" s="159">
        <v>0</v>
      </c>
      <c r="M780" s="159">
        <v>0</v>
      </c>
      <c r="N780" s="159">
        <v>0</v>
      </c>
      <c r="O780" s="159">
        <v>0</v>
      </c>
      <c r="P780" s="159">
        <v>5017</v>
      </c>
      <c r="Q780" s="159">
        <v>1500</v>
      </c>
      <c r="R780" s="159">
        <v>2000</v>
      </c>
      <c r="S780" s="159">
        <v>57403</v>
      </c>
      <c r="T780" s="159">
        <v>0</v>
      </c>
      <c r="U780" s="159">
        <v>42026</v>
      </c>
      <c r="V780" s="159">
        <v>4500</v>
      </c>
      <c r="W780" s="159">
        <v>186</v>
      </c>
      <c r="X780" s="159">
        <v>0</v>
      </c>
      <c r="Y780" s="159">
        <v>1500</v>
      </c>
      <c r="Z780" s="159">
        <v>4288</v>
      </c>
      <c r="AA780" s="159">
        <v>0</v>
      </c>
      <c r="AB780" s="159">
        <v>0</v>
      </c>
      <c r="AC780" s="159">
        <v>0</v>
      </c>
      <c r="AD780" s="207">
        <v>118420</v>
      </c>
      <c r="AE780" s="200">
        <v>0</v>
      </c>
      <c r="AF780" s="200">
        <v>0</v>
      </c>
      <c r="AG780" s="200">
        <v>0</v>
      </c>
      <c r="AH780" s="200">
        <v>1372</v>
      </c>
      <c r="AI780" s="200">
        <v>1572</v>
      </c>
      <c r="AJ780" s="200">
        <v>1914</v>
      </c>
      <c r="AL780" s="197">
        <f t="shared" si="116"/>
        <v>135752.62816123775</v>
      </c>
      <c r="AM780" s="197" t="str">
        <f t="shared" si="117"/>
        <v>Vocational Heavy 8</v>
      </c>
      <c r="AN780" s="3">
        <f t="shared" si="118"/>
        <v>0</v>
      </c>
      <c r="AO780" s="3">
        <f t="shared" si="119"/>
        <v>0</v>
      </c>
      <c r="AP780" s="3">
        <f t="shared" si="120"/>
        <v>106.68721339182522</v>
      </c>
      <c r="AQ780" s="3">
        <f t="shared" si="112"/>
        <v>3.840739682105708</v>
      </c>
      <c r="AR780" s="3">
        <f t="shared" si="113"/>
        <v>3.840739682105708</v>
      </c>
      <c r="AS780" s="81">
        <f t="shared" si="114"/>
        <v>0</v>
      </c>
      <c r="AT780" s="81">
        <f t="shared" si="115"/>
        <v>1</v>
      </c>
    </row>
    <row r="781" spans="1:46" x14ac:dyDescent="0.25">
      <c r="A781" t="s">
        <v>496</v>
      </c>
      <c r="B781">
        <v>2050</v>
      </c>
      <c r="C781" t="s">
        <v>680</v>
      </c>
      <c r="D781" t="s">
        <v>834</v>
      </c>
      <c r="E781" t="s">
        <v>2490</v>
      </c>
      <c r="F781">
        <v>8</v>
      </c>
      <c r="G781" t="s">
        <v>2519</v>
      </c>
      <c r="H781" s="460">
        <v>11947.495861886971</v>
      </c>
      <c r="I781">
        <v>7250</v>
      </c>
      <c r="J781">
        <v>200.00000001335161</v>
      </c>
      <c r="K781" s="67">
        <v>14.572800000000001</v>
      </c>
      <c r="L781" s="159">
        <v>0</v>
      </c>
      <c r="M781" s="159">
        <v>0</v>
      </c>
      <c r="N781" s="159">
        <v>0</v>
      </c>
      <c r="O781" s="159">
        <v>0</v>
      </c>
      <c r="P781" s="159">
        <v>5493</v>
      </c>
      <c r="Q781" s="159">
        <v>1500</v>
      </c>
      <c r="R781" s="159">
        <v>2000</v>
      </c>
      <c r="S781" s="159">
        <v>57403</v>
      </c>
      <c r="T781" s="159">
        <v>0</v>
      </c>
      <c r="U781" s="159">
        <v>4682</v>
      </c>
      <c r="V781" s="159">
        <v>4500</v>
      </c>
      <c r="W781" s="159">
        <v>186</v>
      </c>
      <c r="X781" s="159">
        <v>0</v>
      </c>
      <c r="Y781" s="159">
        <v>1500</v>
      </c>
      <c r="Z781" s="159">
        <v>4758</v>
      </c>
      <c r="AA781" s="159">
        <v>25533</v>
      </c>
      <c r="AB781" s="159">
        <v>9945</v>
      </c>
      <c r="AC781" s="159">
        <v>0</v>
      </c>
      <c r="AD781" s="207">
        <v>117500</v>
      </c>
      <c r="AE781" s="200">
        <v>14.487207667289088</v>
      </c>
      <c r="AF781" s="200">
        <v>14.192682589300226</v>
      </c>
      <c r="AG781" s="200">
        <v>11.397985232245288</v>
      </c>
      <c r="AH781" s="200">
        <v>0</v>
      </c>
      <c r="AI781" s="200">
        <v>0</v>
      </c>
      <c r="AJ781" s="200">
        <v>0</v>
      </c>
      <c r="AL781" s="197">
        <f t="shared" si="116"/>
        <v>134697.97170195435</v>
      </c>
      <c r="AM781" s="197" t="str">
        <f t="shared" si="117"/>
        <v>Vocational Heavy 8</v>
      </c>
      <c r="AN781" s="3">
        <f t="shared" si="118"/>
        <v>19.186140935492709</v>
      </c>
      <c r="AO781" s="3">
        <f t="shared" si="119"/>
        <v>7.4057399124072525</v>
      </c>
      <c r="AP781" s="3">
        <f t="shared" si="120"/>
        <v>0</v>
      </c>
      <c r="AQ781" s="3">
        <f t="shared" si="112"/>
        <v>0</v>
      </c>
      <c r="AR781" s="3">
        <f t="shared" si="113"/>
        <v>7.4057399124072525</v>
      </c>
      <c r="AS781" s="81">
        <f t="shared" si="114"/>
        <v>1</v>
      </c>
      <c r="AT781" s="81">
        <f t="shared" si="115"/>
        <v>0</v>
      </c>
    </row>
    <row r="782" spans="1:46" x14ac:dyDescent="0.25">
      <c r="A782" t="s">
        <v>828</v>
      </c>
      <c r="B782">
        <v>2050</v>
      </c>
      <c r="C782" t="s">
        <v>680</v>
      </c>
      <c r="D782" t="s">
        <v>834</v>
      </c>
      <c r="E782" t="s">
        <v>2490</v>
      </c>
      <c r="F782">
        <v>8</v>
      </c>
      <c r="G782" t="s">
        <v>2520</v>
      </c>
      <c r="H782" s="460">
        <v>11865.056813275631</v>
      </c>
      <c r="I782">
        <v>7250</v>
      </c>
      <c r="J782">
        <v>200.00000001335161</v>
      </c>
      <c r="K782" s="67">
        <v>106.126875</v>
      </c>
      <c r="L782" s="159">
        <v>0</v>
      </c>
      <c r="M782" s="159">
        <v>0</v>
      </c>
      <c r="N782" s="159">
        <v>0</v>
      </c>
      <c r="O782" s="159">
        <v>0</v>
      </c>
      <c r="P782" s="159">
        <v>5838</v>
      </c>
      <c r="Q782" s="159">
        <v>1500</v>
      </c>
      <c r="R782" s="159">
        <v>2000</v>
      </c>
      <c r="S782" s="159">
        <v>57403</v>
      </c>
      <c r="T782" s="159">
        <v>0</v>
      </c>
      <c r="U782" s="159">
        <v>9551</v>
      </c>
      <c r="V782" s="159">
        <v>4500</v>
      </c>
      <c r="W782" s="159">
        <v>186</v>
      </c>
      <c r="X782" s="159">
        <v>0</v>
      </c>
      <c r="Y782" s="159">
        <v>1500</v>
      </c>
      <c r="Z782" s="159">
        <v>5099</v>
      </c>
      <c r="AA782" s="159">
        <v>8734</v>
      </c>
      <c r="AB782" s="159">
        <v>6062</v>
      </c>
      <c r="AC782" s="159">
        <v>0</v>
      </c>
      <c r="AD782" s="207">
        <v>102373</v>
      </c>
      <c r="AE782" s="200">
        <v>15.000975740428432</v>
      </c>
      <c r="AF782" s="200">
        <v>13.172963789251202</v>
      </c>
      <c r="AG782" s="200">
        <v>12.646485634571579</v>
      </c>
      <c r="AH782" s="200">
        <v>0</v>
      </c>
      <c r="AI782" s="200">
        <v>0</v>
      </c>
      <c r="AJ782" s="200">
        <v>0</v>
      </c>
      <c r="AL782" s="197">
        <f t="shared" si="116"/>
        <v>117356.89750675892</v>
      </c>
      <c r="AM782" s="197" t="str">
        <f t="shared" si="117"/>
        <v>Vocational Heavy 8</v>
      </c>
      <c r="AN782" s="3">
        <f t="shared" si="118"/>
        <v>18.674634767988646</v>
      </c>
      <c r="AO782" s="3">
        <f t="shared" si="119"/>
        <v>7.2083014774002576</v>
      </c>
      <c r="AP782" s="3">
        <f t="shared" si="120"/>
        <v>0</v>
      </c>
      <c r="AQ782" s="3">
        <f t="shared" si="112"/>
        <v>0</v>
      </c>
      <c r="AR782" s="3">
        <f t="shared" si="113"/>
        <v>7.2083014774002576</v>
      </c>
      <c r="AS782" s="81">
        <f t="shared" si="114"/>
        <v>1</v>
      </c>
      <c r="AT782" s="81">
        <f t="shared" si="115"/>
        <v>0</v>
      </c>
    </row>
    <row r="783" spans="1:46" x14ac:dyDescent="0.25">
      <c r="A783" t="s">
        <v>805</v>
      </c>
      <c r="B783">
        <v>2023</v>
      </c>
      <c r="C783" t="s">
        <v>680</v>
      </c>
      <c r="D783" t="s">
        <v>813</v>
      </c>
      <c r="E783" t="s">
        <v>2490</v>
      </c>
      <c r="F783">
        <v>8</v>
      </c>
      <c r="G783" t="s">
        <v>2521</v>
      </c>
      <c r="H783" s="460">
        <v>11813.700402601095</v>
      </c>
      <c r="I783">
        <v>3400</v>
      </c>
      <c r="J783">
        <v>0</v>
      </c>
      <c r="K783" s="67">
        <v>0</v>
      </c>
      <c r="L783" s="159">
        <v>300</v>
      </c>
      <c r="M783" s="159">
        <v>15158</v>
      </c>
      <c r="N783" s="159">
        <v>1920</v>
      </c>
      <c r="O783" s="159">
        <v>506</v>
      </c>
      <c r="P783" s="159">
        <v>4556</v>
      </c>
      <c r="Q783" s="159">
        <v>1500</v>
      </c>
      <c r="R783" s="159">
        <v>2000</v>
      </c>
      <c r="S783" s="159">
        <v>170000</v>
      </c>
      <c r="T783" s="159">
        <v>98</v>
      </c>
      <c r="U783" s="159">
        <v>120</v>
      </c>
      <c r="V783" s="159">
        <v>0</v>
      </c>
      <c r="W783" s="159">
        <v>186</v>
      </c>
      <c r="X783" s="159">
        <v>0</v>
      </c>
      <c r="Y783" s="159">
        <v>0</v>
      </c>
      <c r="Z783" s="159">
        <v>0</v>
      </c>
      <c r="AA783" s="159">
        <v>0</v>
      </c>
      <c r="AB783" s="159">
        <v>0</v>
      </c>
      <c r="AC783" s="159">
        <v>0</v>
      </c>
      <c r="AD783" s="207">
        <v>196344</v>
      </c>
      <c r="AE783" s="200">
        <v>6.7260717414371181</v>
      </c>
      <c r="AF783" s="200">
        <v>9.3192070392679369</v>
      </c>
      <c r="AG783" s="200">
        <v>7.5286528401872514</v>
      </c>
      <c r="AH783" s="200">
        <v>0</v>
      </c>
      <c r="AI783" s="200">
        <v>0</v>
      </c>
      <c r="AJ783" s="200">
        <v>0</v>
      </c>
      <c r="AL783" s="197">
        <f t="shared" si="116"/>
        <v>225082.03026254065</v>
      </c>
      <c r="AM783" s="197" t="str">
        <f t="shared" si="117"/>
        <v>Transit Heavy 8</v>
      </c>
      <c r="AN783" s="3">
        <f t="shared" si="118"/>
        <v>34.97065275000638</v>
      </c>
      <c r="AO783" s="3">
        <f t="shared" si="119"/>
        <v>13.498470573337622</v>
      </c>
      <c r="AP783" s="3">
        <f t="shared" si="120"/>
        <v>0</v>
      </c>
      <c r="AQ783" s="3">
        <f t="shared" si="112"/>
        <v>0</v>
      </c>
      <c r="AR783" s="3">
        <f t="shared" si="113"/>
        <v>13.498470573337622</v>
      </c>
      <c r="AS783" s="81">
        <f t="shared" si="114"/>
        <v>1</v>
      </c>
      <c r="AT783" s="81">
        <f t="shared" si="115"/>
        <v>0</v>
      </c>
    </row>
    <row r="784" spans="1:46" x14ac:dyDescent="0.25">
      <c r="A784" t="s">
        <v>807</v>
      </c>
      <c r="B784">
        <v>2023</v>
      </c>
      <c r="C784" t="s">
        <v>680</v>
      </c>
      <c r="D784" t="s">
        <v>813</v>
      </c>
      <c r="E784" t="s">
        <v>2490</v>
      </c>
      <c r="F784">
        <v>8</v>
      </c>
      <c r="G784" t="s">
        <v>2522</v>
      </c>
      <c r="H784" s="460">
        <v>11991.878904054664</v>
      </c>
      <c r="I784">
        <v>3400</v>
      </c>
      <c r="J784">
        <v>0</v>
      </c>
      <c r="K784" s="67">
        <v>7.0963200000000004</v>
      </c>
      <c r="L784" s="159">
        <v>300</v>
      </c>
      <c r="M784" s="159">
        <v>15729</v>
      </c>
      <c r="N784" s="159">
        <v>220</v>
      </c>
      <c r="O784" s="159">
        <v>392</v>
      </c>
      <c r="P784" s="159">
        <v>4723</v>
      </c>
      <c r="Q784" s="159">
        <v>1500</v>
      </c>
      <c r="R784" s="159">
        <v>2000</v>
      </c>
      <c r="S784" s="159">
        <v>170000</v>
      </c>
      <c r="T784" s="159">
        <v>0</v>
      </c>
      <c r="U784" s="159">
        <v>4967</v>
      </c>
      <c r="V784" s="159">
        <v>4500</v>
      </c>
      <c r="W784" s="159">
        <v>186</v>
      </c>
      <c r="X784" s="159">
        <v>120</v>
      </c>
      <c r="Y784" s="159">
        <v>1500</v>
      </c>
      <c r="Z784" s="159">
        <v>6999</v>
      </c>
      <c r="AA784" s="159">
        <v>0</v>
      </c>
      <c r="AB784" s="159">
        <v>0</v>
      </c>
      <c r="AC784" s="159">
        <v>0</v>
      </c>
      <c r="AD784" s="207">
        <v>213136</v>
      </c>
      <c r="AE784" s="200">
        <v>7.003759009057454</v>
      </c>
      <c r="AF784" s="200">
        <v>8.1877114952859298</v>
      </c>
      <c r="AG784" s="200">
        <v>6.846178780173986</v>
      </c>
      <c r="AH784" s="200">
        <v>0</v>
      </c>
      <c r="AI784" s="200">
        <v>0</v>
      </c>
      <c r="AJ784" s="200">
        <v>0</v>
      </c>
      <c r="AL784" s="197">
        <f t="shared" si="116"/>
        <v>244331.80337589569</v>
      </c>
      <c r="AM784" s="197" t="str">
        <f t="shared" si="117"/>
        <v>Transit Heavy 8</v>
      </c>
      <c r="AN784" s="3">
        <f t="shared" si="118"/>
        <v>33.584125172959475</v>
      </c>
      <c r="AO784" s="3">
        <f t="shared" si="119"/>
        <v>12.963278913299609</v>
      </c>
      <c r="AP784" s="3">
        <f t="shared" si="120"/>
        <v>0</v>
      </c>
      <c r="AQ784" s="3">
        <f t="shared" si="112"/>
        <v>0</v>
      </c>
      <c r="AR784" s="3">
        <f t="shared" si="113"/>
        <v>12.963278913299609</v>
      </c>
      <c r="AS784" s="81">
        <f t="shared" si="114"/>
        <v>1</v>
      </c>
      <c r="AT784" s="81">
        <f t="shared" si="115"/>
        <v>0</v>
      </c>
    </row>
    <row r="785" spans="1:46" x14ac:dyDescent="0.25">
      <c r="A785" t="s">
        <v>808</v>
      </c>
      <c r="B785">
        <v>2023</v>
      </c>
      <c r="C785" t="s">
        <v>680</v>
      </c>
      <c r="D785" t="s">
        <v>813</v>
      </c>
      <c r="E785" t="s">
        <v>2490</v>
      </c>
      <c r="F785">
        <v>8</v>
      </c>
      <c r="G785" t="s">
        <v>2523</v>
      </c>
      <c r="H785" s="460">
        <v>14621.154431494662</v>
      </c>
      <c r="I785">
        <v>3400</v>
      </c>
      <c r="J785">
        <v>160.0000000231087</v>
      </c>
      <c r="K785" s="67">
        <v>366.78937500000001</v>
      </c>
      <c r="L785" s="159">
        <v>0</v>
      </c>
      <c r="M785" s="159">
        <v>11517</v>
      </c>
      <c r="N785" s="159">
        <v>220</v>
      </c>
      <c r="O785" s="159">
        <v>0</v>
      </c>
      <c r="P785" s="159">
        <v>3710</v>
      </c>
      <c r="Q785" s="159">
        <v>1500</v>
      </c>
      <c r="R785" s="159">
        <v>2000</v>
      </c>
      <c r="S785" s="159">
        <v>170000</v>
      </c>
      <c r="T785" s="159">
        <v>4414</v>
      </c>
      <c r="U785" s="159">
        <v>128376</v>
      </c>
      <c r="V785" s="159">
        <v>4500</v>
      </c>
      <c r="W785" s="159">
        <v>186</v>
      </c>
      <c r="X785" s="159">
        <v>0</v>
      </c>
      <c r="Y785" s="159">
        <v>1500</v>
      </c>
      <c r="Z785" s="159">
        <v>8002</v>
      </c>
      <c r="AA785" s="159">
        <v>0</v>
      </c>
      <c r="AB785" s="159">
        <v>0</v>
      </c>
      <c r="AC785" s="159">
        <v>0</v>
      </c>
      <c r="AD785" s="207">
        <v>335925</v>
      </c>
      <c r="AE785" s="200">
        <v>6.6984573032244299</v>
      </c>
      <c r="AF785" s="200">
        <v>6.5831594511392337</v>
      </c>
      <c r="AG785" s="200">
        <v>6.4984733393444962</v>
      </c>
      <c r="AH785" s="200">
        <v>1955</v>
      </c>
      <c r="AI785" s="200">
        <v>2031</v>
      </c>
      <c r="AJ785" s="200">
        <v>2027</v>
      </c>
      <c r="AL785" s="197">
        <f t="shared" si="116"/>
        <v>385092.90335301292</v>
      </c>
      <c r="AM785" s="197" t="str">
        <f t="shared" si="117"/>
        <v>Transit Heavy 8</v>
      </c>
      <c r="AN785" s="3">
        <f t="shared" si="118"/>
        <v>7.022963903291668</v>
      </c>
      <c r="AO785" s="3">
        <f t="shared" si="119"/>
        <v>2.7108236229927849</v>
      </c>
      <c r="AP785" s="3">
        <f t="shared" si="120"/>
        <v>97.18269601202978</v>
      </c>
      <c r="AQ785" s="3">
        <f t="shared" si="112"/>
        <v>3.498577056433072</v>
      </c>
      <c r="AR785" s="3">
        <f t="shared" si="113"/>
        <v>6.2094006794258565</v>
      </c>
      <c r="AS785" s="81">
        <f t="shared" si="114"/>
        <v>0.43656767584266076</v>
      </c>
      <c r="AT785" s="81">
        <f t="shared" si="115"/>
        <v>0.56343232415733935</v>
      </c>
    </row>
    <row r="786" spans="1:46" x14ac:dyDescent="0.25">
      <c r="A786" t="s">
        <v>230</v>
      </c>
      <c r="B786">
        <v>2023</v>
      </c>
      <c r="C786" t="s">
        <v>680</v>
      </c>
      <c r="D786" t="s">
        <v>813</v>
      </c>
      <c r="E786" t="s">
        <v>2490</v>
      </c>
      <c r="F786">
        <v>8</v>
      </c>
      <c r="G786" t="s">
        <v>2524</v>
      </c>
      <c r="H786" s="460">
        <v>14892.716430050215</v>
      </c>
      <c r="I786">
        <v>3400</v>
      </c>
      <c r="J786">
        <v>200.00000001335161</v>
      </c>
      <c r="K786" s="67">
        <v>491.53500000000003</v>
      </c>
      <c r="L786" s="159">
        <v>0</v>
      </c>
      <c r="M786" s="159">
        <v>0</v>
      </c>
      <c r="N786" s="159">
        <v>0</v>
      </c>
      <c r="O786" s="159">
        <v>0</v>
      </c>
      <c r="P786" s="159">
        <v>3218</v>
      </c>
      <c r="Q786" s="159">
        <v>1500</v>
      </c>
      <c r="R786" s="159">
        <v>2000</v>
      </c>
      <c r="S786" s="159">
        <v>170000</v>
      </c>
      <c r="T786" s="159">
        <v>0</v>
      </c>
      <c r="U786" s="159">
        <v>172037</v>
      </c>
      <c r="V786" s="159">
        <v>4500</v>
      </c>
      <c r="W786" s="159">
        <v>186</v>
      </c>
      <c r="X786" s="159">
        <v>0</v>
      </c>
      <c r="Y786" s="159">
        <v>1500</v>
      </c>
      <c r="Z786" s="159">
        <v>6810</v>
      </c>
      <c r="AA786" s="159">
        <v>0</v>
      </c>
      <c r="AB786" s="159">
        <v>0</v>
      </c>
      <c r="AC786" s="159">
        <v>0</v>
      </c>
      <c r="AD786" s="207">
        <v>361751</v>
      </c>
      <c r="AE786" s="200">
        <v>0</v>
      </c>
      <c r="AF786" s="200">
        <v>0</v>
      </c>
      <c r="AG786" s="200">
        <v>0</v>
      </c>
      <c r="AH786" s="200">
        <v>1934</v>
      </c>
      <c r="AI786" s="200">
        <v>1843</v>
      </c>
      <c r="AJ786" s="200">
        <v>2192</v>
      </c>
      <c r="AL786" s="197">
        <f t="shared" si="116"/>
        <v>414698.94435024419</v>
      </c>
      <c r="AM786" s="197" t="str">
        <f t="shared" si="117"/>
        <v>Transit Heavy 8</v>
      </c>
      <c r="AN786" s="3">
        <f t="shared" si="118"/>
        <v>0</v>
      </c>
      <c r="AO786" s="3">
        <f t="shared" si="119"/>
        <v>0</v>
      </c>
      <c r="AP786" s="3">
        <f t="shared" si="120"/>
        <v>120.17348726807263</v>
      </c>
      <c r="AQ786" s="3">
        <f t="shared" si="112"/>
        <v>4.3262455416506151</v>
      </c>
      <c r="AR786" s="3">
        <f t="shared" si="113"/>
        <v>4.3262455416506151</v>
      </c>
      <c r="AS786" s="81">
        <f t="shared" si="114"/>
        <v>0</v>
      </c>
      <c r="AT786" s="81">
        <f t="shared" si="115"/>
        <v>1</v>
      </c>
    </row>
    <row r="787" spans="1:46" x14ac:dyDescent="0.25">
      <c r="A787" t="s">
        <v>496</v>
      </c>
      <c r="B787">
        <v>2023</v>
      </c>
      <c r="C787" t="s">
        <v>680</v>
      </c>
      <c r="D787" t="s">
        <v>813</v>
      </c>
      <c r="E787" t="s">
        <v>2490</v>
      </c>
      <c r="F787">
        <v>8</v>
      </c>
      <c r="G787" t="s">
        <v>2525</v>
      </c>
      <c r="H787" s="460">
        <v>12421.620763262843</v>
      </c>
      <c r="I787">
        <v>3400</v>
      </c>
      <c r="J787">
        <v>200.00000001335161</v>
      </c>
      <c r="K787" s="67">
        <v>7.6982400000000011</v>
      </c>
      <c r="L787" s="159">
        <v>0</v>
      </c>
      <c r="M787" s="159">
        <v>0</v>
      </c>
      <c r="N787" s="159">
        <v>0</v>
      </c>
      <c r="O787" s="159">
        <v>0</v>
      </c>
      <c r="P787" s="159">
        <v>3502</v>
      </c>
      <c r="Q787" s="159">
        <v>1500</v>
      </c>
      <c r="R787" s="159">
        <v>2000</v>
      </c>
      <c r="S787" s="159">
        <v>170000</v>
      </c>
      <c r="T787" s="159">
        <v>0</v>
      </c>
      <c r="U787" s="159">
        <v>5389</v>
      </c>
      <c r="V787" s="159">
        <v>4500</v>
      </c>
      <c r="W787" s="159">
        <v>186</v>
      </c>
      <c r="X787" s="159">
        <v>0</v>
      </c>
      <c r="Y787" s="159">
        <v>1500</v>
      </c>
      <c r="Z787" s="159">
        <v>7498</v>
      </c>
      <c r="AA787" s="159">
        <v>31003</v>
      </c>
      <c r="AB787" s="159">
        <v>25892</v>
      </c>
      <c r="AC787" s="159">
        <v>0</v>
      </c>
      <c r="AD787" s="207">
        <v>252970</v>
      </c>
      <c r="AE787" s="200">
        <v>11.364302408057341</v>
      </c>
      <c r="AF787" s="200">
        <v>11.745449401761814</v>
      </c>
      <c r="AG787" s="200">
        <v>9.4896606187571209</v>
      </c>
      <c r="AH787" s="200">
        <v>0</v>
      </c>
      <c r="AI787" s="200">
        <v>0</v>
      </c>
      <c r="AJ787" s="200">
        <v>0</v>
      </c>
      <c r="AL787" s="197">
        <f t="shared" si="116"/>
        <v>289996.13533143315</v>
      </c>
      <c r="AM787" s="197" t="str">
        <f t="shared" si="117"/>
        <v>Transit Heavy 8</v>
      </c>
      <c r="AN787" s="3">
        <f t="shared" si="118"/>
        <v>20.697717360518283</v>
      </c>
      <c r="AO787" s="3">
        <f t="shared" si="119"/>
        <v>7.9891997076366925</v>
      </c>
      <c r="AP787" s="3">
        <f t="shared" si="120"/>
        <v>0</v>
      </c>
      <c r="AQ787" s="3">
        <f t="shared" si="112"/>
        <v>0</v>
      </c>
      <c r="AR787" s="3">
        <f t="shared" si="113"/>
        <v>7.9891997076366925</v>
      </c>
      <c r="AS787" s="81">
        <f t="shared" si="114"/>
        <v>1</v>
      </c>
      <c r="AT787" s="81">
        <f t="shared" si="115"/>
        <v>0</v>
      </c>
    </row>
    <row r="788" spans="1:46" x14ac:dyDescent="0.25">
      <c r="A788" t="s">
        <v>828</v>
      </c>
      <c r="B788">
        <v>2023</v>
      </c>
      <c r="C788" t="s">
        <v>680</v>
      </c>
      <c r="D788" t="s">
        <v>813</v>
      </c>
      <c r="E788" t="s">
        <v>2490</v>
      </c>
      <c r="F788">
        <v>8</v>
      </c>
      <c r="G788" t="s">
        <v>2526</v>
      </c>
      <c r="H788" s="460">
        <v>12219.4173590709</v>
      </c>
      <c r="I788">
        <v>3400</v>
      </c>
      <c r="J788">
        <v>200.00000001335161</v>
      </c>
      <c r="K788" s="67">
        <v>47.664000000000001</v>
      </c>
      <c r="L788" s="159">
        <v>0</v>
      </c>
      <c r="M788" s="159">
        <v>0</v>
      </c>
      <c r="N788" s="159">
        <v>0</v>
      </c>
      <c r="O788" s="159">
        <v>0</v>
      </c>
      <c r="P788" s="159">
        <v>3681</v>
      </c>
      <c r="Q788" s="159">
        <v>1500</v>
      </c>
      <c r="R788" s="159">
        <v>2000</v>
      </c>
      <c r="S788" s="159">
        <v>170000</v>
      </c>
      <c r="T788" s="159">
        <v>0</v>
      </c>
      <c r="U788" s="159">
        <v>16682</v>
      </c>
      <c r="V788" s="159">
        <v>4500</v>
      </c>
      <c r="W788" s="159">
        <v>186</v>
      </c>
      <c r="X788" s="159">
        <v>0</v>
      </c>
      <c r="Y788" s="159">
        <v>1500</v>
      </c>
      <c r="Z788" s="159">
        <v>7932</v>
      </c>
      <c r="AA788" s="159">
        <v>16831</v>
      </c>
      <c r="AB788" s="159">
        <v>8037</v>
      </c>
      <c r="AC788" s="159">
        <v>0</v>
      </c>
      <c r="AD788" s="207">
        <v>232849</v>
      </c>
      <c r="AE788" s="200">
        <v>11.620290632332498</v>
      </c>
      <c r="AF788" s="200">
        <v>11.5024659009246</v>
      </c>
      <c r="AG788" s="200">
        <v>10.66441838083143</v>
      </c>
      <c r="AH788" s="200">
        <v>0</v>
      </c>
      <c r="AI788" s="200">
        <v>0</v>
      </c>
      <c r="AJ788" s="200">
        <v>744.45947897019357</v>
      </c>
      <c r="AL788" s="197">
        <f t="shared" si="116"/>
        <v>266930.11074747547</v>
      </c>
      <c r="AM788" s="197" t="str">
        <f t="shared" si="117"/>
        <v>Transit Heavy 8</v>
      </c>
      <c r="AN788" s="3">
        <f t="shared" si="118"/>
        <v>20.241758720471374</v>
      </c>
      <c r="AO788" s="3">
        <f t="shared" si="119"/>
        <v>7.8132022983423779</v>
      </c>
      <c r="AP788" s="3">
        <f t="shared" si="120"/>
        <v>0</v>
      </c>
      <c r="AQ788" s="3">
        <f t="shared" si="112"/>
        <v>0</v>
      </c>
      <c r="AR788" s="3">
        <f t="shared" si="113"/>
        <v>7.8132022983423779</v>
      </c>
      <c r="AS788" s="81">
        <f t="shared" si="114"/>
        <v>1</v>
      </c>
      <c r="AT788" s="81">
        <f t="shared" si="115"/>
        <v>0</v>
      </c>
    </row>
    <row r="789" spans="1:46" x14ac:dyDescent="0.25">
      <c r="A789" t="s">
        <v>805</v>
      </c>
      <c r="B789">
        <v>2025</v>
      </c>
      <c r="C789" t="s">
        <v>680</v>
      </c>
      <c r="D789" t="s">
        <v>813</v>
      </c>
      <c r="E789" t="s">
        <v>2490</v>
      </c>
      <c r="F789">
        <v>8</v>
      </c>
      <c r="G789" t="s">
        <v>2527</v>
      </c>
      <c r="H789" s="460">
        <v>11708.964522712464</v>
      </c>
      <c r="I789">
        <v>3400</v>
      </c>
      <c r="J789">
        <v>0</v>
      </c>
      <c r="K789" s="67">
        <v>0</v>
      </c>
      <c r="L789" s="159">
        <v>300</v>
      </c>
      <c r="M789" s="159">
        <v>15489</v>
      </c>
      <c r="N789" s="159">
        <v>1920</v>
      </c>
      <c r="O789" s="159">
        <v>506</v>
      </c>
      <c r="P789" s="159">
        <v>4541</v>
      </c>
      <c r="Q789" s="159">
        <v>1500</v>
      </c>
      <c r="R789" s="159">
        <v>2000</v>
      </c>
      <c r="S789" s="159">
        <v>170512</v>
      </c>
      <c r="T789" s="159">
        <v>92</v>
      </c>
      <c r="U789" s="159">
        <v>120</v>
      </c>
      <c r="V789" s="159">
        <v>0</v>
      </c>
      <c r="W789" s="159">
        <v>186</v>
      </c>
      <c r="X789" s="159">
        <v>0</v>
      </c>
      <c r="Y789" s="159">
        <v>0</v>
      </c>
      <c r="Z789" s="159">
        <v>0</v>
      </c>
      <c r="AA789" s="159">
        <v>0</v>
      </c>
      <c r="AB789" s="159">
        <v>0</v>
      </c>
      <c r="AC789" s="159">
        <v>0</v>
      </c>
      <c r="AD789" s="207">
        <v>197166</v>
      </c>
      <c r="AE789" s="200">
        <v>7.1838466878434613</v>
      </c>
      <c r="AF789" s="200">
        <v>10.316658210565725</v>
      </c>
      <c r="AG789" s="200">
        <v>8.3785190175819384</v>
      </c>
      <c r="AH789" s="200">
        <v>0</v>
      </c>
      <c r="AI789" s="200">
        <v>0</v>
      </c>
      <c r="AJ789" s="200">
        <v>0</v>
      </c>
      <c r="AL789" s="197">
        <f t="shared" si="116"/>
        <v>226024.34288159604</v>
      </c>
      <c r="AM789" s="197" t="str">
        <f t="shared" si="117"/>
        <v>Transit Heavy 8</v>
      </c>
      <c r="AN789" s="3">
        <f t="shared" si="118"/>
        <v>32.742224251452953</v>
      </c>
      <c r="AO789" s="3">
        <f t="shared" si="119"/>
        <v>12.638310005917132</v>
      </c>
      <c r="AP789" s="3">
        <f t="shared" si="120"/>
        <v>0</v>
      </c>
      <c r="AQ789" s="3">
        <f t="shared" si="112"/>
        <v>0</v>
      </c>
      <c r="AR789" s="3">
        <f t="shared" si="113"/>
        <v>12.638310005917132</v>
      </c>
      <c r="AS789" s="81">
        <f t="shared" si="114"/>
        <v>1</v>
      </c>
      <c r="AT789" s="81">
        <f t="shared" si="115"/>
        <v>0</v>
      </c>
    </row>
    <row r="790" spans="1:46" x14ac:dyDescent="0.25">
      <c r="A790" t="s">
        <v>807</v>
      </c>
      <c r="B790">
        <v>2025</v>
      </c>
      <c r="C790" t="s">
        <v>680</v>
      </c>
      <c r="D790" t="s">
        <v>813</v>
      </c>
      <c r="E790" t="s">
        <v>2490</v>
      </c>
      <c r="F790">
        <v>8</v>
      </c>
      <c r="G790" t="s">
        <v>2528</v>
      </c>
      <c r="H790" s="460">
        <v>11908.642508547966</v>
      </c>
      <c r="I790">
        <v>3400</v>
      </c>
      <c r="J790">
        <v>0</v>
      </c>
      <c r="K790" s="67">
        <v>11.404800000000002</v>
      </c>
      <c r="L790" s="159">
        <v>300</v>
      </c>
      <c r="M790" s="159">
        <v>15988</v>
      </c>
      <c r="N790" s="159">
        <v>220</v>
      </c>
      <c r="O790" s="159">
        <v>392</v>
      </c>
      <c r="P790" s="159">
        <v>4687</v>
      </c>
      <c r="Q790" s="159">
        <v>1500</v>
      </c>
      <c r="R790" s="159">
        <v>2000</v>
      </c>
      <c r="S790" s="159">
        <v>170512</v>
      </c>
      <c r="T790" s="159">
        <v>0</v>
      </c>
      <c r="U790" s="159">
        <v>5388</v>
      </c>
      <c r="V790" s="159">
        <v>4500</v>
      </c>
      <c r="W790" s="159">
        <v>186</v>
      </c>
      <c r="X790" s="159">
        <v>120</v>
      </c>
      <c r="Y790" s="159">
        <v>1500</v>
      </c>
      <c r="Z790" s="159">
        <v>5870</v>
      </c>
      <c r="AA790" s="159">
        <v>0</v>
      </c>
      <c r="AB790" s="159">
        <v>0</v>
      </c>
      <c r="AC790" s="159">
        <v>0</v>
      </c>
      <c r="AD790" s="207">
        <v>213163</v>
      </c>
      <c r="AE790" s="200">
        <v>7.8664945798914294</v>
      </c>
      <c r="AF790" s="200">
        <v>9.0284030941920506</v>
      </c>
      <c r="AG790" s="200">
        <v>7.5579741263150906</v>
      </c>
      <c r="AH790" s="200">
        <v>0</v>
      </c>
      <c r="AI790" s="200">
        <v>0</v>
      </c>
      <c r="AJ790" s="200">
        <v>0</v>
      </c>
      <c r="AL790" s="197">
        <f t="shared" si="116"/>
        <v>244362.75525024423</v>
      </c>
      <c r="AM790" s="197" t="str">
        <f t="shared" si="117"/>
        <v>Transit Heavy 8</v>
      </c>
      <c r="AN790" s="3">
        <f t="shared" si="118"/>
        <v>29.900881117072416</v>
      </c>
      <c r="AO790" s="3">
        <f t="shared" si="119"/>
        <v>11.541567918705633</v>
      </c>
      <c r="AP790" s="3">
        <f t="shared" si="120"/>
        <v>0</v>
      </c>
      <c r="AQ790" s="3">
        <f t="shared" si="112"/>
        <v>0</v>
      </c>
      <c r="AR790" s="3">
        <f t="shared" si="113"/>
        <v>11.541567918705633</v>
      </c>
      <c r="AS790" s="81">
        <f t="shared" si="114"/>
        <v>1</v>
      </c>
      <c r="AT790" s="81">
        <f t="shared" si="115"/>
        <v>0</v>
      </c>
    </row>
    <row r="791" spans="1:46" x14ac:dyDescent="0.25">
      <c r="A791" t="s">
        <v>808</v>
      </c>
      <c r="B791">
        <v>2025</v>
      </c>
      <c r="C791" t="s">
        <v>680</v>
      </c>
      <c r="D791" t="s">
        <v>813</v>
      </c>
      <c r="E791" t="s">
        <v>2490</v>
      </c>
      <c r="F791">
        <v>8</v>
      </c>
      <c r="G791" t="s">
        <v>2529</v>
      </c>
      <c r="H791" s="460">
        <v>14084.230571604337</v>
      </c>
      <c r="I791">
        <v>3400</v>
      </c>
      <c r="J791">
        <v>160.0000000231087</v>
      </c>
      <c r="K791" s="67">
        <v>350.03250000000003</v>
      </c>
      <c r="L791" s="159">
        <v>0</v>
      </c>
      <c r="M791" s="159">
        <v>11605</v>
      </c>
      <c r="N791" s="159">
        <v>220</v>
      </c>
      <c r="O791" s="159">
        <v>0</v>
      </c>
      <c r="P791" s="159">
        <v>3697</v>
      </c>
      <c r="Q791" s="159">
        <v>1500</v>
      </c>
      <c r="R791" s="159">
        <v>2000</v>
      </c>
      <c r="S791" s="159">
        <v>170512</v>
      </c>
      <c r="T791" s="159">
        <v>3902</v>
      </c>
      <c r="U791" s="159">
        <v>98009</v>
      </c>
      <c r="V791" s="159">
        <v>4500</v>
      </c>
      <c r="W791" s="159">
        <v>186</v>
      </c>
      <c r="X791" s="159">
        <v>0</v>
      </c>
      <c r="Y791" s="159">
        <v>1500</v>
      </c>
      <c r="Z791" s="159">
        <v>6697</v>
      </c>
      <c r="AA791" s="159">
        <v>0</v>
      </c>
      <c r="AB791" s="159">
        <v>0</v>
      </c>
      <c r="AC791" s="159">
        <v>0</v>
      </c>
      <c r="AD791" s="207">
        <v>304328</v>
      </c>
      <c r="AE791" s="200">
        <v>7.562254535517571</v>
      </c>
      <c r="AF791" s="200">
        <v>7.3447290979602329</v>
      </c>
      <c r="AG791" s="200">
        <v>7.2566081287367421</v>
      </c>
      <c r="AH791" s="200">
        <v>1816</v>
      </c>
      <c r="AI791" s="200">
        <v>1899</v>
      </c>
      <c r="AJ791" s="200">
        <v>1891</v>
      </c>
      <c r="AL791" s="197">
        <f t="shared" si="116"/>
        <v>348871.1858052116</v>
      </c>
      <c r="AM791" s="197" t="str">
        <f t="shared" si="117"/>
        <v>Transit Heavy 8</v>
      </c>
      <c r="AN791" s="3">
        <f t="shared" si="118"/>
        <v>6.2207670513256437</v>
      </c>
      <c r="AO791" s="3">
        <f t="shared" si="119"/>
        <v>2.4011802578060863</v>
      </c>
      <c r="AP791" s="3">
        <f t="shared" si="120"/>
        <v>90.273031180483926</v>
      </c>
      <c r="AQ791" s="3">
        <f t="shared" si="112"/>
        <v>3.2498291224974212</v>
      </c>
      <c r="AR791" s="3">
        <f t="shared" si="113"/>
        <v>5.651009380303508</v>
      </c>
      <c r="AS791" s="81">
        <f t="shared" si="114"/>
        <v>0.42491174517872105</v>
      </c>
      <c r="AT791" s="81">
        <f t="shared" si="115"/>
        <v>0.5750882548212789</v>
      </c>
    </row>
    <row r="792" spans="1:46" x14ac:dyDescent="0.25">
      <c r="A792" t="s">
        <v>230</v>
      </c>
      <c r="B792">
        <v>2025</v>
      </c>
      <c r="C792" t="s">
        <v>680</v>
      </c>
      <c r="D792" t="s">
        <v>813</v>
      </c>
      <c r="E792" t="s">
        <v>2490</v>
      </c>
      <c r="F792">
        <v>8</v>
      </c>
      <c r="G792" t="s">
        <v>2530</v>
      </c>
      <c r="H792" s="460">
        <v>14344.248178500002</v>
      </c>
      <c r="I792">
        <v>3400</v>
      </c>
      <c r="J792">
        <v>200.00000001335161</v>
      </c>
      <c r="K792" s="67">
        <v>476.64</v>
      </c>
      <c r="L792" s="159">
        <v>0</v>
      </c>
      <c r="M792" s="159">
        <v>0</v>
      </c>
      <c r="N792" s="159">
        <v>0</v>
      </c>
      <c r="O792" s="159">
        <v>0</v>
      </c>
      <c r="P792" s="159">
        <v>3212</v>
      </c>
      <c r="Q792" s="159">
        <v>1500</v>
      </c>
      <c r="R792" s="159">
        <v>2000</v>
      </c>
      <c r="S792" s="159">
        <v>170512</v>
      </c>
      <c r="T792" s="159">
        <v>0</v>
      </c>
      <c r="U792" s="159">
        <v>133459</v>
      </c>
      <c r="V792" s="159">
        <v>4500</v>
      </c>
      <c r="W792" s="159">
        <v>186</v>
      </c>
      <c r="X792" s="159">
        <v>0</v>
      </c>
      <c r="Y792" s="159">
        <v>1500</v>
      </c>
      <c r="Z792" s="159">
        <v>5695</v>
      </c>
      <c r="AA792" s="159">
        <v>0</v>
      </c>
      <c r="AB792" s="159">
        <v>0</v>
      </c>
      <c r="AC792" s="159">
        <v>0</v>
      </c>
      <c r="AD792" s="207">
        <v>322564</v>
      </c>
      <c r="AE792" s="200">
        <v>0</v>
      </c>
      <c r="AF792" s="200">
        <v>0</v>
      </c>
      <c r="AG792" s="200">
        <v>0</v>
      </c>
      <c r="AH792" s="200">
        <v>1789</v>
      </c>
      <c r="AI792" s="200">
        <v>1699</v>
      </c>
      <c r="AJ792" s="200">
        <v>2018</v>
      </c>
      <c r="AL792" s="197">
        <f t="shared" si="116"/>
        <v>369776.31101335492</v>
      </c>
      <c r="AM792" s="197" t="str">
        <f t="shared" si="117"/>
        <v>Transit Heavy 8</v>
      </c>
      <c r="AN792" s="3">
        <f t="shared" si="118"/>
        <v>0</v>
      </c>
      <c r="AO792" s="3">
        <f t="shared" si="119"/>
        <v>0</v>
      </c>
      <c r="AP792" s="3">
        <f t="shared" si="120"/>
        <v>111.16358258665043</v>
      </c>
      <c r="AQ792" s="3">
        <f t="shared" si="112"/>
        <v>4.0018889731194154</v>
      </c>
      <c r="AR792" s="3">
        <f t="shared" si="113"/>
        <v>4.0018889731194154</v>
      </c>
      <c r="AS792" s="81">
        <f t="shared" si="114"/>
        <v>0</v>
      </c>
      <c r="AT792" s="81">
        <f t="shared" si="115"/>
        <v>1</v>
      </c>
    </row>
    <row r="793" spans="1:46" x14ac:dyDescent="0.25">
      <c r="A793" t="s">
        <v>496</v>
      </c>
      <c r="B793">
        <v>2025</v>
      </c>
      <c r="C793" t="s">
        <v>680</v>
      </c>
      <c r="D793" t="s">
        <v>813</v>
      </c>
      <c r="E793" t="s">
        <v>2490</v>
      </c>
      <c r="F793">
        <v>8</v>
      </c>
      <c r="G793" t="s">
        <v>2531</v>
      </c>
      <c r="H793" s="460">
        <v>12116.759816151041</v>
      </c>
      <c r="I793">
        <v>3400</v>
      </c>
      <c r="J793">
        <v>200.00000001335161</v>
      </c>
      <c r="K793" s="67">
        <v>7.7932800000000011</v>
      </c>
      <c r="L793" s="159">
        <v>0</v>
      </c>
      <c r="M793" s="159">
        <v>0</v>
      </c>
      <c r="N793" s="159">
        <v>0</v>
      </c>
      <c r="O793" s="159">
        <v>0</v>
      </c>
      <c r="P793" s="159">
        <v>3491</v>
      </c>
      <c r="Q793" s="159">
        <v>1500</v>
      </c>
      <c r="R793" s="159">
        <v>2000</v>
      </c>
      <c r="S793" s="159">
        <v>170512</v>
      </c>
      <c r="T793" s="159">
        <v>0</v>
      </c>
      <c r="U793" s="159">
        <v>3682</v>
      </c>
      <c r="V793" s="159">
        <v>4500</v>
      </c>
      <c r="W793" s="159">
        <v>186</v>
      </c>
      <c r="X793" s="159">
        <v>0</v>
      </c>
      <c r="Y793" s="159">
        <v>1500</v>
      </c>
      <c r="Z793" s="159">
        <v>6271</v>
      </c>
      <c r="AA793" s="159">
        <v>22854</v>
      </c>
      <c r="AB793" s="159">
        <v>19676</v>
      </c>
      <c r="AC793" s="159">
        <v>0</v>
      </c>
      <c r="AD793" s="207">
        <v>236172</v>
      </c>
      <c r="AE793" s="200">
        <v>12.156870564811646</v>
      </c>
      <c r="AF793" s="200">
        <v>12.758695505304617</v>
      </c>
      <c r="AG793" s="200">
        <v>10.347080318714303</v>
      </c>
      <c r="AH793" s="200">
        <v>0</v>
      </c>
      <c r="AI793" s="200">
        <v>0</v>
      </c>
      <c r="AJ793" s="200">
        <v>0</v>
      </c>
      <c r="AL793" s="197">
        <f t="shared" si="116"/>
        <v>270739.48402377841</v>
      </c>
      <c r="AM793" s="197" t="str">
        <f t="shared" si="117"/>
        <v>Transit Heavy 8</v>
      </c>
      <c r="AN793" s="3">
        <f t="shared" si="118"/>
        <v>19.348328008218164</v>
      </c>
      <c r="AO793" s="3">
        <f t="shared" si="119"/>
        <v>7.4683431884802145</v>
      </c>
      <c r="AP793" s="3">
        <f t="shared" si="120"/>
        <v>0</v>
      </c>
      <c r="AQ793" s="3">
        <f t="shared" si="112"/>
        <v>0</v>
      </c>
      <c r="AR793" s="3">
        <f t="shared" si="113"/>
        <v>7.4683431884802145</v>
      </c>
      <c r="AS793" s="81">
        <f t="shared" si="114"/>
        <v>1</v>
      </c>
      <c r="AT793" s="81">
        <f t="shared" si="115"/>
        <v>0</v>
      </c>
    </row>
    <row r="794" spans="1:46" x14ac:dyDescent="0.25">
      <c r="A794" t="s">
        <v>828</v>
      </c>
      <c r="B794">
        <v>2025</v>
      </c>
      <c r="C794" t="s">
        <v>680</v>
      </c>
      <c r="D794" t="s">
        <v>813</v>
      </c>
      <c r="E794" t="s">
        <v>2490</v>
      </c>
      <c r="F794">
        <v>8</v>
      </c>
      <c r="G794" t="s">
        <v>2532</v>
      </c>
      <c r="H794" s="460">
        <v>11910.502703094828</v>
      </c>
      <c r="I794">
        <v>3400</v>
      </c>
      <c r="J794">
        <v>200.00000001335161</v>
      </c>
      <c r="K794" s="67">
        <v>49.65</v>
      </c>
      <c r="L794" s="159">
        <v>0</v>
      </c>
      <c r="M794" s="159">
        <v>0</v>
      </c>
      <c r="N794" s="159">
        <v>0</v>
      </c>
      <c r="O794" s="159">
        <v>0</v>
      </c>
      <c r="P794" s="159">
        <v>3668</v>
      </c>
      <c r="Q794" s="159">
        <v>1500</v>
      </c>
      <c r="R794" s="159">
        <v>2000</v>
      </c>
      <c r="S794" s="159">
        <v>170512</v>
      </c>
      <c r="T794" s="159">
        <v>0</v>
      </c>
      <c r="U794" s="159">
        <v>13902</v>
      </c>
      <c r="V794" s="159">
        <v>4500</v>
      </c>
      <c r="W794" s="159">
        <v>186</v>
      </c>
      <c r="X794" s="159">
        <v>0</v>
      </c>
      <c r="Y794" s="159">
        <v>1500</v>
      </c>
      <c r="Z794" s="159">
        <v>6637</v>
      </c>
      <c r="AA794" s="159">
        <v>11678</v>
      </c>
      <c r="AB794" s="159">
        <v>4964</v>
      </c>
      <c r="AC794" s="159">
        <v>0</v>
      </c>
      <c r="AD794" s="207">
        <v>221047</v>
      </c>
      <c r="AE794" s="200">
        <v>12.435155770765395</v>
      </c>
      <c r="AF794" s="200">
        <v>12.358276227699456</v>
      </c>
      <c r="AG794" s="200">
        <v>11.433060078805559</v>
      </c>
      <c r="AH794" s="200">
        <v>0</v>
      </c>
      <c r="AI794" s="200">
        <v>0</v>
      </c>
      <c r="AJ794" s="200">
        <v>684.13970784401579</v>
      </c>
      <c r="AL794" s="197">
        <f t="shared" si="116"/>
        <v>253400.70256001622</v>
      </c>
      <c r="AM794" s="197" t="str">
        <f t="shared" si="117"/>
        <v>Transit Heavy 8</v>
      </c>
      <c r="AN794" s="3">
        <f t="shared" si="118"/>
        <v>18.915333557333511</v>
      </c>
      <c r="AO794" s="3">
        <f t="shared" si="119"/>
        <v>7.3012098239569028</v>
      </c>
      <c r="AP794" s="3">
        <f t="shared" si="120"/>
        <v>0</v>
      </c>
      <c r="AQ794" s="3">
        <f t="shared" si="112"/>
        <v>0</v>
      </c>
      <c r="AR794" s="3">
        <f t="shared" si="113"/>
        <v>7.3012098239569028</v>
      </c>
      <c r="AS794" s="81">
        <f t="shared" si="114"/>
        <v>1</v>
      </c>
      <c r="AT794" s="81">
        <f t="shared" si="115"/>
        <v>0</v>
      </c>
    </row>
    <row r="795" spans="1:46" x14ac:dyDescent="0.25">
      <c r="A795" t="s">
        <v>805</v>
      </c>
      <c r="B795">
        <v>2030</v>
      </c>
      <c r="C795" t="s">
        <v>680</v>
      </c>
      <c r="D795" t="s">
        <v>813</v>
      </c>
      <c r="E795" t="s">
        <v>2490</v>
      </c>
      <c r="F795">
        <v>8</v>
      </c>
      <c r="G795" t="s">
        <v>2533</v>
      </c>
      <c r="H795" s="460">
        <v>11593.135498087768</v>
      </c>
      <c r="I795">
        <v>3400</v>
      </c>
      <c r="J795">
        <v>0</v>
      </c>
      <c r="K795" s="67">
        <v>0</v>
      </c>
      <c r="L795" s="159">
        <v>300</v>
      </c>
      <c r="M795" s="159">
        <v>15781</v>
      </c>
      <c r="N795" s="159">
        <v>1920</v>
      </c>
      <c r="O795" s="159">
        <v>506</v>
      </c>
      <c r="P795" s="159">
        <v>4526</v>
      </c>
      <c r="Q795" s="159">
        <v>1500</v>
      </c>
      <c r="R795" s="159">
        <v>2000</v>
      </c>
      <c r="S795" s="159">
        <v>171084</v>
      </c>
      <c r="T795" s="159">
        <v>73</v>
      </c>
      <c r="U795" s="159">
        <v>120</v>
      </c>
      <c r="V795" s="159">
        <v>0</v>
      </c>
      <c r="W795" s="159">
        <v>186</v>
      </c>
      <c r="X795" s="159">
        <v>0</v>
      </c>
      <c r="Y795" s="159">
        <v>0</v>
      </c>
      <c r="Z795" s="159">
        <v>0</v>
      </c>
      <c r="AA795" s="159">
        <v>0</v>
      </c>
      <c r="AB795" s="159">
        <v>0</v>
      </c>
      <c r="AC795" s="159">
        <v>0</v>
      </c>
      <c r="AD795" s="207">
        <v>197996</v>
      </c>
      <c r="AE795" s="200">
        <v>7.6182036726247286</v>
      </c>
      <c r="AF795" s="200">
        <v>11.363292497103595</v>
      </c>
      <c r="AG795" s="200">
        <v>9.2947366934128368</v>
      </c>
      <c r="AH795" s="200">
        <v>0</v>
      </c>
      <c r="AI795" s="200">
        <v>0</v>
      </c>
      <c r="AJ795" s="200">
        <v>0</v>
      </c>
      <c r="AL795" s="197">
        <f t="shared" si="116"/>
        <v>226975.8264263843</v>
      </c>
      <c r="AM795" s="197" t="str">
        <f t="shared" si="117"/>
        <v>Transit Heavy 8</v>
      </c>
      <c r="AN795" s="3">
        <f t="shared" si="118"/>
        <v>30.875404406244837</v>
      </c>
      <c r="AO795" s="3">
        <f t="shared" si="119"/>
        <v>11.917728296264604</v>
      </c>
      <c r="AP795" s="3">
        <f t="shared" si="120"/>
        <v>0</v>
      </c>
      <c r="AQ795" s="3">
        <f t="shared" si="112"/>
        <v>0</v>
      </c>
      <c r="AR795" s="3">
        <f t="shared" si="113"/>
        <v>11.917728296264604</v>
      </c>
      <c r="AS795" s="81">
        <f t="shared" si="114"/>
        <v>1</v>
      </c>
      <c r="AT795" s="81">
        <f t="shared" si="115"/>
        <v>0</v>
      </c>
    </row>
    <row r="796" spans="1:46" x14ac:dyDescent="0.25">
      <c r="A796" t="s">
        <v>807</v>
      </c>
      <c r="B796">
        <v>2030</v>
      </c>
      <c r="C796" t="s">
        <v>680</v>
      </c>
      <c r="D796" t="s">
        <v>813</v>
      </c>
      <c r="E796" t="s">
        <v>2490</v>
      </c>
      <c r="F796">
        <v>8</v>
      </c>
      <c r="G796" t="s">
        <v>2534</v>
      </c>
      <c r="H796" s="460">
        <v>11766.442537145227</v>
      </c>
      <c r="I796">
        <v>3400</v>
      </c>
      <c r="J796">
        <v>0</v>
      </c>
      <c r="K796" s="67">
        <v>10.454400000000001</v>
      </c>
      <c r="L796" s="159">
        <v>300</v>
      </c>
      <c r="M796" s="159">
        <v>16203</v>
      </c>
      <c r="N796" s="159">
        <v>220</v>
      </c>
      <c r="O796" s="159">
        <v>392</v>
      </c>
      <c r="P796" s="159">
        <v>4649</v>
      </c>
      <c r="Q796" s="159">
        <v>1500</v>
      </c>
      <c r="R796" s="159">
        <v>2000</v>
      </c>
      <c r="S796" s="159">
        <v>171084</v>
      </c>
      <c r="T796" s="159">
        <v>0</v>
      </c>
      <c r="U796" s="159">
        <v>3754</v>
      </c>
      <c r="V796" s="159">
        <v>4500</v>
      </c>
      <c r="W796" s="159">
        <v>186</v>
      </c>
      <c r="X796" s="159">
        <v>120</v>
      </c>
      <c r="Y796" s="159">
        <v>1500</v>
      </c>
      <c r="Z796" s="159">
        <v>4586</v>
      </c>
      <c r="AA796" s="159">
        <v>0</v>
      </c>
      <c r="AB796" s="159">
        <v>0</v>
      </c>
      <c r="AC796" s="159">
        <v>0</v>
      </c>
      <c r="AD796" s="207">
        <v>210994</v>
      </c>
      <c r="AE796" s="200">
        <v>8.5795053138482569</v>
      </c>
      <c r="AF796" s="200">
        <v>9.7922129342619844</v>
      </c>
      <c r="AG796" s="200">
        <v>8.4670010490240237</v>
      </c>
      <c r="AH796" s="200">
        <v>0</v>
      </c>
      <c r="AI796" s="200">
        <v>0</v>
      </c>
      <c r="AJ796" s="200">
        <v>0</v>
      </c>
      <c r="AL796" s="197">
        <f t="shared" si="116"/>
        <v>241876.28801091199</v>
      </c>
      <c r="AM796" s="197" t="str">
        <f t="shared" si="117"/>
        <v>Transit Heavy 8</v>
      </c>
      <c r="AN796" s="3">
        <f t="shared" si="118"/>
        <v>27.415930247372806</v>
      </c>
      <c r="AO796" s="3">
        <f t="shared" si="119"/>
        <v>10.582391193277658</v>
      </c>
      <c r="AP796" s="3">
        <f t="shared" si="120"/>
        <v>0</v>
      </c>
      <c r="AQ796" s="3">
        <f t="shared" si="112"/>
        <v>0</v>
      </c>
      <c r="AR796" s="3">
        <f t="shared" si="113"/>
        <v>10.582391193277658</v>
      </c>
      <c r="AS796" s="81">
        <f t="shared" si="114"/>
        <v>1</v>
      </c>
      <c r="AT796" s="81">
        <f t="shared" si="115"/>
        <v>0</v>
      </c>
    </row>
    <row r="797" spans="1:46" x14ac:dyDescent="0.25">
      <c r="A797" t="s">
        <v>808</v>
      </c>
      <c r="B797">
        <v>2030</v>
      </c>
      <c r="C797" t="s">
        <v>680</v>
      </c>
      <c r="D797" t="s">
        <v>813</v>
      </c>
      <c r="E797" t="s">
        <v>2490</v>
      </c>
      <c r="F797">
        <v>8</v>
      </c>
      <c r="G797" t="s">
        <v>2535</v>
      </c>
      <c r="H797" s="460">
        <v>13524.421939930893</v>
      </c>
      <c r="I797">
        <v>3400</v>
      </c>
      <c r="J797">
        <v>160.0000000231087</v>
      </c>
      <c r="K797" s="67">
        <v>337.12349999999998</v>
      </c>
      <c r="L797" s="159">
        <v>0</v>
      </c>
      <c r="M797" s="159">
        <v>11659</v>
      </c>
      <c r="N797" s="159">
        <v>220</v>
      </c>
      <c r="O797" s="159">
        <v>0</v>
      </c>
      <c r="P797" s="159">
        <v>3683</v>
      </c>
      <c r="Q797" s="159">
        <v>1500</v>
      </c>
      <c r="R797" s="159">
        <v>2000</v>
      </c>
      <c r="S797" s="159">
        <v>171084</v>
      </c>
      <c r="T797" s="159">
        <v>2928</v>
      </c>
      <c r="U797" s="159">
        <v>67425</v>
      </c>
      <c r="V797" s="159">
        <v>4500</v>
      </c>
      <c r="W797" s="159">
        <v>186</v>
      </c>
      <c r="X797" s="159">
        <v>0</v>
      </c>
      <c r="Y797" s="159">
        <v>1500</v>
      </c>
      <c r="Z797" s="159">
        <v>5263</v>
      </c>
      <c r="AA797" s="159">
        <v>0</v>
      </c>
      <c r="AB797" s="159">
        <v>0</v>
      </c>
      <c r="AC797" s="159">
        <v>0</v>
      </c>
      <c r="AD797" s="207">
        <v>271948</v>
      </c>
      <c r="AE797" s="200">
        <v>8.3729077067435611</v>
      </c>
      <c r="AF797" s="200">
        <v>8.1368090445476273</v>
      </c>
      <c r="AG797" s="200">
        <v>8.0462599018288437</v>
      </c>
      <c r="AH797" s="200">
        <v>1709</v>
      </c>
      <c r="AI797" s="200">
        <v>1784</v>
      </c>
      <c r="AJ797" s="200">
        <v>1773</v>
      </c>
      <c r="AL797" s="197">
        <f t="shared" si="116"/>
        <v>311751.86390130286</v>
      </c>
      <c r="AM797" s="197" t="str">
        <f t="shared" si="117"/>
        <v>Transit Heavy 8</v>
      </c>
      <c r="AN797" s="3">
        <f t="shared" si="118"/>
        <v>5.6184811174255564</v>
      </c>
      <c r="AO797" s="3">
        <f t="shared" si="119"/>
        <v>2.1687013557505903</v>
      </c>
      <c r="AP797" s="3">
        <f t="shared" si="120"/>
        <v>84.954080554761589</v>
      </c>
      <c r="AQ797" s="3">
        <f t="shared" si="112"/>
        <v>3.0583468999714172</v>
      </c>
      <c r="AR797" s="3">
        <f t="shared" si="113"/>
        <v>5.227048255722007</v>
      </c>
      <c r="AS797" s="81">
        <f t="shared" si="114"/>
        <v>0.41489981527844721</v>
      </c>
      <c r="AT797" s="81">
        <f t="shared" si="115"/>
        <v>0.5851001847215529</v>
      </c>
    </row>
    <row r="798" spans="1:46" x14ac:dyDescent="0.25">
      <c r="A798" t="s">
        <v>230</v>
      </c>
      <c r="B798">
        <v>2030</v>
      </c>
      <c r="C798" t="s">
        <v>680</v>
      </c>
      <c r="D798" t="s">
        <v>813</v>
      </c>
      <c r="E798" t="s">
        <v>2490</v>
      </c>
      <c r="F798">
        <v>8</v>
      </c>
      <c r="G798" t="s">
        <v>2536</v>
      </c>
      <c r="H798" s="460">
        <v>13700.127549773882</v>
      </c>
      <c r="I798">
        <v>3400</v>
      </c>
      <c r="J798">
        <v>200.00000001335161</v>
      </c>
      <c r="K798" s="67">
        <v>462.24150000000003</v>
      </c>
      <c r="L798" s="159">
        <v>0</v>
      </c>
      <c r="M798" s="159">
        <v>0</v>
      </c>
      <c r="N798" s="159">
        <v>0</v>
      </c>
      <c r="O798" s="159">
        <v>0</v>
      </c>
      <c r="P798" s="159">
        <v>3171</v>
      </c>
      <c r="Q798" s="159">
        <v>1500</v>
      </c>
      <c r="R798" s="159">
        <v>2000</v>
      </c>
      <c r="S798" s="159">
        <v>171084</v>
      </c>
      <c r="T798" s="159">
        <v>0</v>
      </c>
      <c r="U798" s="159">
        <v>92448</v>
      </c>
      <c r="V798" s="159">
        <v>4500</v>
      </c>
      <c r="W798" s="159">
        <v>186</v>
      </c>
      <c r="X798" s="159">
        <v>0</v>
      </c>
      <c r="Y798" s="159">
        <v>1500</v>
      </c>
      <c r="Z798" s="159">
        <v>4421</v>
      </c>
      <c r="AA798" s="159">
        <v>0</v>
      </c>
      <c r="AB798" s="159">
        <v>0</v>
      </c>
      <c r="AC798" s="159">
        <v>0</v>
      </c>
      <c r="AD798" s="207">
        <v>280810</v>
      </c>
      <c r="AE798" s="200">
        <v>0</v>
      </c>
      <c r="AF798" s="200">
        <v>0</v>
      </c>
      <c r="AG798" s="200">
        <v>0</v>
      </c>
      <c r="AH798" s="200">
        <v>1672</v>
      </c>
      <c r="AI798" s="200">
        <v>1572</v>
      </c>
      <c r="AJ798" s="200">
        <v>1864</v>
      </c>
      <c r="AL798" s="197">
        <f t="shared" si="116"/>
        <v>321910.95688192174</v>
      </c>
      <c r="AM798" s="197" t="str">
        <f t="shared" si="117"/>
        <v>Transit Heavy 8</v>
      </c>
      <c r="AN798" s="3">
        <f t="shared" si="118"/>
        <v>0</v>
      </c>
      <c r="AO798" s="3">
        <f t="shared" si="119"/>
        <v>0</v>
      </c>
      <c r="AP798" s="3">
        <f t="shared" si="120"/>
        <v>103.89352156784769</v>
      </c>
      <c r="AQ798" s="3">
        <f t="shared" si="112"/>
        <v>3.7401667764425168</v>
      </c>
      <c r="AR798" s="3">
        <f t="shared" si="113"/>
        <v>3.7401667764425168</v>
      </c>
      <c r="AS798" s="81">
        <f t="shared" si="114"/>
        <v>0</v>
      </c>
      <c r="AT798" s="81">
        <f t="shared" si="115"/>
        <v>1</v>
      </c>
    </row>
    <row r="799" spans="1:46" x14ac:dyDescent="0.25">
      <c r="A799" t="s">
        <v>496</v>
      </c>
      <c r="B799">
        <v>2030</v>
      </c>
      <c r="C799" t="s">
        <v>680</v>
      </c>
      <c r="D799" t="s">
        <v>813</v>
      </c>
      <c r="E799" t="s">
        <v>2490</v>
      </c>
      <c r="F799">
        <v>8</v>
      </c>
      <c r="G799" t="s">
        <v>2537</v>
      </c>
      <c r="H799" s="460">
        <v>11849.294252021264</v>
      </c>
      <c r="I799">
        <v>3400</v>
      </c>
      <c r="J799">
        <v>200.00000001335161</v>
      </c>
      <c r="K799" s="67">
        <v>7.8566400000000014</v>
      </c>
      <c r="L799" s="159">
        <v>0</v>
      </c>
      <c r="M799" s="159">
        <v>0</v>
      </c>
      <c r="N799" s="159">
        <v>0</v>
      </c>
      <c r="O799" s="159">
        <v>0</v>
      </c>
      <c r="P799" s="159">
        <v>3469</v>
      </c>
      <c r="Q799" s="159">
        <v>1500</v>
      </c>
      <c r="R799" s="159">
        <v>2000</v>
      </c>
      <c r="S799" s="159">
        <v>171084</v>
      </c>
      <c r="T799" s="159">
        <v>0</v>
      </c>
      <c r="U799" s="159">
        <v>2821</v>
      </c>
      <c r="V799" s="159">
        <v>4500</v>
      </c>
      <c r="W799" s="159">
        <v>186</v>
      </c>
      <c r="X799" s="159">
        <v>0</v>
      </c>
      <c r="Y799" s="159">
        <v>1500</v>
      </c>
      <c r="Z799" s="159">
        <v>4912</v>
      </c>
      <c r="AA799" s="159">
        <v>19725</v>
      </c>
      <c r="AB799" s="159">
        <v>16313</v>
      </c>
      <c r="AC799" s="159">
        <v>0</v>
      </c>
      <c r="AD799" s="207">
        <v>228010</v>
      </c>
      <c r="AE799" s="200">
        <v>13.023457153997617</v>
      </c>
      <c r="AF799" s="200">
        <v>13.955199614544256</v>
      </c>
      <c r="AG799" s="200">
        <v>11.36926304870366</v>
      </c>
      <c r="AH799" s="200">
        <v>0</v>
      </c>
      <c r="AI799" s="200">
        <v>0</v>
      </c>
      <c r="AJ799" s="200">
        <v>0</v>
      </c>
      <c r="AL799" s="197">
        <f t="shared" si="116"/>
        <v>261382.84704478818</v>
      </c>
      <c r="AM799" s="197" t="str">
        <f t="shared" si="117"/>
        <v>Transit Heavy 8</v>
      </c>
      <c r="AN799" s="3">
        <f t="shared" si="118"/>
        <v>18.060881719814901</v>
      </c>
      <c r="AO799" s="3">
        <f t="shared" si="119"/>
        <v>6.9713963352716757</v>
      </c>
      <c r="AP799" s="3">
        <f t="shared" si="120"/>
        <v>0</v>
      </c>
      <c r="AQ799" s="3">
        <f t="shared" si="112"/>
        <v>0</v>
      </c>
      <c r="AR799" s="3">
        <f t="shared" si="113"/>
        <v>6.9713963352716757</v>
      </c>
      <c r="AS799" s="81">
        <f t="shared" si="114"/>
        <v>1</v>
      </c>
      <c r="AT799" s="81">
        <f t="shared" si="115"/>
        <v>0</v>
      </c>
    </row>
    <row r="800" spans="1:46" x14ac:dyDescent="0.25">
      <c r="A800" t="s">
        <v>828</v>
      </c>
      <c r="B800">
        <v>2030</v>
      </c>
      <c r="C800" t="s">
        <v>680</v>
      </c>
      <c r="D800" t="s">
        <v>813</v>
      </c>
      <c r="E800" t="s">
        <v>2490</v>
      </c>
      <c r="F800">
        <v>8</v>
      </c>
      <c r="G800" t="s">
        <v>2538</v>
      </c>
      <c r="H800" s="460">
        <v>11642.306366134741</v>
      </c>
      <c r="I800">
        <v>3400</v>
      </c>
      <c r="J800">
        <v>200.00000001335161</v>
      </c>
      <c r="K800" s="67">
        <v>51.387750000000004</v>
      </c>
      <c r="L800" s="159">
        <v>0</v>
      </c>
      <c r="M800" s="159">
        <v>0</v>
      </c>
      <c r="N800" s="159">
        <v>0</v>
      </c>
      <c r="O800" s="159">
        <v>0</v>
      </c>
      <c r="P800" s="159">
        <v>3655</v>
      </c>
      <c r="Q800" s="159">
        <v>1500</v>
      </c>
      <c r="R800" s="159">
        <v>2000</v>
      </c>
      <c r="S800" s="159">
        <v>171084</v>
      </c>
      <c r="T800" s="159">
        <v>0</v>
      </c>
      <c r="U800" s="159">
        <v>10278</v>
      </c>
      <c r="V800" s="159">
        <v>4500</v>
      </c>
      <c r="W800" s="159">
        <v>186</v>
      </c>
      <c r="X800" s="159">
        <v>0</v>
      </c>
      <c r="Y800" s="159">
        <v>1500</v>
      </c>
      <c r="Z800" s="159">
        <v>5216</v>
      </c>
      <c r="AA800" s="159">
        <v>9576</v>
      </c>
      <c r="AB800" s="159">
        <v>3430</v>
      </c>
      <c r="AC800" s="159">
        <v>0</v>
      </c>
      <c r="AD800" s="207">
        <v>212925</v>
      </c>
      <c r="AE800" s="200">
        <v>13.337743693693373</v>
      </c>
      <c r="AF800" s="200">
        <v>13.47693333802618</v>
      </c>
      <c r="AG800" s="200">
        <v>12.53130161536737</v>
      </c>
      <c r="AH800" s="200">
        <v>0</v>
      </c>
      <c r="AI800" s="200">
        <v>0</v>
      </c>
      <c r="AJ800" s="200">
        <v>586.59105386534748</v>
      </c>
      <c r="AL800" s="197">
        <f t="shared" si="116"/>
        <v>244089.92020969049</v>
      </c>
      <c r="AM800" s="197" t="str">
        <f t="shared" si="117"/>
        <v>Transit Heavy 8</v>
      </c>
      <c r="AN800" s="3">
        <f t="shared" si="118"/>
        <v>17.635300590807379</v>
      </c>
      <c r="AO800" s="3">
        <f t="shared" si="119"/>
        <v>6.8071244703012743</v>
      </c>
      <c r="AP800" s="3">
        <f t="shared" si="120"/>
        <v>0</v>
      </c>
      <c r="AQ800" s="3">
        <f t="shared" si="112"/>
        <v>0</v>
      </c>
      <c r="AR800" s="3">
        <f t="shared" si="113"/>
        <v>6.8071244703012743</v>
      </c>
      <c r="AS800" s="81">
        <f t="shared" si="114"/>
        <v>1</v>
      </c>
      <c r="AT800" s="81">
        <f t="shared" si="115"/>
        <v>0</v>
      </c>
    </row>
    <row r="801" spans="1:46" x14ac:dyDescent="0.25">
      <c r="A801" t="s">
        <v>805</v>
      </c>
      <c r="B801">
        <v>2035</v>
      </c>
      <c r="C801" t="s">
        <v>680</v>
      </c>
      <c r="D801" t="s">
        <v>813</v>
      </c>
      <c r="E801" t="s">
        <v>2490</v>
      </c>
      <c r="F801">
        <v>8</v>
      </c>
      <c r="G801" t="s">
        <v>2539</v>
      </c>
      <c r="H801" s="460">
        <v>11593.200210993586</v>
      </c>
      <c r="I801">
        <v>3400</v>
      </c>
      <c r="J801">
        <v>0</v>
      </c>
      <c r="K801" s="67">
        <v>0</v>
      </c>
      <c r="L801" s="159">
        <v>300</v>
      </c>
      <c r="M801" s="159">
        <v>16018</v>
      </c>
      <c r="N801" s="159">
        <v>1920</v>
      </c>
      <c r="O801" s="159">
        <v>506</v>
      </c>
      <c r="P801" s="159">
        <v>4528</v>
      </c>
      <c r="Q801" s="159">
        <v>1500</v>
      </c>
      <c r="R801" s="159">
        <v>2000</v>
      </c>
      <c r="S801" s="159">
        <v>171084</v>
      </c>
      <c r="T801" s="159">
        <v>63</v>
      </c>
      <c r="U801" s="159">
        <v>120</v>
      </c>
      <c r="V801" s="159">
        <v>0</v>
      </c>
      <c r="W801" s="159">
        <v>186</v>
      </c>
      <c r="X801" s="159">
        <v>0</v>
      </c>
      <c r="Y801" s="159">
        <v>0</v>
      </c>
      <c r="Z801" s="159">
        <v>0</v>
      </c>
      <c r="AA801" s="159">
        <v>0</v>
      </c>
      <c r="AB801" s="159">
        <v>0</v>
      </c>
      <c r="AC801" s="159">
        <v>0</v>
      </c>
      <c r="AD801" s="207">
        <v>198225</v>
      </c>
      <c r="AE801" s="200">
        <v>7.9164738199075924</v>
      </c>
      <c r="AF801" s="200">
        <v>12.317410636063288</v>
      </c>
      <c r="AG801" s="200">
        <v>10.160921200946889</v>
      </c>
      <c r="AH801" s="200">
        <v>0</v>
      </c>
      <c r="AI801" s="200">
        <v>0</v>
      </c>
      <c r="AJ801" s="200">
        <v>0</v>
      </c>
      <c r="AL801" s="197">
        <f t="shared" si="116"/>
        <v>227238.34417548854</v>
      </c>
      <c r="AM801" s="197" t="str">
        <f t="shared" si="117"/>
        <v>Transit Heavy 8</v>
      </c>
      <c r="AN801" s="3">
        <f t="shared" si="118"/>
        <v>29.712107257897024</v>
      </c>
      <c r="AO801" s="3">
        <f t="shared" si="119"/>
        <v>11.468702296170349</v>
      </c>
      <c r="AP801" s="3">
        <f t="shared" si="120"/>
        <v>0</v>
      </c>
      <c r="AQ801" s="3">
        <f t="shared" si="112"/>
        <v>0</v>
      </c>
      <c r="AR801" s="3">
        <f t="shared" si="113"/>
        <v>11.468702296170349</v>
      </c>
      <c r="AS801" s="81">
        <f t="shared" si="114"/>
        <v>1</v>
      </c>
      <c r="AT801" s="81">
        <f t="shared" si="115"/>
        <v>0</v>
      </c>
    </row>
    <row r="802" spans="1:46" x14ac:dyDescent="0.25">
      <c r="A802" t="s">
        <v>807</v>
      </c>
      <c r="B802">
        <v>2035</v>
      </c>
      <c r="C802" t="s">
        <v>680</v>
      </c>
      <c r="D802" t="s">
        <v>813</v>
      </c>
      <c r="E802" t="s">
        <v>2490</v>
      </c>
      <c r="F802">
        <v>8</v>
      </c>
      <c r="G802" t="s">
        <v>2540</v>
      </c>
      <c r="H802" s="460">
        <v>11744.312922120085</v>
      </c>
      <c r="I802">
        <v>3400</v>
      </c>
      <c r="J802">
        <v>0</v>
      </c>
      <c r="K802" s="67">
        <v>7.128000000000001</v>
      </c>
      <c r="L802" s="159">
        <v>300</v>
      </c>
      <c r="M802" s="159">
        <v>16337</v>
      </c>
      <c r="N802" s="159">
        <v>220</v>
      </c>
      <c r="O802" s="159">
        <v>392</v>
      </c>
      <c r="P802" s="159">
        <v>4621</v>
      </c>
      <c r="Q802" s="159">
        <v>1500</v>
      </c>
      <c r="R802" s="159">
        <v>2000</v>
      </c>
      <c r="S802" s="159">
        <v>171084</v>
      </c>
      <c r="T802" s="159">
        <v>0</v>
      </c>
      <c r="U802" s="159">
        <v>2425</v>
      </c>
      <c r="V802" s="159">
        <v>4500</v>
      </c>
      <c r="W802" s="159">
        <v>186</v>
      </c>
      <c r="X802" s="159">
        <v>120</v>
      </c>
      <c r="Y802" s="159">
        <v>1500</v>
      </c>
      <c r="Z802" s="159">
        <v>3780</v>
      </c>
      <c r="AA802" s="159">
        <v>0</v>
      </c>
      <c r="AB802" s="159">
        <v>0</v>
      </c>
      <c r="AC802" s="159">
        <v>0</v>
      </c>
      <c r="AD802" s="207">
        <v>208965</v>
      </c>
      <c r="AE802" s="200">
        <v>8.9918864870162949</v>
      </c>
      <c r="AF802" s="200">
        <v>10.997241138190091</v>
      </c>
      <c r="AG802" s="200">
        <v>9.4402579873968904</v>
      </c>
      <c r="AH802" s="200">
        <v>0</v>
      </c>
      <c r="AI802" s="200">
        <v>0</v>
      </c>
      <c r="AJ802" s="200">
        <v>0</v>
      </c>
      <c r="AL802" s="197">
        <f t="shared" si="116"/>
        <v>239550.31197190547</v>
      </c>
      <c r="AM802" s="197" t="str">
        <f t="shared" si="117"/>
        <v>Transit Heavy 8</v>
      </c>
      <c r="AN802" s="3">
        <f t="shared" si="118"/>
        <v>26.15859526041211</v>
      </c>
      <c r="AO802" s="3">
        <f t="shared" si="119"/>
        <v>10.097067129021703</v>
      </c>
      <c r="AP802" s="3">
        <f t="shared" si="120"/>
        <v>0</v>
      </c>
      <c r="AQ802" s="3">
        <f t="shared" si="112"/>
        <v>0</v>
      </c>
      <c r="AR802" s="3">
        <f t="shared" si="113"/>
        <v>10.097067129021703</v>
      </c>
      <c r="AS802" s="81">
        <f t="shared" si="114"/>
        <v>1</v>
      </c>
      <c r="AT802" s="81">
        <f t="shared" si="115"/>
        <v>0</v>
      </c>
    </row>
    <row r="803" spans="1:46" x14ac:dyDescent="0.25">
      <c r="A803" t="s">
        <v>808</v>
      </c>
      <c r="B803">
        <v>2035</v>
      </c>
      <c r="C803" t="s">
        <v>680</v>
      </c>
      <c r="D803" t="s">
        <v>813</v>
      </c>
      <c r="E803" t="s">
        <v>2490</v>
      </c>
      <c r="F803">
        <v>8</v>
      </c>
      <c r="G803" t="s">
        <v>2541</v>
      </c>
      <c r="H803" s="460">
        <v>13109.353545094957</v>
      </c>
      <c r="I803">
        <v>3400</v>
      </c>
      <c r="J803">
        <v>160.0000000231087</v>
      </c>
      <c r="K803" s="67">
        <v>314.65687500000001</v>
      </c>
      <c r="L803" s="159">
        <v>0</v>
      </c>
      <c r="M803" s="159">
        <v>11604</v>
      </c>
      <c r="N803" s="159">
        <v>220</v>
      </c>
      <c r="O803" s="159">
        <v>0</v>
      </c>
      <c r="P803" s="159">
        <v>3670</v>
      </c>
      <c r="Q803" s="159">
        <v>1500</v>
      </c>
      <c r="R803" s="159">
        <v>2000</v>
      </c>
      <c r="S803" s="159">
        <v>171084</v>
      </c>
      <c r="T803" s="159">
        <v>2356</v>
      </c>
      <c r="U803" s="159">
        <v>50345</v>
      </c>
      <c r="V803" s="159">
        <v>4500</v>
      </c>
      <c r="W803" s="159">
        <v>186</v>
      </c>
      <c r="X803" s="159">
        <v>0</v>
      </c>
      <c r="Y803" s="159">
        <v>1500</v>
      </c>
      <c r="Z803" s="159">
        <v>4314</v>
      </c>
      <c r="AA803" s="159">
        <v>0</v>
      </c>
      <c r="AB803" s="159">
        <v>0</v>
      </c>
      <c r="AC803" s="159">
        <v>0</v>
      </c>
      <c r="AD803" s="207">
        <v>253279</v>
      </c>
      <c r="AE803" s="200">
        <v>9.2093398586142428</v>
      </c>
      <c r="AF803" s="200">
        <v>8.9488858449288777</v>
      </c>
      <c r="AG803" s="200">
        <v>8.8398224999218744</v>
      </c>
      <c r="AH803" s="200">
        <v>1598</v>
      </c>
      <c r="AI803" s="200">
        <v>1663</v>
      </c>
      <c r="AJ803" s="200">
        <v>1648</v>
      </c>
      <c r="AL803" s="197">
        <f t="shared" si="116"/>
        <v>290350.36233786639</v>
      </c>
      <c r="AM803" s="197" t="str">
        <f t="shared" si="117"/>
        <v>Transit Heavy 8</v>
      </c>
      <c r="AN803" s="3">
        <f t="shared" si="118"/>
        <v>5.1081863163386743</v>
      </c>
      <c r="AO803" s="3">
        <f t="shared" si="119"/>
        <v>1.97173050120464</v>
      </c>
      <c r="AP803" s="3">
        <f t="shared" si="120"/>
        <v>79.436290653311303</v>
      </c>
      <c r="AQ803" s="3">
        <f t="shared" si="112"/>
        <v>2.8597064635192071</v>
      </c>
      <c r="AR803" s="3">
        <f t="shared" si="113"/>
        <v>4.8314369647238475</v>
      </c>
      <c r="AS803" s="81">
        <f t="shared" si="114"/>
        <v>0.40810436224274305</v>
      </c>
      <c r="AT803" s="81">
        <f t="shared" si="115"/>
        <v>0.59189563775725684</v>
      </c>
    </row>
    <row r="804" spans="1:46" x14ac:dyDescent="0.25">
      <c r="A804" t="s">
        <v>230</v>
      </c>
      <c r="B804">
        <v>2035</v>
      </c>
      <c r="C804" t="s">
        <v>680</v>
      </c>
      <c r="D804" t="s">
        <v>813</v>
      </c>
      <c r="E804" t="s">
        <v>2490</v>
      </c>
      <c r="F804">
        <v>8</v>
      </c>
      <c r="G804" t="s">
        <v>2542</v>
      </c>
      <c r="H804" s="460">
        <v>13350.460030742648</v>
      </c>
      <c r="I804">
        <v>3400</v>
      </c>
      <c r="J804">
        <v>200.00000001335161</v>
      </c>
      <c r="K804" s="67">
        <v>469.31662499999999</v>
      </c>
      <c r="L804" s="159">
        <v>0</v>
      </c>
      <c r="M804" s="159">
        <v>0</v>
      </c>
      <c r="N804" s="159">
        <v>0</v>
      </c>
      <c r="O804" s="159">
        <v>0</v>
      </c>
      <c r="P804" s="159">
        <v>3166</v>
      </c>
      <c r="Q804" s="159">
        <v>1500</v>
      </c>
      <c r="R804" s="159">
        <v>2000</v>
      </c>
      <c r="S804" s="159">
        <v>171084</v>
      </c>
      <c r="T804" s="159">
        <v>0</v>
      </c>
      <c r="U804" s="159">
        <v>75091</v>
      </c>
      <c r="V804" s="159">
        <v>4500</v>
      </c>
      <c r="W804" s="159">
        <v>186</v>
      </c>
      <c r="X804" s="159">
        <v>0</v>
      </c>
      <c r="Y804" s="159">
        <v>1500</v>
      </c>
      <c r="Z804" s="159">
        <v>3636</v>
      </c>
      <c r="AA804" s="159">
        <v>0</v>
      </c>
      <c r="AB804" s="159">
        <v>0</v>
      </c>
      <c r="AC804" s="159">
        <v>0</v>
      </c>
      <c r="AD804" s="207">
        <v>262663</v>
      </c>
      <c r="AE804" s="200">
        <v>0</v>
      </c>
      <c r="AF804" s="200">
        <v>0</v>
      </c>
      <c r="AG804" s="200">
        <v>0</v>
      </c>
      <c r="AH804" s="200">
        <v>1565</v>
      </c>
      <c r="AI804" s="200">
        <v>1450</v>
      </c>
      <c r="AJ804" s="200">
        <v>1714</v>
      </c>
      <c r="AL804" s="197">
        <f t="shared" si="116"/>
        <v>301107.85822255694</v>
      </c>
      <c r="AM804" s="197" t="str">
        <f t="shared" si="117"/>
        <v>Transit Heavy 8</v>
      </c>
      <c r="AN804" s="3">
        <f t="shared" si="118"/>
        <v>0</v>
      </c>
      <c r="AO804" s="3">
        <f t="shared" si="119"/>
        <v>0</v>
      </c>
      <c r="AP804" s="3">
        <f t="shared" si="120"/>
        <v>97.244833285694753</v>
      </c>
      <c r="AQ804" s="3">
        <f t="shared" si="112"/>
        <v>3.5008139982850111</v>
      </c>
      <c r="AR804" s="3">
        <f t="shared" si="113"/>
        <v>3.5008139982850111</v>
      </c>
      <c r="AS804" s="81">
        <f t="shared" si="114"/>
        <v>0</v>
      </c>
      <c r="AT804" s="81">
        <f t="shared" si="115"/>
        <v>1</v>
      </c>
    </row>
    <row r="805" spans="1:46" x14ac:dyDescent="0.25">
      <c r="A805" t="s">
        <v>496</v>
      </c>
      <c r="B805">
        <v>2035</v>
      </c>
      <c r="C805" t="s">
        <v>680</v>
      </c>
      <c r="D805" t="s">
        <v>813</v>
      </c>
      <c r="E805" t="s">
        <v>2490</v>
      </c>
      <c r="F805">
        <v>8</v>
      </c>
      <c r="G805" t="s">
        <v>2543</v>
      </c>
      <c r="H805" s="460">
        <v>11782.02385385398</v>
      </c>
      <c r="I805">
        <v>3400</v>
      </c>
      <c r="J805">
        <v>200.00000001335161</v>
      </c>
      <c r="K805" s="67">
        <v>7.9200000000000008</v>
      </c>
      <c r="L805" s="159">
        <v>0</v>
      </c>
      <c r="M805" s="159">
        <v>0</v>
      </c>
      <c r="N805" s="159">
        <v>0</v>
      </c>
      <c r="O805" s="159">
        <v>0</v>
      </c>
      <c r="P805" s="159">
        <v>3458</v>
      </c>
      <c r="Q805" s="159">
        <v>1500</v>
      </c>
      <c r="R805" s="159">
        <v>2000</v>
      </c>
      <c r="S805" s="159">
        <v>171084</v>
      </c>
      <c r="T805" s="159">
        <v>0</v>
      </c>
      <c r="U805" s="159">
        <v>2694</v>
      </c>
      <c r="V805" s="159">
        <v>4500</v>
      </c>
      <c r="W805" s="159">
        <v>186</v>
      </c>
      <c r="X805" s="159">
        <v>0</v>
      </c>
      <c r="Y805" s="159">
        <v>1500</v>
      </c>
      <c r="Z805" s="159">
        <v>4029</v>
      </c>
      <c r="AA805" s="159">
        <v>16959</v>
      </c>
      <c r="AB805" s="159">
        <v>13352</v>
      </c>
      <c r="AC805" s="159">
        <v>0</v>
      </c>
      <c r="AD805" s="207">
        <v>221262</v>
      </c>
      <c r="AE805" s="200">
        <v>13.736521397999409</v>
      </c>
      <c r="AF805" s="200">
        <v>15.088775349043932</v>
      </c>
      <c r="AG805" s="200">
        <v>12.372066121128194</v>
      </c>
      <c r="AH805" s="200">
        <v>0</v>
      </c>
      <c r="AI805" s="200">
        <v>0</v>
      </c>
      <c r="AJ805" s="200">
        <v>0</v>
      </c>
      <c r="AL805" s="197">
        <f t="shared" si="116"/>
        <v>253647.17118908788</v>
      </c>
      <c r="AM805" s="197" t="str">
        <f t="shared" si="117"/>
        <v>Transit Heavy 8</v>
      </c>
      <c r="AN805" s="3">
        <f t="shared" si="118"/>
        <v>17.123339485037672</v>
      </c>
      <c r="AO805" s="3">
        <f t="shared" si="119"/>
        <v>6.6095104317436295</v>
      </c>
      <c r="AP805" s="3">
        <f t="shared" si="120"/>
        <v>0</v>
      </c>
      <c r="AQ805" s="3">
        <f t="shared" si="112"/>
        <v>0</v>
      </c>
      <c r="AR805" s="3">
        <f t="shared" si="113"/>
        <v>6.6095104317436295</v>
      </c>
      <c r="AS805" s="81">
        <f t="shared" si="114"/>
        <v>1</v>
      </c>
      <c r="AT805" s="81">
        <f t="shared" si="115"/>
        <v>0</v>
      </c>
    </row>
    <row r="806" spans="1:46" x14ac:dyDescent="0.25">
      <c r="A806" t="s">
        <v>828</v>
      </c>
      <c r="B806">
        <v>2035</v>
      </c>
      <c r="C806" t="s">
        <v>680</v>
      </c>
      <c r="D806" t="s">
        <v>813</v>
      </c>
      <c r="E806" t="s">
        <v>2490</v>
      </c>
      <c r="F806">
        <v>8</v>
      </c>
      <c r="G806" t="s">
        <v>2544</v>
      </c>
      <c r="H806" s="460">
        <v>11540.578407332201</v>
      </c>
      <c r="I806">
        <v>3400</v>
      </c>
      <c r="J806">
        <v>200.00000001335161</v>
      </c>
      <c r="K806" s="67">
        <v>52.504874999999998</v>
      </c>
      <c r="L806" s="159">
        <v>0</v>
      </c>
      <c r="M806" s="159">
        <v>0</v>
      </c>
      <c r="N806" s="159">
        <v>0</v>
      </c>
      <c r="O806" s="159">
        <v>0</v>
      </c>
      <c r="P806" s="159">
        <v>3642</v>
      </c>
      <c r="Q806" s="159">
        <v>1500</v>
      </c>
      <c r="R806" s="159">
        <v>2000</v>
      </c>
      <c r="S806" s="159">
        <v>171084</v>
      </c>
      <c r="T806" s="159">
        <v>0</v>
      </c>
      <c r="U806" s="159">
        <v>8401</v>
      </c>
      <c r="V806" s="159">
        <v>4500</v>
      </c>
      <c r="W806" s="159">
        <v>186</v>
      </c>
      <c r="X806" s="159">
        <v>0</v>
      </c>
      <c r="Y806" s="159">
        <v>1500</v>
      </c>
      <c r="Z806" s="159">
        <v>4276</v>
      </c>
      <c r="AA806" s="159">
        <v>7719</v>
      </c>
      <c r="AB806" s="159">
        <v>2176</v>
      </c>
      <c r="AC806" s="159">
        <v>0</v>
      </c>
      <c r="AD806" s="207">
        <v>206984</v>
      </c>
      <c r="AE806" s="200">
        <v>14.13927050382437</v>
      </c>
      <c r="AF806" s="200">
        <v>14.506041521302613</v>
      </c>
      <c r="AG806" s="200">
        <v>13.478064750641721</v>
      </c>
      <c r="AH806" s="200">
        <v>0</v>
      </c>
      <c r="AI806" s="200">
        <v>0</v>
      </c>
      <c r="AJ806" s="200">
        <v>536.63334614406347</v>
      </c>
      <c r="AL806" s="197">
        <f t="shared" si="116"/>
        <v>237279.36148729635</v>
      </c>
      <c r="AM806" s="197" t="str">
        <f t="shared" si="117"/>
        <v>Transit Heavy 8</v>
      </c>
      <c r="AN806" s="3">
        <f t="shared" si="118"/>
        <v>16.63559086572447</v>
      </c>
      <c r="AO806" s="3">
        <f t="shared" si="119"/>
        <v>6.4212422735239025</v>
      </c>
      <c r="AP806" s="3">
        <f t="shared" si="120"/>
        <v>0</v>
      </c>
      <c r="AQ806" s="3">
        <f t="shared" si="112"/>
        <v>0</v>
      </c>
      <c r="AR806" s="3">
        <f t="shared" si="113"/>
        <v>6.4212422735239025</v>
      </c>
      <c r="AS806" s="81">
        <f t="shared" si="114"/>
        <v>1</v>
      </c>
      <c r="AT806" s="81">
        <f t="shared" si="115"/>
        <v>0</v>
      </c>
    </row>
    <row r="807" spans="1:46" x14ac:dyDescent="0.25">
      <c r="A807" t="s">
        <v>805</v>
      </c>
      <c r="B807">
        <v>2050</v>
      </c>
      <c r="C807" t="s">
        <v>680</v>
      </c>
      <c r="D807" t="s">
        <v>813</v>
      </c>
      <c r="E807" t="s">
        <v>2490</v>
      </c>
      <c r="F807">
        <v>8</v>
      </c>
      <c r="G807" t="s">
        <v>2545</v>
      </c>
      <c r="H807" s="460">
        <v>11527.80001074284</v>
      </c>
      <c r="I807">
        <v>3400</v>
      </c>
      <c r="J807">
        <v>0</v>
      </c>
      <c r="K807" s="67">
        <v>0</v>
      </c>
      <c r="L807" s="159">
        <v>300</v>
      </c>
      <c r="M807" s="159">
        <v>16398</v>
      </c>
      <c r="N807" s="159">
        <v>1920</v>
      </c>
      <c r="O807" s="159">
        <v>506</v>
      </c>
      <c r="P807" s="159">
        <v>4507</v>
      </c>
      <c r="Q807" s="159">
        <v>1500</v>
      </c>
      <c r="R807" s="159">
        <v>2000</v>
      </c>
      <c r="S807" s="159">
        <v>171403</v>
      </c>
      <c r="T807" s="159">
        <v>44</v>
      </c>
      <c r="U807" s="159">
        <v>120</v>
      </c>
      <c r="V807" s="159">
        <v>0</v>
      </c>
      <c r="W807" s="159">
        <v>186</v>
      </c>
      <c r="X807" s="159">
        <v>0</v>
      </c>
      <c r="Y807" s="159">
        <v>0</v>
      </c>
      <c r="Z807" s="159">
        <v>0</v>
      </c>
      <c r="AA807" s="159">
        <v>0</v>
      </c>
      <c r="AB807" s="159">
        <v>0</v>
      </c>
      <c r="AC807" s="159">
        <v>0</v>
      </c>
      <c r="AD807" s="207">
        <v>198884</v>
      </c>
      <c r="AE807" s="200">
        <v>8.7977172097745804</v>
      </c>
      <c r="AF807" s="200">
        <v>14.255461819438199</v>
      </c>
      <c r="AG807" s="200">
        <v>11.866588042411093</v>
      </c>
      <c r="AH807" s="200">
        <v>0</v>
      </c>
      <c r="AI807" s="200">
        <v>0</v>
      </c>
      <c r="AJ807" s="200">
        <v>0</v>
      </c>
      <c r="AL807" s="197">
        <f t="shared" si="116"/>
        <v>227993.79918273608</v>
      </c>
      <c r="AM807" s="197" t="str">
        <f t="shared" si="117"/>
        <v>Transit Heavy 8</v>
      </c>
      <c r="AN807" s="3">
        <f t="shared" si="118"/>
        <v>26.735926335538004</v>
      </c>
      <c r="AO807" s="3">
        <f t="shared" si="119"/>
        <v>10.319913599299808</v>
      </c>
      <c r="AP807" s="3">
        <f t="shared" si="120"/>
        <v>0</v>
      </c>
      <c r="AQ807" s="3">
        <f t="shared" si="112"/>
        <v>0</v>
      </c>
      <c r="AR807" s="3">
        <f t="shared" si="113"/>
        <v>10.319913599299808</v>
      </c>
      <c r="AS807" s="81">
        <f t="shared" si="114"/>
        <v>1</v>
      </c>
      <c r="AT807" s="81">
        <f t="shared" si="115"/>
        <v>0</v>
      </c>
    </row>
    <row r="808" spans="1:46" x14ac:dyDescent="0.25">
      <c r="A808" t="s">
        <v>807</v>
      </c>
      <c r="B808">
        <v>2050</v>
      </c>
      <c r="C808" t="s">
        <v>680</v>
      </c>
      <c r="D808" t="s">
        <v>813</v>
      </c>
      <c r="E808" t="s">
        <v>2490</v>
      </c>
      <c r="F808">
        <v>8</v>
      </c>
      <c r="G808" t="s">
        <v>2546</v>
      </c>
      <c r="H808" s="460">
        <v>11680.700131870142</v>
      </c>
      <c r="I808">
        <v>3400</v>
      </c>
      <c r="J808">
        <v>0</v>
      </c>
      <c r="K808" s="67">
        <v>9.1872000000000007</v>
      </c>
      <c r="L808" s="159">
        <v>300</v>
      </c>
      <c r="M808" s="159">
        <v>16593</v>
      </c>
      <c r="N808" s="159">
        <v>220</v>
      </c>
      <c r="O808" s="159">
        <v>392</v>
      </c>
      <c r="P808" s="159">
        <v>4564</v>
      </c>
      <c r="Q808" s="159">
        <v>1500</v>
      </c>
      <c r="R808" s="159">
        <v>2000</v>
      </c>
      <c r="S808" s="159">
        <v>171403</v>
      </c>
      <c r="T808" s="159">
        <v>0</v>
      </c>
      <c r="U808" s="159">
        <v>2952</v>
      </c>
      <c r="V808" s="159">
        <v>4500</v>
      </c>
      <c r="W808" s="159">
        <v>186</v>
      </c>
      <c r="X808" s="159">
        <v>120</v>
      </c>
      <c r="Y808" s="159">
        <v>1500</v>
      </c>
      <c r="Z808" s="159">
        <v>2793</v>
      </c>
      <c r="AA808" s="159">
        <v>0</v>
      </c>
      <c r="AB808" s="159">
        <v>0</v>
      </c>
      <c r="AC808" s="159">
        <v>0</v>
      </c>
      <c r="AD808" s="207">
        <v>209023</v>
      </c>
      <c r="AE808" s="200">
        <v>10.812985452558911</v>
      </c>
      <c r="AF808" s="200">
        <v>12.599951425060922</v>
      </c>
      <c r="AG808" s="200">
        <v>10.994344909621207</v>
      </c>
      <c r="AH808" s="200">
        <v>0</v>
      </c>
      <c r="AI808" s="200">
        <v>0</v>
      </c>
      <c r="AJ808" s="200">
        <v>0</v>
      </c>
      <c r="AL808" s="197">
        <f t="shared" si="116"/>
        <v>239616.80118346898</v>
      </c>
      <c r="AM808" s="197" t="str">
        <f t="shared" si="117"/>
        <v>Transit Heavy 8</v>
      </c>
      <c r="AN808" s="3">
        <f t="shared" si="118"/>
        <v>21.753022814412841</v>
      </c>
      <c r="AO808" s="3">
        <f t="shared" si="119"/>
        <v>8.3965415355719983</v>
      </c>
      <c r="AP808" s="3">
        <f t="shared" si="120"/>
        <v>0</v>
      </c>
      <c r="AQ808" s="3">
        <f t="shared" si="112"/>
        <v>0</v>
      </c>
      <c r="AR808" s="3">
        <f t="shared" si="113"/>
        <v>8.3965415355719983</v>
      </c>
      <c r="AS808" s="81">
        <f t="shared" si="114"/>
        <v>1</v>
      </c>
      <c r="AT808" s="81">
        <f t="shared" si="115"/>
        <v>0</v>
      </c>
    </row>
    <row r="809" spans="1:46" x14ac:dyDescent="0.25">
      <c r="A809" t="s">
        <v>808</v>
      </c>
      <c r="B809">
        <v>2050</v>
      </c>
      <c r="C809" t="s">
        <v>680</v>
      </c>
      <c r="D809" t="s">
        <v>813</v>
      </c>
      <c r="E809" t="s">
        <v>2490</v>
      </c>
      <c r="F809">
        <v>8</v>
      </c>
      <c r="G809" t="s">
        <v>2547</v>
      </c>
      <c r="H809" s="460">
        <v>12431.527996453849</v>
      </c>
      <c r="I809">
        <v>3400</v>
      </c>
      <c r="J809">
        <v>160.0000000231087</v>
      </c>
      <c r="K809" s="67">
        <v>283.005</v>
      </c>
      <c r="L809" s="159">
        <v>0</v>
      </c>
      <c r="M809" s="159">
        <v>11746</v>
      </c>
      <c r="N809" s="159">
        <v>220</v>
      </c>
      <c r="O809" s="159">
        <v>0</v>
      </c>
      <c r="P809" s="159">
        <v>3645</v>
      </c>
      <c r="Q809" s="159">
        <v>1500</v>
      </c>
      <c r="R809" s="159">
        <v>2000</v>
      </c>
      <c r="S809" s="159">
        <v>171403</v>
      </c>
      <c r="T809" s="159">
        <v>1543</v>
      </c>
      <c r="U809" s="159">
        <v>25470</v>
      </c>
      <c r="V809" s="159">
        <v>4500</v>
      </c>
      <c r="W809" s="159">
        <v>186</v>
      </c>
      <c r="X809" s="159">
        <v>0</v>
      </c>
      <c r="Y809" s="159">
        <v>1500</v>
      </c>
      <c r="Z809" s="159">
        <v>3119</v>
      </c>
      <c r="AA809" s="159">
        <v>0</v>
      </c>
      <c r="AB809" s="159">
        <v>0</v>
      </c>
      <c r="AC809" s="159">
        <v>0</v>
      </c>
      <c r="AD809" s="207">
        <v>226832</v>
      </c>
      <c r="AE809" s="200">
        <v>11.329914210021929</v>
      </c>
      <c r="AF809" s="200">
        <v>10.605996867284498</v>
      </c>
      <c r="AG809" s="200">
        <v>10.488930181446564</v>
      </c>
      <c r="AH809" s="200">
        <v>1415</v>
      </c>
      <c r="AI809" s="200">
        <v>1506</v>
      </c>
      <c r="AJ809" s="200">
        <v>1483</v>
      </c>
      <c r="AL809" s="197">
        <f t="shared" si="116"/>
        <v>260032.42823061883</v>
      </c>
      <c r="AM809" s="197" t="str">
        <f t="shared" si="117"/>
        <v>Transit Heavy 8</v>
      </c>
      <c r="AN809" s="3">
        <f t="shared" si="118"/>
        <v>4.1521076838051858</v>
      </c>
      <c r="AO809" s="3">
        <f t="shared" si="119"/>
        <v>1.6026896548896445</v>
      </c>
      <c r="AP809" s="3">
        <f t="shared" si="120"/>
        <v>70.33939378875813</v>
      </c>
      <c r="AQ809" s="3">
        <f t="shared" si="112"/>
        <v>2.5322181763952925</v>
      </c>
      <c r="AR809" s="3">
        <f t="shared" si="113"/>
        <v>4.134907831284937</v>
      </c>
      <c r="AS809" s="81">
        <f t="shared" si="114"/>
        <v>0.38759984993223007</v>
      </c>
      <c r="AT809" s="81">
        <f t="shared" si="115"/>
        <v>0.61240015006776993</v>
      </c>
    </row>
    <row r="810" spans="1:46" x14ac:dyDescent="0.25">
      <c r="A810" t="s">
        <v>230</v>
      </c>
      <c r="B810">
        <v>2050</v>
      </c>
      <c r="C810" t="s">
        <v>680</v>
      </c>
      <c r="D810" t="s">
        <v>813</v>
      </c>
      <c r="E810" t="s">
        <v>2490</v>
      </c>
      <c r="F810">
        <v>8</v>
      </c>
      <c r="G810" t="s">
        <v>2548</v>
      </c>
      <c r="H810" s="460">
        <v>12599.18128380965</v>
      </c>
      <c r="I810">
        <v>3400</v>
      </c>
      <c r="J810">
        <v>200.00000001335161</v>
      </c>
      <c r="K810" s="67">
        <v>469.31662499999999</v>
      </c>
      <c r="L810" s="159">
        <v>0</v>
      </c>
      <c r="M810" s="159">
        <v>0</v>
      </c>
      <c r="N810" s="159">
        <v>0</v>
      </c>
      <c r="O810" s="159">
        <v>0</v>
      </c>
      <c r="P810" s="159">
        <v>3157</v>
      </c>
      <c r="Q810" s="159">
        <v>1500</v>
      </c>
      <c r="R810" s="159">
        <v>2000</v>
      </c>
      <c r="S810" s="159">
        <v>171403</v>
      </c>
      <c r="T810" s="159">
        <v>0</v>
      </c>
      <c r="U810" s="159">
        <v>42238</v>
      </c>
      <c r="V810" s="159">
        <v>4500</v>
      </c>
      <c r="W810" s="159">
        <v>186</v>
      </c>
      <c r="X810" s="159">
        <v>0</v>
      </c>
      <c r="Y810" s="159">
        <v>1500</v>
      </c>
      <c r="Z810" s="159">
        <v>2638</v>
      </c>
      <c r="AA810" s="159">
        <v>0</v>
      </c>
      <c r="AB810" s="159">
        <v>0</v>
      </c>
      <c r="AC810" s="159">
        <v>0</v>
      </c>
      <c r="AD810" s="207">
        <v>229122</v>
      </c>
      <c r="AE810" s="200">
        <v>0</v>
      </c>
      <c r="AF810" s="200">
        <v>0</v>
      </c>
      <c r="AG810" s="200">
        <v>0</v>
      </c>
      <c r="AH810" s="200">
        <v>1367</v>
      </c>
      <c r="AI810" s="200">
        <v>1288</v>
      </c>
      <c r="AJ810" s="200">
        <v>1530</v>
      </c>
      <c r="AL810" s="197">
        <f t="shared" si="116"/>
        <v>262657.60572166118</v>
      </c>
      <c r="AM810" s="197" t="str">
        <f t="shared" si="117"/>
        <v>Transit Heavy 8</v>
      </c>
      <c r="AN810" s="3">
        <f t="shared" si="118"/>
        <v>0</v>
      </c>
      <c r="AO810" s="3">
        <f t="shared" si="119"/>
        <v>0</v>
      </c>
      <c r="AP810" s="3">
        <f t="shared" si="120"/>
        <v>84.941653100028589</v>
      </c>
      <c r="AQ810" s="3">
        <f t="shared" si="112"/>
        <v>3.0578995116010295</v>
      </c>
      <c r="AR810" s="3">
        <f t="shared" si="113"/>
        <v>3.0578995116010295</v>
      </c>
      <c r="AS810" s="81">
        <f t="shared" si="114"/>
        <v>0</v>
      </c>
      <c r="AT810" s="81">
        <f t="shared" si="115"/>
        <v>1</v>
      </c>
    </row>
    <row r="811" spans="1:46" x14ac:dyDescent="0.25">
      <c r="A811" t="s">
        <v>496</v>
      </c>
      <c r="B811">
        <v>2050</v>
      </c>
      <c r="C811" t="s">
        <v>680</v>
      </c>
      <c r="D811" t="s">
        <v>813</v>
      </c>
      <c r="E811" t="s">
        <v>2490</v>
      </c>
      <c r="F811">
        <v>8</v>
      </c>
      <c r="G811" t="s">
        <v>2549</v>
      </c>
      <c r="H811" s="460">
        <v>11576.394489413402</v>
      </c>
      <c r="I811">
        <v>3400</v>
      </c>
      <c r="J811">
        <v>200.00000001335161</v>
      </c>
      <c r="K811" s="67">
        <v>7.9200000000000008</v>
      </c>
      <c r="L811" s="159">
        <v>0</v>
      </c>
      <c r="M811" s="159">
        <v>0</v>
      </c>
      <c r="N811" s="159">
        <v>0</v>
      </c>
      <c r="O811" s="159">
        <v>0</v>
      </c>
      <c r="P811" s="159">
        <v>3433</v>
      </c>
      <c r="Q811" s="159">
        <v>1500</v>
      </c>
      <c r="R811" s="159">
        <v>2000</v>
      </c>
      <c r="S811" s="159">
        <v>171403</v>
      </c>
      <c r="T811" s="159">
        <v>0</v>
      </c>
      <c r="U811" s="159">
        <v>2544</v>
      </c>
      <c r="V811" s="159">
        <v>4500</v>
      </c>
      <c r="W811" s="159">
        <v>186</v>
      </c>
      <c r="X811" s="159">
        <v>0</v>
      </c>
      <c r="Y811" s="159">
        <v>1500</v>
      </c>
      <c r="Z811" s="159">
        <v>2910</v>
      </c>
      <c r="AA811" s="159">
        <v>14141</v>
      </c>
      <c r="AB811" s="159">
        <v>8017</v>
      </c>
      <c r="AC811" s="159">
        <v>0</v>
      </c>
      <c r="AD811" s="207">
        <v>212134</v>
      </c>
      <c r="AE811" s="200">
        <v>15.419899638165925</v>
      </c>
      <c r="AF811" s="200">
        <v>17.0683182889065</v>
      </c>
      <c r="AG811" s="200">
        <v>13.987772401632487</v>
      </c>
      <c r="AH811" s="200">
        <v>0</v>
      </c>
      <c r="AI811" s="200">
        <v>0</v>
      </c>
      <c r="AJ811" s="200">
        <v>0</v>
      </c>
      <c r="AL811" s="197">
        <f t="shared" si="116"/>
        <v>243183.14492785008</v>
      </c>
      <c r="AM811" s="197" t="str">
        <f t="shared" si="117"/>
        <v>Transit Heavy 8</v>
      </c>
      <c r="AN811" s="3">
        <f t="shared" si="118"/>
        <v>15.253998064893056</v>
      </c>
      <c r="AO811" s="3">
        <f t="shared" si="119"/>
        <v>5.887955408686798</v>
      </c>
      <c r="AP811" s="3">
        <f t="shared" si="120"/>
        <v>0</v>
      </c>
      <c r="AQ811" s="3">
        <f t="shared" si="112"/>
        <v>0</v>
      </c>
      <c r="AR811" s="3">
        <f t="shared" si="113"/>
        <v>5.887955408686798</v>
      </c>
      <c r="AS811" s="81">
        <f t="shared" si="114"/>
        <v>1</v>
      </c>
      <c r="AT811" s="81">
        <f t="shared" si="115"/>
        <v>0</v>
      </c>
    </row>
    <row r="812" spans="1:46" x14ac:dyDescent="0.25">
      <c r="A812" t="s">
        <v>828</v>
      </c>
      <c r="B812">
        <v>2050</v>
      </c>
      <c r="C812" t="s">
        <v>680</v>
      </c>
      <c r="D812" t="s">
        <v>813</v>
      </c>
      <c r="E812" t="s">
        <v>2490</v>
      </c>
      <c r="F812">
        <v>8</v>
      </c>
      <c r="G812" t="s">
        <v>2550</v>
      </c>
      <c r="H812" s="460">
        <v>11314.411084646983</v>
      </c>
      <c r="I812">
        <v>3400</v>
      </c>
      <c r="J812">
        <v>200.00000001335161</v>
      </c>
      <c r="K812" s="67">
        <v>53.622</v>
      </c>
      <c r="L812" s="159">
        <v>0</v>
      </c>
      <c r="M812" s="159">
        <v>0</v>
      </c>
      <c r="N812" s="159">
        <v>0</v>
      </c>
      <c r="O812" s="159">
        <v>0</v>
      </c>
      <c r="P812" s="159">
        <v>3617</v>
      </c>
      <c r="Q812" s="159">
        <v>1500</v>
      </c>
      <c r="R812" s="159">
        <v>2000</v>
      </c>
      <c r="S812" s="159">
        <v>171403</v>
      </c>
      <c r="T812" s="159">
        <v>0</v>
      </c>
      <c r="U812" s="159">
        <v>4826</v>
      </c>
      <c r="V812" s="159">
        <v>4500</v>
      </c>
      <c r="W812" s="159">
        <v>186</v>
      </c>
      <c r="X812" s="159">
        <v>0</v>
      </c>
      <c r="Y812" s="159">
        <v>1500</v>
      </c>
      <c r="Z812" s="159">
        <v>3092</v>
      </c>
      <c r="AA812" s="159">
        <v>5881</v>
      </c>
      <c r="AB812" s="159">
        <v>1269</v>
      </c>
      <c r="AC812" s="159">
        <v>0</v>
      </c>
      <c r="AD812" s="207">
        <v>199774</v>
      </c>
      <c r="AE812" s="200">
        <v>15.989637386501505</v>
      </c>
      <c r="AF812" s="200">
        <v>16.317299098862495</v>
      </c>
      <c r="AG812" s="200">
        <v>15.260706507505098</v>
      </c>
      <c r="AH812" s="200">
        <v>0</v>
      </c>
      <c r="AI812" s="200">
        <v>0</v>
      </c>
      <c r="AJ812" s="200">
        <v>456.88763914741338</v>
      </c>
      <c r="AL812" s="197">
        <f t="shared" si="116"/>
        <v>229014.0646705211</v>
      </c>
      <c r="AM812" s="197" t="str">
        <f t="shared" si="117"/>
        <v>Transit Heavy 8</v>
      </c>
      <c r="AN812" s="3">
        <f t="shared" si="118"/>
        <v>14.710472386321742</v>
      </c>
      <c r="AO812" s="3">
        <f t="shared" si="119"/>
        <v>5.6781576268010454</v>
      </c>
      <c r="AP812" s="3">
        <f t="shared" si="120"/>
        <v>0</v>
      </c>
      <c r="AQ812" s="3">
        <f t="shared" si="112"/>
        <v>0</v>
      </c>
      <c r="AR812" s="3">
        <f t="shared" si="113"/>
        <v>5.6781576268010454</v>
      </c>
      <c r="AS812" s="81">
        <f t="shared" si="114"/>
        <v>1</v>
      </c>
      <c r="AT812" s="81">
        <f t="shared" si="115"/>
        <v>0</v>
      </c>
    </row>
    <row r="813" spans="1:46" x14ac:dyDescent="0.25">
      <c r="A813" t="s">
        <v>805</v>
      </c>
      <c r="B813">
        <v>2023</v>
      </c>
      <c r="C813" t="s">
        <v>680</v>
      </c>
      <c r="D813" t="s">
        <v>836</v>
      </c>
      <c r="E813" t="s">
        <v>2490</v>
      </c>
      <c r="F813">
        <v>8</v>
      </c>
      <c r="G813" t="s">
        <v>2551</v>
      </c>
      <c r="H813" s="460">
        <v>9982.2102472174593</v>
      </c>
      <c r="I813">
        <v>12400</v>
      </c>
      <c r="J813">
        <v>0</v>
      </c>
      <c r="K813" s="67">
        <v>0</v>
      </c>
      <c r="L813" s="159">
        <v>300</v>
      </c>
      <c r="M813" s="159">
        <v>24790</v>
      </c>
      <c r="N813" s="159">
        <v>1920</v>
      </c>
      <c r="O813" s="159">
        <v>506</v>
      </c>
      <c r="P813" s="159">
        <v>6044</v>
      </c>
      <c r="Q813" s="159">
        <v>1500</v>
      </c>
      <c r="R813" s="159">
        <v>2000</v>
      </c>
      <c r="S813" s="159">
        <v>200000</v>
      </c>
      <c r="T813" s="159">
        <v>98</v>
      </c>
      <c r="U813" s="159">
        <v>120</v>
      </c>
      <c r="V813" s="159">
        <v>0</v>
      </c>
      <c r="W813" s="159">
        <v>186</v>
      </c>
      <c r="X813" s="159">
        <v>0</v>
      </c>
      <c r="Y813" s="159">
        <v>0</v>
      </c>
      <c r="Z813" s="159">
        <v>0</v>
      </c>
      <c r="AA813" s="159">
        <v>0</v>
      </c>
      <c r="AB813" s="159">
        <v>0</v>
      </c>
      <c r="AC813" s="159">
        <v>0</v>
      </c>
      <c r="AD813" s="207">
        <v>237464</v>
      </c>
      <c r="AE813" s="200">
        <v>4.7362574845371714</v>
      </c>
      <c r="AF813" s="200">
        <v>7.56501764114949</v>
      </c>
      <c r="AG813" s="200">
        <v>7.0504383929647085</v>
      </c>
      <c r="AH813" s="200">
        <v>0</v>
      </c>
      <c r="AI813" s="200">
        <v>0</v>
      </c>
      <c r="AJ813" s="200">
        <v>0</v>
      </c>
      <c r="AL813" s="197">
        <f t="shared" si="116"/>
        <v>272220.58852964162</v>
      </c>
      <c r="AM813" s="197" t="str">
        <f t="shared" si="117"/>
        <v>Transit Heavy 8</v>
      </c>
      <c r="AN813" s="3">
        <f t="shared" si="118"/>
        <v>49.662654534588384</v>
      </c>
      <c r="AO813" s="3">
        <f t="shared" si="119"/>
        <v>19.169498654235191</v>
      </c>
      <c r="AP813" s="3">
        <f t="shared" si="120"/>
        <v>0</v>
      </c>
      <c r="AQ813" s="3">
        <f t="shared" si="112"/>
        <v>0</v>
      </c>
      <c r="AR813" s="3">
        <f t="shared" si="113"/>
        <v>19.169498654235191</v>
      </c>
      <c r="AS813" s="81">
        <f t="shared" si="114"/>
        <v>1</v>
      </c>
      <c r="AT813" s="81">
        <f t="shared" si="115"/>
        <v>0</v>
      </c>
    </row>
    <row r="814" spans="1:46" x14ac:dyDescent="0.25">
      <c r="A814" t="s">
        <v>807</v>
      </c>
      <c r="B814">
        <v>2023</v>
      </c>
      <c r="C814" t="s">
        <v>680</v>
      </c>
      <c r="D814" t="s">
        <v>836</v>
      </c>
      <c r="E814" t="s">
        <v>2490</v>
      </c>
      <c r="F814">
        <v>8</v>
      </c>
      <c r="G814" t="s">
        <v>2552</v>
      </c>
      <c r="H814" s="460">
        <v>10331.196363176106</v>
      </c>
      <c r="I814">
        <v>12400</v>
      </c>
      <c r="J814">
        <v>0</v>
      </c>
      <c r="K814" s="67">
        <v>9.7574400000000008</v>
      </c>
      <c r="L814" s="159">
        <v>300</v>
      </c>
      <c r="M814" s="159">
        <v>32560</v>
      </c>
      <c r="N814" s="159">
        <v>220</v>
      </c>
      <c r="O814" s="159">
        <v>392</v>
      </c>
      <c r="P814" s="159">
        <v>7422</v>
      </c>
      <c r="Q814" s="159">
        <v>1500</v>
      </c>
      <c r="R814" s="159">
        <v>2000</v>
      </c>
      <c r="S814" s="159">
        <v>200000</v>
      </c>
      <c r="T814" s="159">
        <v>0</v>
      </c>
      <c r="U814" s="159">
        <v>6830</v>
      </c>
      <c r="V814" s="159">
        <v>4500</v>
      </c>
      <c r="W814" s="159">
        <v>186</v>
      </c>
      <c r="X814" s="159">
        <v>120</v>
      </c>
      <c r="Y814" s="159">
        <v>1500</v>
      </c>
      <c r="Z814" s="159">
        <v>6772</v>
      </c>
      <c r="AA814" s="159">
        <v>0</v>
      </c>
      <c r="AB814" s="159">
        <v>0</v>
      </c>
      <c r="AC814" s="159">
        <v>0</v>
      </c>
      <c r="AD814" s="207">
        <v>264302</v>
      </c>
      <c r="AE814" s="200">
        <v>6.167765190495806</v>
      </c>
      <c r="AF814" s="200">
        <v>7.8361166276004965</v>
      </c>
      <c r="AG814" s="200">
        <v>6.7106039194337743</v>
      </c>
      <c r="AH814" s="200">
        <v>0</v>
      </c>
      <c r="AI814" s="200">
        <v>0</v>
      </c>
      <c r="AJ814" s="200">
        <v>0</v>
      </c>
      <c r="AL814" s="197">
        <f t="shared" si="116"/>
        <v>302986.7516320846</v>
      </c>
      <c r="AM814" s="197" t="str">
        <f t="shared" si="117"/>
        <v>Transit Heavy 8</v>
      </c>
      <c r="AN814" s="3">
        <f t="shared" si="118"/>
        <v>38.136198765134893</v>
      </c>
      <c r="AO814" s="3">
        <f t="shared" si="119"/>
        <v>14.720353105505986</v>
      </c>
      <c r="AP814" s="3">
        <f t="shared" si="120"/>
        <v>0</v>
      </c>
      <c r="AQ814" s="3">
        <f t="shared" si="112"/>
        <v>0</v>
      </c>
      <c r="AR814" s="3">
        <f t="shared" si="113"/>
        <v>14.720353105505986</v>
      </c>
      <c r="AS814" s="81">
        <f t="shared" si="114"/>
        <v>1</v>
      </c>
      <c r="AT814" s="81">
        <f t="shared" si="115"/>
        <v>0</v>
      </c>
    </row>
    <row r="815" spans="1:46" x14ac:dyDescent="0.25">
      <c r="A815" t="s">
        <v>808</v>
      </c>
      <c r="B815">
        <v>2023</v>
      </c>
      <c r="C815" t="s">
        <v>680</v>
      </c>
      <c r="D815" t="s">
        <v>836</v>
      </c>
      <c r="E815" t="s">
        <v>2490</v>
      </c>
      <c r="F815">
        <v>8</v>
      </c>
      <c r="G815" t="s">
        <v>2553</v>
      </c>
      <c r="H815" s="460">
        <v>11477.663552966555</v>
      </c>
      <c r="I815">
        <v>12400</v>
      </c>
      <c r="J815">
        <v>64.0000000216709</v>
      </c>
      <c r="K815" s="67">
        <v>164.217375</v>
      </c>
      <c r="L815" s="159">
        <v>0</v>
      </c>
      <c r="M815" s="159">
        <v>12485</v>
      </c>
      <c r="N815" s="159">
        <v>220</v>
      </c>
      <c r="O815" s="159">
        <v>0</v>
      </c>
      <c r="P815" s="159">
        <v>5084</v>
      </c>
      <c r="Q815" s="159">
        <v>1500</v>
      </c>
      <c r="R815" s="159">
        <v>2000</v>
      </c>
      <c r="S815" s="159">
        <v>200000</v>
      </c>
      <c r="T815" s="159">
        <v>5206</v>
      </c>
      <c r="U815" s="159">
        <v>57476</v>
      </c>
      <c r="V815" s="159">
        <v>4500</v>
      </c>
      <c r="W815" s="159">
        <v>186</v>
      </c>
      <c r="X815" s="159">
        <v>0</v>
      </c>
      <c r="Y815" s="159">
        <v>1500</v>
      </c>
      <c r="Z815" s="159">
        <v>11063</v>
      </c>
      <c r="AA815" s="159">
        <v>0</v>
      </c>
      <c r="AB815" s="159">
        <v>0</v>
      </c>
      <c r="AC815" s="159">
        <v>0</v>
      </c>
      <c r="AD815" s="207">
        <v>301220</v>
      </c>
      <c r="AE815" s="200">
        <v>6.1192677111140839</v>
      </c>
      <c r="AF815" s="200">
        <v>5.7975894215890387</v>
      </c>
      <c r="AG815" s="200">
        <v>5.691271632410178</v>
      </c>
      <c r="AH815" s="200">
        <v>2168</v>
      </c>
      <c r="AI815" s="200">
        <v>2225</v>
      </c>
      <c r="AJ815" s="200">
        <v>2228</v>
      </c>
      <c r="AL815" s="197">
        <f t="shared" si="116"/>
        <v>345308.28115798038</v>
      </c>
      <c r="AM815" s="197" t="str">
        <f t="shared" si="117"/>
        <v>Transit Heavy 8</v>
      </c>
      <c r="AN815" s="3">
        <f t="shared" si="118"/>
        <v>7.6876884733844868</v>
      </c>
      <c r="AO815" s="3">
        <f t="shared" si="119"/>
        <v>2.96740347904854</v>
      </c>
      <c r="AP815" s="3">
        <f t="shared" si="120"/>
        <v>107.77088744454248</v>
      </c>
      <c r="AQ815" s="3">
        <f t="shared" si="112"/>
        <v>3.8797519480035292</v>
      </c>
      <c r="AR815" s="3">
        <f t="shared" si="113"/>
        <v>6.8471554270520691</v>
      </c>
      <c r="AS815" s="81">
        <f t="shared" si="114"/>
        <v>0.43337755519975207</v>
      </c>
      <c r="AT815" s="81">
        <f t="shared" si="115"/>
        <v>0.56662244480024793</v>
      </c>
    </row>
    <row r="816" spans="1:46" x14ac:dyDescent="0.25">
      <c r="A816" t="s">
        <v>230</v>
      </c>
      <c r="B816">
        <v>2023</v>
      </c>
      <c r="C816" t="s">
        <v>680</v>
      </c>
      <c r="D816" t="s">
        <v>836</v>
      </c>
      <c r="E816" t="s">
        <v>2490</v>
      </c>
      <c r="F816">
        <v>8</v>
      </c>
      <c r="G816" t="s">
        <v>2554</v>
      </c>
      <c r="H816" s="460">
        <v>11047.099917158906</v>
      </c>
      <c r="I816">
        <v>12400</v>
      </c>
      <c r="J816">
        <v>79.999999980485796</v>
      </c>
      <c r="K816" s="67">
        <v>192.642</v>
      </c>
      <c r="L816" s="159">
        <v>0</v>
      </c>
      <c r="M816" s="159">
        <v>0</v>
      </c>
      <c r="N816" s="159">
        <v>0</v>
      </c>
      <c r="O816" s="159">
        <v>0</v>
      </c>
      <c r="P816" s="159">
        <v>4703</v>
      </c>
      <c r="Q816" s="159">
        <v>1500</v>
      </c>
      <c r="R816" s="159">
        <v>2000</v>
      </c>
      <c r="S816" s="159">
        <v>200000</v>
      </c>
      <c r="T816" s="159">
        <v>0</v>
      </c>
      <c r="U816" s="159">
        <v>67425</v>
      </c>
      <c r="V816" s="159">
        <v>4500</v>
      </c>
      <c r="W816" s="159">
        <v>186</v>
      </c>
      <c r="X816" s="159">
        <v>0</v>
      </c>
      <c r="Y816" s="159">
        <v>1500</v>
      </c>
      <c r="Z816" s="159">
        <v>10138</v>
      </c>
      <c r="AA816" s="159">
        <v>0</v>
      </c>
      <c r="AB816" s="159">
        <v>0</v>
      </c>
      <c r="AC816" s="159">
        <v>0</v>
      </c>
      <c r="AD816" s="207">
        <v>291952</v>
      </c>
      <c r="AE816" s="200">
        <v>0</v>
      </c>
      <c r="AF816" s="200">
        <v>0</v>
      </c>
      <c r="AG816" s="200">
        <v>0</v>
      </c>
      <c r="AH816" s="200">
        <v>2037</v>
      </c>
      <c r="AI816" s="200">
        <v>1908</v>
      </c>
      <c r="AJ816" s="200">
        <v>2234</v>
      </c>
      <c r="AL816" s="197">
        <f t="shared" si="116"/>
        <v>334683.76369641686</v>
      </c>
      <c r="AM816" s="197" t="str">
        <f t="shared" si="117"/>
        <v>Transit Heavy 8</v>
      </c>
      <c r="AN816" s="3">
        <f t="shared" si="118"/>
        <v>0</v>
      </c>
      <c r="AO816" s="3">
        <f t="shared" si="119"/>
        <v>0</v>
      </c>
      <c r="AP816" s="3">
        <f t="shared" si="120"/>
        <v>126.57362645556563</v>
      </c>
      <c r="AQ816" s="3">
        <f t="shared" si="112"/>
        <v>4.5566505524003631</v>
      </c>
      <c r="AR816" s="3">
        <f t="shared" si="113"/>
        <v>4.5566505524003631</v>
      </c>
      <c r="AS816" s="81">
        <f t="shared" si="114"/>
        <v>0</v>
      </c>
      <c r="AT816" s="81">
        <f t="shared" si="115"/>
        <v>1</v>
      </c>
    </row>
    <row r="817" spans="1:46" x14ac:dyDescent="0.25">
      <c r="A817" t="s">
        <v>496</v>
      </c>
      <c r="B817">
        <v>2023</v>
      </c>
      <c r="C817" t="s">
        <v>680</v>
      </c>
      <c r="D817" t="s">
        <v>836</v>
      </c>
      <c r="E817" t="s">
        <v>2490</v>
      </c>
      <c r="F817">
        <v>8</v>
      </c>
      <c r="G817" t="s">
        <v>2555</v>
      </c>
      <c r="H817" s="460">
        <v>10613.049888269245</v>
      </c>
      <c r="I817">
        <v>12400</v>
      </c>
      <c r="J817">
        <v>79.999999980485796</v>
      </c>
      <c r="K817" s="67">
        <v>11.75328</v>
      </c>
      <c r="L817" s="159">
        <v>0</v>
      </c>
      <c r="M817" s="159">
        <v>0</v>
      </c>
      <c r="N817" s="159">
        <v>0</v>
      </c>
      <c r="O817" s="159">
        <v>0</v>
      </c>
      <c r="P817" s="159">
        <v>5324</v>
      </c>
      <c r="Q817" s="159">
        <v>1500</v>
      </c>
      <c r="R817" s="159">
        <v>2000</v>
      </c>
      <c r="S817" s="159">
        <v>200000</v>
      </c>
      <c r="T817" s="159">
        <v>0</v>
      </c>
      <c r="U817" s="159">
        <v>8227</v>
      </c>
      <c r="V817" s="159">
        <v>4500</v>
      </c>
      <c r="W817" s="159">
        <v>186</v>
      </c>
      <c r="X817" s="159">
        <v>0</v>
      </c>
      <c r="Y817" s="159">
        <v>1500</v>
      </c>
      <c r="Z817" s="159">
        <v>11644</v>
      </c>
      <c r="AA817" s="159">
        <v>52510</v>
      </c>
      <c r="AB817" s="159">
        <v>10321</v>
      </c>
      <c r="AC817" s="159">
        <v>0</v>
      </c>
      <c r="AD817" s="207">
        <v>297712</v>
      </c>
      <c r="AE817" s="200">
        <v>9.7729675782087391</v>
      </c>
      <c r="AF817" s="200">
        <v>11.150982345455779</v>
      </c>
      <c r="AG817" s="200">
        <v>9.3400931842636972</v>
      </c>
      <c r="AH817" s="200">
        <v>0</v>
      </c>
      <c r="AI817" s="200">
        <v>0</v>
      </c>
      <c r="AJ817" s="200">
        <v>0</v>
      </c>
      <c r="AL817" s="197">
        <f t="shared" si="116"/>
        <v>341286.83022410411</v>
      </c>
      <c r="AM817" s="197" t="str">
        <f t="shared" si="117"/>
        <v>Transit Heavy 8</v>
      </c>
      <c r="AN817" s="3">
        <f t="shared" si="118"/>
        <v>24.06793201339363</v>
      </c>
      <c r="AO817" s="3">
        <f t="shared" si="119"/>
        <v>9.2900831553344432</v>
      </c>
      <c r="AP817" s="3">
        <f t="shared" si="120"/>
        <v>0</v>
      </c>
      <c r="AQ817" s="3">
        <f t="shared" si="112"/>
        <v>0</v>
      </c>
      <c r="AR817" s="3">
        <f t="shared" si="113"/>
        <v>9.2900831553344432</v>
      </c>
      <c r="AS817" s="81">
        <f t="shared" si="114"/>
        <v>1</v>
      </c>
      <c r="AT817" s="81">
        <f t="shared" si="115"/>
        <v>0</v>
      </c>
    </row>
    <row r="818" spans="1:46" x14ac:dyDescent="0.25">
      <c r="A818" t="s">
        <v>828</v>
      </c>
      <c r="B818">
        <v>2023</v>
      </c>
      <c r="C818" t="s">
        <v>680</v>
      </c>
      <c r="D818" t="s">
        <v>836</v>
      </c>
      <c r="E818" t="s">
        <v>2490</v>
      </c>
      <c r="F818">
        <v>8</v>
      </c>
      <c r="G818" t="s">
        <v>2556</v>
      </c>
      <c r="H818" s="460">
        <v>10282.202364746652</v>
      </c>
      <c r="I818">
        <v>12400</v>
      </c>
      <c r="J818">
        <v>79.999999980485796</v>
      </c>
      <c r="K818" s="67">
        <v>18.3705</v>
      </c>
      <c r="L818" s="159">
        <v>0</v>
      </c>
      <c r="M818" s="159">
        <v>0</v>
      </c>
      <c r="N818" s="159">
        <v>0</v>
      </c>
      <c r="O818" s="159">
        <v>0</v>
      </c>
      <c r="P818" s="159">
        <v>5043</v>
      </c>
      <c r="Q818" s="159">
        <v>1500</v>
      </c>
      <c r="R818" s="159">
        <v>2000</v>
      </c>
      <c r="S818" s="159">
        <v>200000</v>
      </c>
      <c r="T818" s="159">
        <v>0</v>
      </c>
      <c r="U818" s="159">
        <v>6430</v>
      </c>
      <c r="V818" s="159">
        <v>4500</v>
      </c>
      <c r="W818" s="159">
        <v>186</v>
      </c>
      <c r="X818" s="159">
        <v>0</v>
      </c>
      <c r="Y818" s="159">
        <v>1500</v>
      </c>
      <c r="Z818" s="159">
        <v>10961</v>
      </c>
      <c r="AA818" s="159">
        <v>19148</v>
      </c>
      <c r="AB818" s="159">
        <v>9876</v>
      </c>
      <c r="AC818" s="159">
        <v>0</v>
      </c>
      <c r="AD818" s="207">
        <v>261144</v>
      </c>
      <c r="AE818" s="200">
        <v>9.1135545168681666</v>
      </c>
      <c r="AF818" s="200">
        <v>10.247725715492974</v>
      </c>
      <c r="AG818" s="200">
        <v>8.9192415458191103</v>
      </c>
      <c r="AH818" s="200">
        <v>0</v>
      </c>
      <c r="AI818" s="200">
        <v>0</v>
      </c>
      <c r="AJ818" s="200">
        <v>997.44828323016077</v>
      </c>
      <c r="AL818" s="197">
        <f t="shared" si="116"/>
        <v>299366.52869902272</v>
      </c>
      <c r="AM818" s="197" t="str">
        <f t="shared" si="117"/>
        <v>Transit Heavy 8</v>
      </c>
      <c r="AN818" s="3">
        <f t="shared" si="118"/>
        <v>25.809372051933344</v>
      </c>
      <c r="AO818" s="3">
        <f t="shared" si="119"/>
        <v>9.9622689816472221</v>
      </c>
      <c r="AP818" s="3">
        <f t="shared" si="120"/>
        <v>0</v>
      </c>
      <c r="AQ818" s="3">
        <f t="shared" si="112"/>
        <v>0</v>
      </c>
      <c r="AR818" s="3">
        <f t="shared" si="113"/>
        <v>9.9622689816472221</v>
      </c>
      <c r="AS818" s="81">
        <f t="shared" si="114"/>
        <v>1</v>
      </c>
      <c r="AT818" s="81">
        <f t="shared" si="115"/>
        <v>0</v>
      </c>
    </row>
    <row r="819" spans="1:46" x14ac:dyDescent="0.25">
      <c r="A819" t="s">
        <v>805</v>
      </c>
      <c r="B819">
        <v>2025</v>
      </c>
      <c r="C819" t="s">
        <v>680</v>
      </c>
      <c r="D819" t="s">
        <v>836</v>
      </c>
      <c r="E819" t="s">
        <v>2490</v>
      </c>
      <c r="F819">
        <v>8</v>
      </c>
      <c r="G819" t="s">
        <v>2557</v>
      </c>
      <c r="H819" s="460">
        <v>9895.9358410794775</v>
      </c>
      <c r="I819">
        <v>12400</v>
      </c>
      <c r="J819">
        <v>0</v>
      </c>
      <c r="K819" s="67">
        <v>0</v>
      </c>
      <c r="L819" s="159">
        <v>300</v>
      </c>
      <c r="M819" s="159">
        <v>24999</v>
      </c>
      <c r="N819" s="159">
        <v>1920</v>
      </c>
      <c r="O819" s="159">
        <v>506</v>
      </c>
      <c r="P819" s="159">
        <v>6024</v>
      </c>
      <c r="Q819" s="159">
        <v>1500</v>
      </c>
      <c r="R819" s="159">
        <v>2000</v>
      </c>
      <c r="S819" s="159">
        <v>200419</v>
      </c>
      <c r="T819" s="159">
        <v>92</v>
      </c>
      <c r="U819" s="159">
        <v>120</v>
      </c>
      <c r="V819" s="159">
        <v>0</v>
      </c>
      <c r="W819" s="159">
        <v>186</v>
      </c>
      <c r="X819" s="159">
        <v>0</v>
      </c>
      <c r="Y819" s="159">
        <v>0</v>
      </c>
      <c r="Z819" s="159">
        <v>0</v>
      </c>
      <c r="AA819" s="159">
        <v>0</v>
      </c>
      <c r="AB819" s="159">
        <v>0</v>
      </c>
      <c r="AC819" s="159">
        <v>0</v>
      </c>
      <c r="AD819" s="207">
        <v>238066</v>
      </c>
      <c r="AE819" s="200">
        <v>5.02933048967415</v>
      </c>
      <c r="AF819" s="200">
        <v>8.2496639976000967</v>
      </c>
      <c r="AG819" s="200">
        <v>7.7695895072604575</v>
      </c>
      <c r="AH819" s="200">
        <v>0</v>
      </c>
      <c r="AI819" s="200">
        <v>0</v>
      </c>
      <c r="AJ819" s="200">
        <v>0</v>
      </c>
      <c r="AL819" s="197">
        <f t="shared" si="116"/>
        <v>272910.70069104229</v>
      </c>
      <c r="AM819" s="197" t="str">
        <f t="shared" si="117"/>
        <v>Transit Heavy 8</v>
      </c>
      <c r="AN819" s="3">
        <f t="shared" si="118"/>
        <v>46.768674224999621</v>
      </c>
      <c r="AO819" s="3">
        <f t="shared" si="119"/>
        <v>18.05243892051903</v>
      </c>
      <c r="AP819" s="3">
        <f t="shared" si="120"/>
        <v>0</v>
      </c>
      <c r="AQ819" s="3">
        <f t="shared" si="112"/>
        <v>0</v>
      </c>
      <c r="AR819" s="3">
        <f t="shared" si="113"/>
        <v>18.05243892051903</v>
      </c>
      <c r="AS819" s="81">
        <f t="shared" si="114"/>
        <v>1</v>
      </c>
      <c r="AT819" s="81">
        <f t="shared" si="115"/>
        <v>0</v>
      </c>
    </row>
    <row r="820" spans="1:46" x14ac:dyDescent="0.25">
      <c r="A820" t="s">
        <v>807</v>
      </c>
      <c r="B820">
        <v>2025</v>
      </c>
      <c r="C820" t="s">
        <v>680</v>
      </c>
      <c r="D820" t="s">
        <v>836</v>
      </c>
      <c r="E820" t="s">
        <v>2490</v>
      </c>
      <c r="F820">
        <v>8</v>
      </c>
      <c r="G820" t="s">
        <v>2558</v>
      </c>
      <c r="H820" s="460">
        <v>10240.47785419779</v>
      </c>
      <c r="I820">
        <v>12400</v>
      </c>
      <c r="J820">
        <v>0</v>
      </c>
      <c r="K820" s="67">
        <v>9.5040000000000013</v>
      </c>
      <c r="L820" s="159">
        <v>300</v>
      </c>
      <c r="M820" s="159">
        <v>32942</v>
      </c>
      <c r="N820" s="159">
        <v>220</v>
      </c>
      <c r="O820" s="159">
        <v>392</v>
      </c>
      <c r="P820" s="159">
        <v>7422</v>
      </c>
      <c r="Q820" s="159">
        <v>1500</v>
      </c>
      <c r="R820" s="159">
        <v>2000</v>
      </c>
      <c r="S820" s="159">
        <v>200419</v>
      </c>
      <c r="T820" s="159">
        <v>0</v>
      </c>
      <c r="U820" s="159">
        <v>4490</v>
      </c>
      <c r="V820" s="159">
        <v>4500</v>
      </c>
      <c r="W820" s="159">
        <v>186</v>
      </c>
      <c r="X820" s="159">
        <v>120</v>
      </c>
      <c r="Y820" s="159">
        <v>1500</v>
      </c>
      <c r="Z820" s="159">
        <v>5703</v>
      </c>
      <c r="AA820" s="159">
        <v>0</v>
      </c>
      <c r="AB820" s="159">
        <v>0</v>
      </c>
      <c r="AC820" s="159">
        <v>0</v>
      </c>
      <c r="AD820" s="207">
        <v>261694</v>
      </c>
      <c r="AE820" s="200">
        <v>6.7734396574532481</v>
      </c>
      <c r="AF820" s="200">
        <v>8.6612428719027008</v>
      </c>
      <c r="AG820" s="200">
        <v>7.4621065667814674</v>
      </c>
      <c r="AH820" s="200">
        <v>0</v>
      </c>
      <c r="AI820" s="200">
        <v>0</v>
      </c>
      <c r="AJ820" s="200">
        <v>0</v>
      </c>
      <c r="AL820" s="197">
        <f t="shared" si="116"/>
        <v>299997.02984315954</v>
      </c>
      <c r="AM820" s="197" t="str">
        <f t="shared" si="117"/>
        <v>Transit Heavy 8</v>
      </c>
      <c r="AN820" s="3">
        <f t="shared" si="118"/>
        <v>34.726096508825606</v>
      </c>
      <c r="AO820" s="3">
        <f t="shared" si="119"/>
        <v>13.404073272586519</v>
      </c>
      <c r="AP820" s="3">
        <f t="shared" si="120"/>
        <v>0</v>
      </c>
      <c r="AQ820" s="3">
        <f t="shared" si="112"/>
        <v>0</v>
      </c>
      <c r="AR820" s="3">
        <f t="shared" si="113"/>
        <v>13.404073272586519</v>
      </c>
      <c r="AS820" s="81">
        <f t="shared" si="114"/>
        <v>1</v>
      </c>
      <c r="AT820" s="81">
        <f t="shared" si="115"/>
        <v>0</v>
      </c>
    </row>
    <row r="821" spans="1:46" x14ac:dyDescent="0.25">
      <c r="A821" t="s">
        <v>808</v>
      </c>
      <c r="B821">
        <v>2025</v>
      </c>
      <c r="C821" t="s">
        <v>680</v>
      </c>
      <c r="D821" t="s">
        <v>836</v>
      </c>
      <c r="E821" t="s">
        <v>2490</v>
      </c>
      <c r="F821">
        <v>8</v>
      </c>
      <c r="G821" t="s">
        <v>2559</v>
      </c>
      <c r="H821" s="460">
        <v>11029.143769394039</v>
      </c>
      <c r="I821">
        <v>12400</v>
      </c>
      <c r="J821">
        <v>64.0000000216709</v>
      </c>
      <c r="K821" s="67">
        <v>152.922</v>
      </c>
      <c r="L821" s="159">
        <v>0</v>
      </c>
      <c r="M821" s="159">
        <v>12545</v>
      </c>
      <c r="N821" s="159">
        <v>220</v>
      </c>
      <c r="O821" s="159">
        <v>0</v>
      </c>
      <c r="P821" s="159">
        <v>5068</v>
      </c>
      <c r="Q821" s="159">
        <v>1500</v>
      </c>
      <c r="R821" s="159">
        <v>2000</v>
      </c>
      <c r="S821" s="159">
        <v>200419</v>
      </c>
      <c r="T821" s="159">
        <v>4622</v>
      </c>
      <c r="U821" s="159">
        <v>42818</v>
      </c>
      <c r="V821" s="159">
        <v>4500</v>
      </c>
      <c r="W821" s="159">
        <v>186</v>
      </c>
      <c r="X821" s="159">
        <v>0</v>
      </c>
      <c r="Y821" s="159">
        <v>1500</v>
      </c>
      <c r="Z821" s="159">
        <v>9317</v>
      </c>
      <c r="AA821" s="159">
        <v>0</v>
      </c>
      <c r="AB821" s="159">
        <v>0</v>
      </c>
      <c r="AC821" s="159">
        <v>0</v>
      </c>
      <c r="AD821" s="207">
        <v>284695</v>
      </c>
      <c r="AE821" s="200">
        <v>6.8397887718832093</v>
      </c>
      <c r="AF821" s="200">
        <v>6.4402652151450219</v>
      </c>
      <c r="AG821" s="200">
        <v>6.3292421497251743</v>
      </c>
      <c r="AH821" s="200">
        <v>2035</v>
      </c>
      <c r="AI821" s="200">
        <v>2078</v>
      </c>
      <c r="AJ821" s="200">
        <v>2091</v>
      </c>
      <c r="AL821" s="197">
        <f t="shared" si="116"/>
        <v>326364.58769096079</v>
      </c>
      <c r="AM821" s="197" t="str">
        <f t="shared" si="117"/>
        <v>Transit Heavy 8</v>
      </c>
      <c r="AN821" s="3">
        <f t="shared" si="118"/>
        <v>6.8778474624346027</v>
      </c>
      <c r="AO821" s="3">
        <f t="shared" si="119"/>
        <v>2.6548095125150724</v>
      </c>
      <c r="AP821" s="3">
        <f t="shared" si="120"/>
        <v>101.15948152658854</v>
      </c>
      <c r="AQ821" s="3">
        <f t="shared" ref="AQ821:AQ872" si="121">AP821*3.6/100</f>
        <v>3.6417413349571874</v>
      </c>
      <c r="AR821" s="3">
        <f t="shared" ref="AR821:AR872" si="122">AO821+AQ821</f>
        <v>6.2965508474722593</v>
      </c>
      <c r="AS821" s="81">
        <f t="shared" ref="AS821:AS872" si="123">AO821/AR821</f>
        <v>0.42162917076749112</v>
      </c>
      <c r="AT821" s="81">
        <f t="shared" ref="AT821:AT872" si="124">AQ821/AR821</f>
        <v>0.57837082923250893</v>
      </c>
    </row>
    <row r="822" spans="1:46" x14ac:dyDescent="0.25">
      <c r="A822" t="s">
        <v>230</v>
      </c>
      <c r="B822">
        <v>2025</v>
      </c>
      <c r="C822" t="s">
        <v>680</v>
      </c>
      <c r="D822" t="s">
        <v>836</v>
      </c>
      <c r="E822" t="s">
        <v>2490</v>
      </c>
      <c r="F822">
        <v>8</v>
      </c>
      <c r="G822" t="s">
        <v>2560</v>
      </c>
      <c r="H822" s="460">
        <v>10693.588604960241</v>
      </c>
      <c r="I822">
        <v>12400</v>
      </c>
      <c r="J822">
        <v>79.999999980485796</v>
      </c>
      <c r="K822" s="67">
        <v>192.642</v>
      </c>
      <c r="L822" s="159">
        <v>0</v>
      </c>
      <c r="M822" s="159">
        <v>0</v>
      </c>
      <c r="N822" s="159">
        <v>0</v>
      </c>
      <c r="O822" s="159">
        <v>0</v>
      </c>
      <c r="P822" s="159">
        <v>4700</v>
      </c>
      <c r="Q822" s="159">
        <v>1500</v>
      </c>
      <c r="R822" s="159">
        <v>2000</v>
      </c>
      <c r="S822" s="159">
        <v>200419</v>
      </c>
      <c r="T822" s="159">
        <v>0</v>
      </c>
      <c r="U822" s="159">
        <v>53940</v>
      </c>
      <c r="V822" s="159">
        <v>4500</v>
      </c>
      <c r="W822" s="159">
        <v>186</v>
      </c>
      <c r="X822" s="159">
        <v>0</v>
      </c>
      <c r="Y822" s="159">
        <v>1500</v>
      </c>
      <c r="Z822" s="159">
        <v>8557</v>
      </c>
      <c r="AA822" s="159">
        <v>0</v>
      </c>
      <c r="AB822" s="159">
        <v>0</v>
      </c>
      <c r="AC822" s="159">
        <v>0</v>
      </c>
      <c r="AD822" s="207">
        <v>277302</v>
      </c>
      <c r="AE822" s="200">
        <v>0</v>
      </c>
      <c r="AF822" s="200">
        <v>0</v>
      </c>
      <c r="AG822" s="200">
        <v>0</v>
      </c>
      <c r="AH822" s="200">
        <v>1907</v>
      </c>
      <c r="AI822" s="200">
        <v>1777</v>
      </c>
      <c r="AJ822" s="200">
        <v>2074</v>
      </c>
      <c r="AL822" s="197">
        <f t="shared" si="116"/>
        <v>317889.50594804552</v>
      </c>
      <c r="AM822" s="197" t="str">
        <f t="shared" si="117"/>
        <v>Transit Heavy 8</v>
      </c>
      <c r="AN822" s="3">
        <f t="shared" si="118"/>
        <v>0</v>
      </c>
      <c r="AO822" s="3">
        <f t="shared" si="119"/>
        <v>0</v>
      </c>
      <c r="AP822" s="3">
        <f t="shared" si="120"/>
        <v>118.49578087911814</v>
      </c>
      <c r="AQ822" s="3">
        <f t="shared" si="121"/>
        <v>4.2658481116482534</v>
      </c>
      <c r="AR822" s="3">
        <f t="shared" si="122"/>
        <v>4.2658481116482534</v>
      </c>
      <c r="AS822" s="81">
        <f t="shared" si="123"/>
        <v>0</v>
      </c>
      <c r="AT822" s="81">
        <f t="shared" si="124"/>
        <v>1</v>
      </c>
    </row>
    <row r="823" spans="1:46" x14ac:dyDescent="0.25">
      <c r="A823" t="s">
        <v>496</v>
      </c>
      <c r="B823">
        <v>2025</v>
      </c>
      <c r="C823" t="s">
        <v>680</v>
      </c>
      <c r="D823" t="s">
        <v>836</v>
      </c>
      <c r="E823" t="s">
        <v>2490</v>
      </c>
      <c r="F823">
        <v>8</v>
      </c>
      <c r="G823" t="s">
        <v>2561</v>
      </c>
      <c r="H823" s="460">
        <v>10256.059372964963</v>
      </c>
      <c r="I823">
        <v>12400</v>
      </c>
      <c r="J823">
        <v>79.999999980485796</v>
      </c>
      <c r="K823" s="67">
        <v>11.689920000000003</v>
      </c>
      <c r="L823" s="159">
        <v>0</v>
      </c>
      <c r="M823" s="159">
        <v>0</v>
      </c>
      <c r="N823" s="159">
        <v>0</v>
      </c>
      <c r="O823" s="159">
        <v>0</v>
      </c>
      <c r="P823" s="159">
        <v>5320</v>
      </c>
      <c r="Q823" s="159">
        <v>1500</v>
      </c>
      <c r="R823" s="159">
        <v>2000</v>
      </c>
      <c r="S823" s="159">
        <v>200419</v>
      </c>
      <c r="T823" s="159">
        <v>0</v>
      </c>
      <c r="U823" s="159">
        <v>5523</v>
      </c>
      <c r="V823" s="159">
        <v>4500</v>
      </c>
      <c r="W823" s="159">
        <v>186</v>
      </c>
      <c r="X823" s="159">
        <v>0</v>
      </c>
      <c r="Y823" s="159">
        <v>1500</v>
      </c>
      <c r="Z823" s="159">
        <v>9838</v>
      </c>
      <c r="AA823" s="159">
        <v>38837</v>
      </c>
      <c r="AB823" s="159">
        <v>7763</v>
      </c>
      <c r="AC823" s="159">
        <v>0</v>
      </c>
      <c r="AD823" s="207">
        <v>277386</v>
      </c>
      <c r="AE823" s="200">
        <v>10.361727779554387</v>
      </c>
      <c r="AF823" s="200">
        <v>12.004627244015689</v>
      </c>
      <c r="AG823" s="200">
        <v>10.095183623655601</v>
      </c>
      <c r="AH823" s="200">
        <v>0</v>
      </c>
      <c r="AI823" s="200">
        <v>0</v>
      </c>
      <c r="AJ823" s="200">
        <v>0</v>
      </c>
      <c r="AL823" s="197">
        <f t="shared" si="116"/>
        <v>317985.80066824093</v>
      </c>
      <c r="AM823" s="197" t="str">
        <f t="shared" si="117"/>
        <v>Transit Heavy 8</v>
      </c>
      <c r="AN823" s="3">
        <f t="shared" si="118"/>
        <v>22.700376254387926</v>
      </c>
      <c r="AO823" s="3">
        <f t="shared" si="119"/>
        <v>8.7622145078058811</v>
      </c>
      <c r="AP823" s="3">
        <f t="shared" si="120"/>
        <v>0</v>
      </c>
      <c r="AQ823" s="3">
        <f t="shared" si="121"/>
        <v>0</v>
      </c>
      <c r="AR823" s="3">
        <f t="shared" si="122"/>
        <v>8.7622145078058811</v>
      </c>
      <c r="AS823" s="81">
        <f t="shared" si="123"/>
        <v>1</v>
      </c>
      <c r="AT823" s="81">
        <f t="shared" si="124"/>
        <v>0</v>
      </c>
    </row>
    <row r="824" spans="1:46" x14ac:dyDescent="0.25">
      <c r="A824" t="s">
        <v>828</v>
      </c>
      <c r="B824">
        <v>2025</v>
      </c>
      <c r="C824" t="s">
        <v>680</v>
      </c>
      <c r="D824" t="s">
        <v>836</v>
      </c>
      <c r="E824" t="s">
        <v>2490</v>
      </c>
      <c r="F824">
        <v>8</v>
      </c>
      <c r="G824" t="s">
        <v>2562</v>
      </c>
      <c r="H824" s="460">
        <v>9953.042779895135</v>
      </c>
      <c r="I824">
        <v>12400</v>
      </c>
      <c r="J824">
        <v>79.999999980485796</v>
      </c>
      <c r="K824" s="67">
        <v>18.742875000000002</v>
      </c>
      <c r="L824" s="159">
        <v>0</v>
      </c>
      <c r="M824" s="159">
        <v>0</v>
      </c>
      <c r="N824" s="159">
        <v>0</v>
      </c>
      <c r="O824" s="159">
        <v>0</v>
      </c>
      <c r="P824" s="159">
        <v>5026</v>
      </c>
      <c r="Q824" s="159">
        <v>1500</v>
      </c>
      <c r="R824" s="159">
        <v>2000</v>
      </c>
      <c r="S824" s="159">
        <v>200419</v>
      </c>
      <c r="T824" s="159">
        <v>0</v>
      </c>
      <c r="U824" s="159">
        <v>5248</v>
      </c>
      <c r="V824" s="159">
        <v>4500</v>
      </c>
      <c r="W824" s="159">
        <v>186</v>
      </c>
      <c r="X824" s="159">
        <v>0</v>
      </c>
      <c r="Y824" s="159">
        <v>1500</v>
      </c>
      <c r="Z824" s="159">
        <v>9231</v>
      </c>
      <c r="AA824" s="159">
        <v>13363</v>
      </c>
      <c r="AB824" s="159">
        <v>7396</v>
      </c>
      <c r="AC824" s="159">
        <v>0</v>
      </c>
      <c r="AD824" s="207">
        <v>250369</v>
      </c>
      <c r="AE824" s="200">
        <v>9.672048722399202</v>
      </c>
      <c r="AF824" s="200">
        <v>10.998974583079077</v>
      </c>
      <c r="AG824" s="200">
        <v>9.6921859602984402</v>
      </c>
      <c r="AH824" s="200">
        <v>0</v>
      </c>
      <c r="AI824" s="200">
        <v>0</v>
      </c>
      <c r="AJ824" s="200">
        <v>863.45868756471202</v>
      </c>
      <c r="AL824" s="197">
        <f t="shared" si="116"/>
        <v>287014.43810252432</v>
      </c>
      <c r="AM824" s="197" t="str">
        <f t="shared" si="117"/>
        <v>Transit Heavy 8</v>
      </c>
      <c r="AN824" s="3">
        <f t="shared" si="118"/>
        <v>24.319058556508367</v>
      </c>
      <c r="AO824" s="3">
        <f t="shared" si="119"/>
        <v>9.3870165547951565</v>
      </c>
      <c r="AP824" s="3">
        <f t="shared" si="120"/>
        <v>0</v>
      </c>
      <c r="AQ824" s="3">
        <f t="shared" si="121"/>
        <v>0</v>
      </c>
      <c r="AR824" s="3">
        <f t="shared" si="122"/>
        <v>9.3870165547951565</v>
      </c>
      <c r="AS824" s="81">
        <f t="shared" si="123"/>
        <v>1</v>
      </c>
      <c r="AT824" s="81">
        <f t="shared" si="124"/>
        <v>0</v>
      </c>
    </row>
    <row r="825" spans="1:46" x14ac:dyDescent="0.25">
      <c r="A825" t="s">
        <v>805</v>
      </c>
      <c r="B825">
        <v>2030</v>
      </c>
      <c r="C825" t="s">
        <v>680</v>
      </c>
      <c r="D825" t="s">
        <v>836</v>
      </c>
      <c r="E825" t="s">
        <v>2490</v>
      </c>
      <c r="F825">
        <v>8</v>
      </c>
      <c r="G825" t="s">
        <v>2563</v>
      </c>
      <c r="H825" s="460">
        <v>9800.9509602426115</v>
      </c>
      <c r="I825">
        <v>12400</v>
      </c>
      <c r="J825">
        <v>0</v>
      </c>
      <c r="K825" s="67">
        <v>0</v>
      </c>
      <c r="L825" s="159">
        <v>300</v>
      </c>
      <c r="M825" s="159">
        <v>25227</v>
      </c>
      <c r="N825" s="159">
        <v>1920</v>
      </c>
      <c r="O825" s="159">
        <v>506</v>
      </c>
      <c r="P825" s="159">
        <v>6010</v>
      </c>
      <c r="Q825" s="159">
        <v>1500</v>
      </c>
      <c r="R825" s="159">
        <v>2000</v>
      </c>
      <c r="S825" s="159">
        <v>200887</v>
      </c>
      <c r="T825" s="159">
        <v>73</v>
      </c>
      <c r="U825" s="159">
        <v>120</v>
      </c>
      <c r="V825" s="159">
        <v>0</v>
      </c>
      <c r="W825" s="159">
        <v>186</v>
      </c>
      <c r="X825" s="159">
        <v>0</v>
      </c>
      <c r="Y825" s="159">
        <v>0</v>
      </c>
      <c r="Z825" s="159">
        <v>0</v>
      </c>
      <c r="AA825" s="159">
        <v>0</v>
      </c>
      <c r="AB825" s="159">
        <v>0</v>
      </c>
      <c r="AC825" s="159">
        <v>0</v>
      </c>
      <c r="AD825" s="207">
        <v>238729</v>
      </c>
      <c r="AE825" s="200">
        <v>5.3060338094956867</v>
      </c>
      <c r="AF825" s="200">
        <v>8.9476791309430546</v>
      </c>
      <c r="AG825" s="200">
        <v>8.5151931750290366</v>
      </c>
      <c r="AH825" s="200">
        <v>0</v>
      </c>
      <c r="AI825" s="200">
        <v>0</v>
      </c>
      <c r="AJ825" s="200">
        <v>0</v>
      </c>
      <c r="AL825" s="197">
        <f t="shared" si="116"/>
        <v>273670.74116115627</v>
      </c>
      <c r="AM825" s="197" t="str">
        <f t="shared" si="117"/>
        <v>Transit Heavy 8</v>
      </c>
      <c r="AN825" s="3">
        <f t="shared" si="118"/>
        <v>44.329743775941793</v>
      </c>
      <c r="AO825" s="3">
        <f t="shared" si="119"/>
        <v>17.111025812437479</v>
      </c>
      <c r="AP825" s="3">
        <f t="shared" si="120"/>
        <v>0</v>
      </c>
      <c r="AQ825" s="3">
        <f t="shared" si="121"/>
        <v>0</v>
      </c>
      <c r="AR825" s="3">
        <f t="shared" si="122"/>
        <v>17.111025812437479</v>
      </c>
      <c r="AS825" s="81">
        <f t="shared" si="123"/>
        <v>1</v>
      </c>
      <c r="AT825" s="81">
        <f t="shared" si="124"/>
        <v>0</v>
      </c>
    </row>
    <row r="826" spans="1:46" x14ac:dyDescent="0.25">
      <c r="A826" t="s">
        <v>807</v>
      </c>
      <c r="B826">
        <v>2030</v>
      </c>
      <c r="C826" t="s">
        <v>680</v>
      </c>
      <c r="D826" t="s">
        <v>836</v>
      </c>
      <c r="E826" t="s">
        <v>2490</v>
      </c>
      <c r="F826">
        <v>8</v>
      </c>
      <c r="G826" t="s">
        <v>2564</v>
      </c>
      <c r="H826" s="460">
        <v>10128.630188570056</v>
      </c>
      <c r="I826">
        <v>12400</v>
      </c>
      <c r="J826">
        <v>0</v>
      </c>
      <c r="K826" s="67">
        <v>9.0288000000000022</v>
      </c>
      <c r="L826" s="159">
        <v>300</v>
      </c>
      <c r="M826" s="159">
        <v>33286</v>
      </c>
      <c r="N826" s="159">
        <v>220</v>
      </c>
      <c r="O826" s="159">
        <v>392</v>
      </c>
      <c r="P826" s="159">
        <v>7422</v>
      </c>
      <c r="Q826" s="159">
        <v>1500</v>
      </c>
      <c r="R826" s="159">
        <v>2000</v>
      </c>
      <c r="S826" s="159">
        <v>200887</v>
      </c>
      <c r="T826" s="159">
        <v>0</v>
      </c>
      <c r="U826" s="159">
        <v>3242</v>
      </c>
      <c r="V826" s="159">
        <v>4500</v>
      </c>
      <c r="W826" s="159">
        <v>186</v>
      </c>
      <c r="X826" s="159">
        <v>120</v>
      </c>
      <c r="Y826" s="159">
        <v>1500</v>
      </c>
      <c r="Z826" s="159">
        <v>4472</v>
      </c>
      <c r="AA826" s="159">
        <v>0</v>
      </c>
      <c r="AB826" s="159">
        <v>0</v>
      </c>
      <c r="AC826" s="159">
        <v>0</v>
      </c>
      <c r="AD826" s="207">
        <v>260027</v>
      </c>
      <c r="AE826" s="200">
        <v>7.2696025100281698</v>
      </c>
      <c r="AF826" s="200">
        <v>9.5089321847300479</v>
      </c>
      <c r="AG826" s="200">
        <v>8.2179453314885276</v>
      </c>
      <c r="AH826" s="200">
        <v>0</v>
      </c>
      <c r="AI826" s="200">
        <v>0</v>
      </c>
      <c r="AJ826" s="200">
        <v>0</v>
      </c>
      <c r="AL826" s="197">
        <f t="shared" si="116"/>
        <v>298086.03819356667</v>
      </c>
      <c r="AM826" s="197" t="str">
        <f t="shared" si="117"/>
        <v>Transit Heavy 8</v>
      </c>
      <c r="AN826" s="3">
        <f t="shared" si="118"/>
        <v>32.355980800457367</v>
      </c>
      <c r="AO826" s="3">
        <f t="shared" si="119"/>
        <v>12.489222258122453</v>
      </c>
      <c r="AP826" s="3">
        <f t="shared" si="120"/>
        <v>0</v>
      </c>
      <c r="AQ826" s="3">
        <f t="shared" si="121"/>
        <v>0</v>
      </c>
      <c r="AR826" s="3">
        <f t="shared" si="122"/>
        <v>12.489222258122453</v>
      </c>
      <c r="AS826" s="81">
        <f t="shared" si="123"/>
        <v>1</v>
      </c>
      <c r="AT826" s="81">
        <f t="shared" si="124"/>
        <v>0</v>
      </c>
    </row>
    <row r="827" spans="1:46" x14ac:dyDescent="0.25">
      <c r="A827" t="s">
        <v>808</v>
      </c>
      <c r="B827">
        <v>2030</v>
      </c>
      <c r="C827" t="s">
        <v>680</v>
      </c>
      <c r="D827" t="s">
        <v>836</v>
      </c>
      <c r="E827" t="s">
        <v>2490</v>
      </c>
      <c r="F827">
        <v>8</v>
      </c>
      <c r="G827" t="s">
        <v>2565</v>
      </c>
      <c r="H827" s="460">
        <v>10647.78191911881</v>
      </c>
      <c r="I827">
        <v>12400</v>
      </c>
      <c r="J827">
        <v>64.0000000216709</v>
      </c>
      <c r="K827" s="67">
        <v>146.71575000000001</v>
      </c>
      <c r="L827" s="159">
        <v>0</v>
      </c>
      <c r="M827" s="159">
        <v>12575</v>
      </c>
      <c r="N827" s="159">
        <v>220</v>
      </c>
      <c r="O827" s="159">
        <v>0</v>
      </c>
      <c r="P827" s="159">
        <v>5051</v>
      </c>
      <c r="Q827" s="159">
        <v>1500</v>
      </c>
      <c r="R827" s="159">
        <v>2000</v>
      </c>
      <c r="S827" s="159">
        <v>200887</v>
      </c>
      <c r="T827" s="159">
        <v>3486</v>
      </c>
      <c r="U827" s="159">
        <v>29343</v>
      </c>
      <c r="V827" s="159">
        <v>4500</v>
      </c>
      <c r="W827" s="159">
        <v>186</v>
      </c>
      <c r="X827" s="159">
        <v>0</v>
      </c>
      <c r="Y827" s="159">
        <v>1500</v>
      </c>
      <c r="Z827" s="159">
        <v>7353</v>
      </c>
      <c r="AA827" s="159">
        <v>0</v>
      </c>
      <c r="AB827" s="159">
        <v>0</v>
      </c>
      <c r="AC827" s="159">
        <v>0</v>
      </c>
      <c r="AD827" s="207">
        <v>268601</v>
      </c>
      <c r="AE827" s="200">
        <v>7.4684840689216383</v>
      </c>
      <c r="AF827" s="200">
        <v>7.1148532197577445</v>
      </c>
      <c r="AG827" s="200">
        <v>7.0189450002836429</v>
      </c>
      <c r="AH827" s="200">
        <v>1945</v>
      </c>
      <c r="AI827" s="200">
        <v>1984</v>
      </c>
      <c r="AJ827" s="200">
        <v>1972</v>
      </c>
      <c r="AL827" s="197">
        <f t="shared" si="116"/>
        <v>307914.97784780123</v>
      </c>
      <c r="AM827" s="197" t="str">
        <f t="shared" si="117"/>
        <v>Transit Heavy 8</v>
      </c>
      <c r="AN827" s="3">
        <f t="shared" si="118"/>
        <v>6.2988718211295698</v>
      </c>
      <c r="AO827" s="3">
        <f t="shared" si="119"/>
        <v>2.4313282491625081</v>
      </c>
      <c r="AP827" s="3">
        <f t="shared" si="120"/>
        <v>96.685597822709937</v>
      </c>
      <c r="AQ827" s="3">
        <f t="shared" si="121"/>
        <v>3.4806815216175577</v>
      </c>
      <c r="AR827" s="3">
        <f t="shared" si="122"/>
        <v>5.9120097707800658</v>
      </c>
      <c r="AS827" s="81">
        <f t="shared" si="123"/>
        <v>0.41125240712207145</v>
      </c>
      <c r="AT827" s="81">
        <f t="shared" si="124"/>
        <v>0.58874759287792855</v>
      </c>
    </row>
    <row r="828" spans="1:46" x14ac:dyDescent="0.25">
      <c r="A828" t="s">
        <v>230</v>
      </c>
      <c r="B828">
        <v>2030</v>
      </c>
      <c r="C828" t="s">
        <v>680</v>
      </c>
      <c r="D828" t="s">
        <v>836</v>
      </c>
      <c r="E828" t="s">
        <v>2490</v>
      </c>
      <c r="F828">
        <v>8</v>
      </c>
      <c r="G828" t="s">
        <v>2566</v>
      </c>
      <c r="H828" s="460">
        <v>10242.006059824973</v>
      </c>
      <c r="I828">
        <v>12400</v>
      </c>
      <c r="J828">
        <v>79.999999980485796</v>
      </c>
      <c r="K828" s="67">
        <v>174.768</v>
      </c>
      <c r="L828" s="159">
        <v>0</v>
      </c>
      <c r="M828" s="159">
        <v>0</v>
      </c>
      <c r="N828" s="159">
        <v>0</v>
      </c>
      <c r="O828" s="159">
        <v>0</v>
      </c>
      <c r="P828" s="159">
        <v>4696</v>
      </c>
      <c r="Q828" s="159">
        <v>1500</v>
      </c>
      <c r="R828" s="159">
        <v>2000</v>
      </c>
      <c r="S828" s="159">
        <v>200887</v>
      </c>
      <c r="T828" s="159">
        <v>0</v>
      </c>
      <c r="U828" s="159">
        <v>34954</v>
      </c>
      <c r="V828" s="159">
        <v>4500</v>
      </c>
      <c r="W828" s="159">
        <v>186</v>
      </c>
      <c r="X828" s="159">
        <v>0</v>
      </c>
      <c r="Y828" s="159">
        <v>1500</v>
      </c>
      <c r="Z828" s="159">
        <v>6770</v>
      </c>
      <c r="AA828" s="159">
        <v>0</v>
      </c>
      <c r="AB828" s="159">
        <v>0</v>
      </c>
      <c r="AC828" s="159">
        <v>0</v>
      </c>
      <c r="AD828" s="207">
        <v>256993</v>
      </c>
      <c r="AE828" s="200">
        <v>0</v>
      </c>
      <c r="AF828" s="200">
        <v>0</v>
      </c>
      <c r="AG828" s="200">
        <v>0</v>
      </c>
      <c r="AH828" s="200">
        <v>1813</v>
      </c>
      <c r="AI828" s="200">
        <v>1667</v>
      </c>
      <c r="AJ828" s="200">
        <v>1940</v>
      </c>
      <c r="AL828" s="197">
        <f t="shared" si="116"/>
        <v>294607.96460936475</v>
      </c>
      <c r="AM828" s="197" t="str">
        <f t="shared" si="117"/>
        <v>Transit Heavy 8</v>
      </c>
      <c r="AN828" s="3">
        <f t="shared" si="118"/>
        <v>0</v>
      </c>
      <c r="AO828" s="3">
        <f t="shared" si="119"/>
        <v>0</v>
      </c>
      <c r="AP828" s="3">
        <f t="shared" si="120"/>
        <v>112.65487715460998</v>
      </c>
      <c r="AQ828" s="3">
        <f t="shared" si="121"/>
        <v>4.0555755775659597</v>
      </c>
      <c r="AR828" s="3">
        <f t="shared" si="122"/>
        <v>4.0555755775659597</v>
      </c>
      <c r="AS828" s="81">
        <f t="shared" si="123"/>
        <v>0</v>
      </c>
      <c r="AT828" s="81">
        <f t="shared" si="124"/>
        <v>1</v>
      </c>
    </row>
    <row r="829" spans="1:46" x14ac:dyDescent="0.25">
      <c r="A829" t="s">
        <v>496</v>
      </c>
      <c r="B829">
        <v>2030</v>
      </c>
      <c r="C829" t="s">
        <v>680</v>
      </c>
      <c r="D829" t="s">
        <v>836</v>
      </c>
      <c r="E829" t="s">
        <v>2490</v>
      </c>
      <c r="F829">
        <v>8</v>
      </c>
      <c r="G829" t="s">
        <v>2567</v>
      </c>
      <c r="H829" s="460">
        <v>9969.8469715601896</v>
      </c>
      <c r="I829">
        <v>12400</v>
      </c>
      <c r="J829">
        <v>79.999999980485796</v>
      </c>
      <c r="K829" s="67">
        <v>11.784960000000002</v>
      </c>
      <c r="L829" s="159">
        <v>0</v>
      </c>
      <c r="M829" s="159">
        <v>0</v>
      </c>
      <c r="N829" s="159">
        <v>0</v>
      </c>
      <c r="O829" s="159">
        <v>0</v>
      </c>
      <c r="P829" s="159">
        <v>5315</v>
      </c>
      <c r="Q829" s="159">
        <v>1500</v>
      </c>
      <c r="R829" s="159">
        <v>2000</v>
      </c>
      <c r="S829" s="159">
        <v>200887</v>
      </c>
      <c r="T829" s="159">
        <v>0</v>
      </c>
      <c r="U829" s="159">
        <v>4232</v>
      </c>
      <c r="V829" s="159">
        <v>4500</v>
      </c>
      <c r="W829" s="159">
        <v>186</v>
      </c>
      <c r="X829" s="159">
        <v>0</v>
      </c>
      <c r="Y829" s="159">
        <v>1500</v>
      </c>
      <c r="Z829" s="159">
        <v>7787</v>
      </c>
      <c r="AA829" s="159">
        <v>33756</v>
      </c>
      <c r="AB829" s="159">
        <v>6348</v>
      </c>
      <c r="AC829" s="159">
        <v>0</v>
      </c>
      <c r="AD829" s="207">
        <v>268011</v>
      </c>
      <c r="AE829" s="200">
        <v>10.973214068876606</v>
      </c>
      <c r="AF829" s="200">
        <v>12.984758593178849</v>
      </c>
      <c r="AG829" s="200">
        <v>10.969645565104345</v>
      </c>
      <c r="AH829" s="200">
        <v>0</v>
      </c>
      <c r="AI829" s="200">
        <v>0</v>
      </c>
      <c r="AJ829" s="200">
        <v>0</v>
      </c>
      <c r="AL829" s="197">
        <f t="shared" si="116"/>
        <v>307238.6220749999</v>
      </c>
      <c r="AM829" s="197" t="str">
        <f t="shared" si="117"/>
        <v>Transit Heavy 8</v>
      </c>
      <c r="AN829" s="3">
        <f t="shared" si="118"/>
        <v>21.435389646554896</v>
      </c>
      <c r="AO829" s="3">
        <f t="shared" si="119"/>
        <v>8.2739369619571761</v>
      </c>
      <c r="AP829" s="3">
        <f t="shared" si="120"/>
        <v>0</v>
      </c>
      <c r="AQ829" s="3">
        <f t="shared" si="121"/>
        <v>0</v>
      </c>
      <c r="AR829" s="3">
        <f t="shared" si="122"/>
        <v>8.2739369619571761</v>
      </c>
      <c r="AS829" s="81">
        <f t="shared" si="123"/>
        <v>1</v>
      </c>
      <c r="AT829" s="81">
        <f t="shared" si="124"/>
        <v>0</v>
      </c>
    </row>
    <row r="830" spans="1:46" x14ac:dyDescent="0.25">
      <c r="A830" t="s">
        <v>828</v>
      </c>
      <c r="B830">
        <v>2030</v>
      </c>
      <c r="C830" t="s">
        <v>680</v>
      </c>
      <c r="D830" t="s">
        <v>836</v>
      </c>
      <c r="E830" t="s">
        <v>2490</v>
      </c>
      <c r="F830">
        <v>8</v>
      </c>
      <c r="G830" t="s">
        <v>2568</v>
      </c>
      <c r="H830" s="460">
        <v>9693.568125996142</v>
      </c>
      <c r="I830">
        <v>12400</v>
      </c>
      <c r="J830">
        <v>79.999999980485796</v>
      </c>
      <c r="K830" s="67">
        <v>18.991125</v>
      </c>
      <c r="L830" s="159">
        <v>0</v>
      </c>
      <c r="M830" s="159">
        <v>0</v>
      </c>
      <c r="N830" s="159">
        <v>0</v>
      </c>
      <c r="O830" s="159">
        <v>0</v>
      </c>
      <c r="P830" s="159">
        <v>5010</v>
      </c>
      <c r="Q830" s="159">
        <v>1500</v>
      </c>
      <c r="R830" s="159">
        <v>2000</v>
      </c>
      <c r="S830" s="159">
        <v>200887</v>
      </c>
      <c r="T830" s="159">
        <v>0</v>
      </c>
      <c r="U830" s="159">
        <v>3798</v>
      </c>
      <c r="V830" s="159">
        <v>4500</v>
      </c>
      <c r="W830" s="159">
        <v>186</v>
      </c>
      <c r="X830" s="159">
        <v>0</v>
      </c>
      <c r="Y830" s="159">
        <v>1500</v>
      </c>
      <c r="Z830" s="159">
        <v>7286</v>
      </c>
      <c r="AA830" s="159">
        <v>11043</v>
      </c>
      <c r="AB830" s="159">
        <v>6026</v>
      </c>
      <c r="AC830" s="159">
        <v>0</v>
      </c>
      <c r="AD830" s="207">
        <v>243736</v>
      </c>
      <c r="AE830" s="200">
        <v>10.240258460821407</v>
      </c>
      <c r="AF830" s="200">
        <v>11.869609258627625</v>
      </c>
      <c r="AG830" s="200">
        <v>10.684656136708444</v>
      </c>
      <c r="AH830" s="200">
        <v>0</v>
      </c>
      <c r="AI830" s="200">
        <v>0</v>
      </c>
      <c r="AJ830" s="200">
        <v>706.79388625567174</v>
      </c>
      <c r="AL830" s="197">
        <f t="shared" si="116"/>
        <v>279410.59430423443</v>
      </c>
      <c r="AM830" s="197" t="str">
        <f t="shared" si="117"/>
        <v>Transit Heavy 8</v>
      </c>
      <c r="AN830" s="3">
        <f t="shared" si="118"/>
        <v>22.969646727311286</v>
      </c>
      <c r="AO830" s="3">
        <f t="shared" si="119"/>
        <v>8.8661513596858903</v>
      </c>
      <c r="AP830" s="3">
        <f t="shared" si="120"/>
        <v>0</v>
      </c>
      <c r="AQ830" s="3">
        <f t="shared" si="121"/>
        <v>0</v>
      </c>
      <c r="AR830" s="3">
        <f t="shared" si="122"/>
        <v>8.8661513596858903</v>
      </c>
      <c r="AS830" s="81">
        <f t="shared" si="123"/>
        <v>1</v>
      </c>
      <c r="AT830" s="81">
        <f t="shared" si="124"/>
        <v>0</v>
      </c>
    </row>
    <row r="831" spans="1:46" x14ac:dyDescent="0.25">
      <c r="A831" t="s">
        <v>805</v>
      </c>
      <c r="B831">
        <v>2035</v>
      </c>
      <c r="C831" t="s">
        <v>680</v>
      </c>
      <c r="D831" t="s">
        <v>836</v>
      </c>
      <c r="E831" t="s">
        <v>2490</v>
      </c>
      <c r="F831">
        <v>8</v>
      </c>
      <c r="G831" t="s">
        <v>2569</v>
      </c>
      <c r="H831" s="460">
        <v>9799.7141227443462</v>
      </c>
      <c r="I831">
        <v>12400</v>
      </c>
      <c r="J831">
        <v>0</v>
      </c>
      <c r="K831" s="67">
        <v>0</v>
      </c>
      <c r="L831" s="159">
        <v>300</v>
      </c>
      <c r="M831" s="159">
        <v>25385</v>
      </c>
      <c r="N831" s="159">
        <v>1920</v>
      </c>
      <c r="O831" s="159">
        <v>506</v>
      </c>
      <c r="P831" s="159">
        <v>6002</v>
      </c>
      <c r="Q831" s="159">
        <v>1500</v>
      </c>
      <c r="R831" s="159">
        <v>2000</v>
      </c>
      <c r="S831" s="159">
        <v>200887</v>
      </c>
      <c r="T831" s="159">
        <v>63</v>
      </c>
      <c r="U831" s="159">
        <v>120</v>
      </c>
      <c r="V831" s="159">
        <v>0</v>
      </c>
      <c r="W831" s="159">
        <v>186</v>
      </c>
      <c r="X831" s="159">
        <v>0</v>
      </c>
      <c r="Y831" s="159">
        <v>0</v>
      </c>
      <c r="Z831" s="159">
        <v>0</v>
      </c>
      <c r="AA831" s="159">
        <v>0</v>
      </c>
      <c r="AB831" s="159">
        <v>0</v>
      </c>
      <c r="AC831" s="159">
        <v>0</v>
      </c>
      <c r="AD831" s="207">
        <v>238869</v>
      </c>
      <c r="AE831" s="200">
        <v>5.4999175223896817</v>
      </c>
      <c r="AF831" s="200">
        <v>9.5506086688455625</v>
      </c>
      <c r="AG831" s="200">
        <v>9.1923938271760015</v>
      </c>
      <c r="AH831" s="200">
        <v>0</v>
      </c>
      <c r="AI831" s="200">
        <v>0</v>
      </c>
      <c r="AJ831" s="200">
        <v>0</v>
      </c>
      <c r="AL831" s="197">
        <f t="shared" si="116"/>
        <v>273831.23236148199</v>
      </c>
      <c r="AM831" s="197" t="str">
        <f t="shared" si="117"/>
        <v>Transit Heavy 8</v>
      </c>
      <c r="AN831" s="3">
        <f t="shared" si="118"/>
        <v>42.767026647924816</v>
      </c>
      <c r="AO831" s="3">
        <f t="shared" si="119"/>
        <v>16.507826000361224</v>
      </c>
      <c r="AP831" s="3">
        <f t="shared" si="120"/>
        <v>0</v>
      </c>
      <c r="AQ831" s="3">
        <f t="shared" si="121"/>
        <v>0</v>
      </c>
      <c r="AR831" s="3">
        <f t="shared" si="122"/>
        <v>16.507826000361224</v>
      </c>
      <c r="AS831" s="81">
        <f t="shared" si="123"/>
        <v>1</v>
      </c>
      <c r="AT831" s="81">
        <f t="shared" si="124"/>
        <v>0</v>
      </c>
    </row>
    <row r="832" spans="1:46" x14ac:dyDescent="0.25">
      <c r="A832" t="s">
        <v>807</v>
      </c>
      <c r="B832">
        <v>2035</v>
      </c>
      <c r="C832" t="s">
        <v>680</v>
      </c>
      <c r="D832" t="s">
        <v>836</v>
      </c>
      <c r="E832" t="s">
        <v>2490</v>
      </c>
      <c r="F832">
        <v>8</v>
      </c>
      <c r="G832" t="s">
        <v>2570</v>
      </c>
      <c r="H832" s="460">
        <v>10124.38713239655</v>
      </c>
      <c r="I832">
        <v>12400</v>
      </c>
      <c r="J832">
        <v>0</v>
      </c>
      <c r="K832" s="67">
        <v>9.1080000000000023</v>
      </c>
      <c r="L832" s="159">
        <v>300</v>
      </c>
      <c r="M832" s="159">
        <v>33516</v>
      </c>
      <c r="N832" s="159">
        <v>220</v>
      </c>
      <c r="O832" s="159">
        <v>392</v>
      </c>
      <c r="P832" s="159">
        <v>7422</v>
      </c>
      <c r="Q832" s="159">
        <v>1500</v>
      </c>
      <c r="R832" s="159">
        <v>2000</v>
      </c>
      <c r="S832" s="159">
        <v>200887</v>
      </c>
      <c r="T832" s="159">
        <v>0</v>
      </c>
      <c r="U832" s="159">
        <v>3098</v>
      </c>
      <c r="V832" s="159">
        <v>4500</v>
      </c>
      <c r="W832" s="159">
        <v>186</v>
      </c>
      <c r="X832" s="159">
        <v>120</v>
      </c>
      <c r="Y832" s="159">
        <v>1500</v>
      </c>
      <c r="Z832" s="159">
        <v>3684</v>
      </c>
      <c r="AA832" s="159">
        <v>0</v>
      </c>
      <c r="AB832" s="159">
        <v>0</v>
      </c>
      <c r="AC832" s="159">
        <v>0</v>
      </c>
      <c r="AD832" s="207">
        <v>259325</v>
      </c>
      <c r="AE832" s="200">
        <v>7.7447381157290538</v>
      </c>
      <c r="AF832" s="200">
        <v>10.315750894572252</v>
      </c>
      <c r="AG832" s="200">
        <v>8.9650141902140703</v>
      </c>
      <c r="AH832" s="200">
        <v>0</v>
      </c>
      <c r="AI832" s="200">
        <v>0</v>
      </c>
      <c r="AJ832" s="200">
        <v>0</v>
      </c>
      <c r="AL832" s="197">
        <f t="shared" si="116"/>
        <v>297281.28946050478</v>
      </c>
      <c r="AM832" s="197" t="str">
        <f t="shared" si="117"/>
        <v>Transit Heavy 8</v>
      </c>
      <c r="AN832" s="3">
        <f t="shared" si="118"/>
        <v>30.370958414167898</v>
      </c>
      <c r="AO832" s="3">
        <f t="shared" si="119"/>
        <v>11.723015048314512</v>
      </c>
      <c r="AP832" s="3">
        <f t="shared" si="120"/>
        <v>0</v>
      </c>
      <c r="AQ832" s="3">
        <f t="shared" si="121"/>
        <v>0</v>
      </c>
      <c r="AR832" s="3">
        <f t="shared" si="122"/>
        <v>11.723015048314512</v>
      </c>
      <c r="AS832" s="81">
        <f t="shared" si="123"/>
        <v>1</v>
      </c>
      <c r="AT832" s="81">
        <f t="shared" si="124"/>
        <v>0</v>
      </c>
    </row>
    <row r="833" spans="1:46" x14ac:dyDescent="0.25">
      <c r="A833" t="s">
        <v>808</v>
      </c>
      <c r="B833">
        <v>2035</v>
      </c>
      <c r="C833" t="s">
        <v>680</v>
      </c>
      <c r="D833" t="s">
        <v>836</v>
      </c>
      <c r="E833" t="s">
        <v>2490</v>
      </c>
      <c r="F833">
        <v>8</v>
      </c>
      <c r="G833" t="s">
        <v>2571</v>
      </c>
      <c r="H833" s="460">
        <v>10418.22811283412</v>
      </c>
      <c r="I833">
        <v>12400</v>
      </c>
      <c r="J833">
        <v>64.0000000216709</v>
      </c>
      <c r="K833" s="67">
        <v>134.79974999999999</v>
      </c>
      <c r="L833" s="159">
        <v>0</v>
      </c>
      <c r="M833" s="159">
        <v>12497</v>
      </c>
      <c r="N833" s="159">
        <v>220</v>
      </c>
      <c r="O833" s="159">
        <v>0</v>
      </c>
      <c r="P833" s="159">
        <v>5034</v>
      </c>
      <c r="Q833" s="159">
        <v>1500</v>
      </c>
      <c r="R833" s="159">
        <v>2000</v>
      </c>
      <c r="S833" s="159">
        <v>200887</v>
      </c>
      <c r="T833" s="159">
        <v>2821</v>
      </c>
      <c r="U833" s="159">
        <v>21568</v>
      </c>
      <c r="V833" s="159">
        <v>4500</v>
      </c>
      <c r="W833" s="159">
        <v>186</v>
      </c>
      <c r="X833" s="159">
        <v>0</v>
      </c>
      <c r="Y833" s="159">
        <v>1500</v>
      </c>
      <c r="Z833" s="159">
        <v>6019</v>
      </c>
      <c r="AA833" s="159">
        <v>0</v>
      </c>
      <c r="AB833" s="159">
        <v>0</v>
      </c>
      <c r="AC833" s="159">
        <v>0</v>
      </c>
      <c r="AD833" s="207">
        <v>258732</v>
      </c>
      <c r="AE833" s="200">
        <v>8.0851051305508861</v>
      </c>
      <c r="AF833" s="200">
        <v>7.7576176841918389</v>
      </c>
      <c r="AG833" s="200">
        <v>7.6598454205190309</v>
      </c>
      <c r="AH833" s="200">
        <v>1848</v>
      </c>
      <c r="AI833" s="200">
        <v>1902</v>
      </c>
      <c r="AJ833" s="200">
        <v>1849</v>
      </c>
      <c r="AL833" s="197">
        <f t="shared" si="116"/>
        <v>296601.49459055369</v>
      </c>
      <c r="AM833" s="197" t="str">
        <f t="shared" si="117"/>
        <v>Transit Heavy 8</v>
      </c>
      <c r="AN833" s="3">
        <f t="shared" si="118"/>
        <v>5.8184801667607138</v>
      </c>
      <c r="AO833" s="3">
        <f t="shared" si="119"/>
        <v>2.2458998370441838</v>
      </c>
      <c r="AP833" s="3">
        <f t="shared" si="120"/>
        <v>91.863745386307443</v>
      </c>
      <c r="AQ833" s="3">
        <f t="shared" si="121"/>
        <v>3.307094833907068</v>
      </c>
      <c r="AR833" s="3">
        <f t="shared" si="122"/>
        <v>5.5529946709512519</v>
      </c>
      <c r="AS833" s="81">
        <f t="shared" si="123"/>
        <v>0.40444840489275158</v>
      </c>
      <c r="AT833" s="81">
        <f t="shared" si="124"/>
        <v>0.59555159510724842</v>
      </c>
    </row>
    <row r="834" spans="1:46" x14ac:dyDescent="0.25">
      <c r="A834" t="s">
        <v>230</v>
      </c>
      <c r="B834">
        <v>2035</v>
      </c>
      <c r="C834" t="s">
        <v>680</v>
      </c>
      <c r="D834" t="s">
        <v>836</v>
      </c>
      <c r="E834" t="s">
        <v>2490</v>
      </c>
      <c r="F834">
        <v>8</v>
      </c>
      <c r="G834" t="s">
        <v>2572</v>
      </c>
      <c r="H834" s="460">
        <v>10004.987256561253</v>
      </c>
      <c r="I834">
        <v>12400</v>
      </c>
      <c r="J834">
        <v>79.999999980485796</v>
      </c>
      <c r="K834" s="67">
        <v>161.61075</v>
      </c>
      <c r="L834" s="159">
        <v>0</v>
      </c>
      <c r="M834" s="159">
        <v>0</v>
      </c>
      <c r="N834" s="159">
        <v>0</v>
      </c>
      <c r="O834" s="159">
        <v>0</v>
      </c>
      <c r="P834" s="159">
        <v>4691</v>
      </c>
      <c r="Q834" s="159">
        <v>1500</v>
      </c>
      <c r="R834" s="159">
        <v>2000</v>
      </c>
      <c r="S834" s="159">
        <v>200887</v>
      </c>
      <c r="T834" s="159">
        <v>0</v>
      </c>
      <c r="U834" s="159">
        <v>25858</v>
      </c>
      <c r="V834" s="159">
        <v>4500</v>
      </c>
      <c r="W834" s="159">
        <v>186</v>
      </c>
      <c r="X834" s="159">
        <v>0</v>
      </c>
      <c r="Y834" s="159">
        <v>1500</v>
      </c>
      <c r="Z834" s="159">
        <v>5557</v>
      </c>
      <c r="AA834" s="159">
        <v>0</v>
      </c>
      <c r="AB834" s="159">
        <v>0</v>
      </c>
      <c r="AC834" s="159">
        <v>0</v>
      </c>
      <c r="AD834" s="207">
        <v>246679</v>
      </c>
      <c r="AE834" s="200">
        <v>0</v>
      </c>
      <c r="AF834" s="200">
        <v>0</v>
      </c>
      <c r="AG834" s="200">
        <v>0</v>
      </c>
      <c r="AH834" s="200">
        <v>1715</v>
      </c>
      <c r="AI834" s="200">
        <v>1557</v>
      </c>
      <c r="AJ834" s="200">
        <v>1805</v>
      </c>
      <c r="AL834" s="197">
        <f t="shared" si="116"/>
        <v>282784.34860822465</v>
      </c>
      <c r="AM834" s="197" t="str">
        <f t="shared" si="117"/>
        <v>Transit Heavy 8</v>
      </c>
      <c r="AN834" s="3">
        <f t="shared" si="118"/>
        <v>0</v>
      </c>
      <c r="AO834" s="3">
        <f t="shared" si="119"/>
        <v>0</v>
      </c>
      <c r="AP834" s="3">
        <f t="shared" si="120"/>
        <v>106.56542433544186</v>
      </c>
      <c r="AQ834" s="3">
        <f t="shared" si="121"/>
        <v>3.8363552760759068</v>
      </c>
      <c r="AR834" s="3">
        <f t="shared" si="122"/>
        <v>3.8363552760759068</v>
      </c>
      <c r="AS834" s="81">
        <f t="shared" si="123"/>
        <v>0</v>
      </c>
      <c r="AT834" s="81">
        <f t="shared" si="124"/>
        <v>1</v>
      </c>
    </row>
    <row r="835" spans="1:46" x14ac:dyDescent="0.25">
      <c r="A835" t="s">
        <v>496</v>
      </c>
      <c r="B835">
        <v>2035</v>
      </c>
      <c r="C835" t="s">
        <v>680</v>
      </c>
      <c r="D835" t="s">
        <v>836</v>
      </c>
      <c r="E835" t="s">
        <v>2490</v>
      </c>
      <c r="F835">
        <v>8</v>
      </c>
      <c r="G835" t="s">
        <v>2573</v>
      </c>
      <c r="H835" s="460">
        <v>9882.1659594264565</v>
      </c>
      <c r="I835">
        <v>12400</v>
      </c>
      <c r="J835">
        <v>79.999999980485796</v>
      </c>
      <c r="K835" s="67">
        <v>11.880000000000003</v>
      </c>
      <c r="L835" s="159">
        <v>0</v>
      </c>
      <c r="M835" s="159">
        <v>0</v>
      </c>
      <c r="N835" s="159">
        <v>0</v>
      </c>
      <c r="O835" s="159">
        <v>0</v>
      </c>
      <c r="P835" s="159">
        <v>5310</v>
      </c>
      <c r="Q835" s="159">
        <v>1500</v>
      </c>
      <c r="R835" s="159">
        <v>2000</v>
      </c>
      <c r="S835" s="159">
        <v>200887</v>
      </c>
      <c r="T835" s="159">
        <v>0</v>
      </c>
      <c r="U835" s="159">
        <v>4041</v>
      </c>
      <c r="V835" s="159">
        <v>4500</v>
      </c>
      <c r="W835" s="159">
        <v>186</v>
      </c>
      <c r="X835" s="159">
        <v>0</v>
      </c>
      <c r="Y835" s="159">
        <v>1500</v>
      </c>
      <c r="Z835" s="159">
        <v>6390</v>
      </c>
      <c r="AA835" s="159">
        <v>29117</v>
      </c>
      <c r="AB835" s="159">
        <v>5130</v>
      </c>
      <c r="AC835" s="159">
        <v>0</v>
      </c>
      <c r="AD835" s="207">
        <v>260561</v>
      </c>
      <c r="AE835" s="200">
        <v>11.463239845657286</v>
      </c>
      <c r="AF835" s="200">
        <v>13.878870090189164</v>
      </c>
      <c r="AG835" s="200">
        <v>11.790694704261526</v>
      </c>
      <c r="AH835" s="200">
        <v>0</v>
      </c>
      <c r="AI835" s="200">
        <v>0</v>
      </c>
      <c r="AJ835" s="200">
        <v>0</v>
      </c>
      <c r="AL835" s="197">
        <f t="shared" ref="AL835:AL872" si="125">AD835*USD2023_to_CAD2020</f>
        <v>298698.19748623768</v>
      </c>
      <c r="AM835" s="197" t="str">
        <f t="shared" ref="AM835:AM872" si="126">IF(AND(F835&lt;5, D835="School"), $BF$2, IF(F835&lt;5, $BA$2,
IF(AND(F835&lt;=7, D835="School"), $BE$2, IF(F835&lt;7, $AZ$2,
IF(AND(F835&lt;8, E835="DayCab"), $BC$2, IF(F835&lt;8, $AZ$2,
IF(VLOOKUP(D835, $BH$3:$BI$10, 2, FALSE)="Longhaul", $AY$2,
IF(VLOOKUP(D835, $BH$3:$BI$10, 2, FALSE)="Drayage", $BB$2,
IF(VLOOKUP(D835, $BH$3:$BI$10, 2, FALSE)="Regional", $BC$2,
IF(VLOOKUP(D835, $BH$3:$BI$10, 2, FALSE)="Transit", $BE$2,
IF(VLOOKUP(D835, $BH$3:$BI$10, 2, FALSE)="Vocational", $BD$2, NA())))))))))))</f>
        <v>Transit Heavy 8</v>
      </c>
      <c r="AN835" s="3">
        <f t="shared" ref="AN835:AN872" si="127">(IFERROR(L_100km_to_mpg/AE835 * HLOOKUP($AM835, $AY$2:$BF$6, 2, FALSE) +
L_100km_to_mpg/AF835 * HLOOKUP($AM835, $AY$2:$BF$6, 3, FALSE) +
L_100km_to_mpg/AG835 * HLOOKUP($AM835, $AY$2:$BF$6, 4, FALSE), 0)) *
IF(ISERROR(SEARCH("PHEV",$A835)), 1, 1-HLOOKUP($AM835, $AY$2:$BF$6, 5, FALSE))</f>
        <v>20.519078585844703</v>
      </c>
      <c r="AO835" s="3">
        <f t="shared" ref="AO835:AO872" si="128">AN835*DSL_PJ_ML*10</f>
        <v>7.9202461693534252</v>
      </c>
      <c r="AP835" s="3">
        <f t="shared" ref="AP835:AP872" si="129">(AH835/km_mile/10 * HLOOKUP($AM835, $AY$2:$BF$6, 2, FALSE) +
AI835/km_mile/10 * HLOOKUP($AM835, $AY$2:$BF$6, 3, FALSE) +
AJ835/km_mile/10 * HLOOKUP($AM835, $AY$2:$BF$6, 4, FALSE)) *
IF(ISERROR(SEARCH("PHEV",$A835)), 1, HLOOKUP($AM835, $AY$2:$BF$6, 5, FALSE))</f>
        <v>0</v>
      </c>
      <c r="AQ835" s="3">
        <f t="shared" si="121"/>
        <v>0</v>
      </c>
      <c r="AR835" s="3">
        <f t="shared" si="122"/>
        <v>7.9202461693534252</v>
      </c>
      <c r="AS835" s="81">
        <f t="shared" si="123"/>
        <v>1</v>
      </c>
      <c r="AT835" s="81">
        <f t="shared" si="124"/>
        <v>0</v>
      </c>
    </row>
    <row r="836" spans="1:46" x14ac:dyDescent="0.25">
      <c r="A836" t="s">
        <v>828</v>
      </c>
      <c r="B836">
        <v>2035</v>
      </c>
      <c r="C836" t="s">
        <v>680</v>
      </c>
      <c r="D836" t="s">
        <v>836</v>
      </c>
      <c r="E836" t="s">
        <v>2490</v>
      </c>
      <c r="F836">
        <v>8</v>
      </c>
      <c r="G836" t="s">
        <v>2574</v>
      </c>
      <c r="H836" s="460">
        <v>9612.0889968426636</v>
      </c>
      <c r="I836">
        <v>12400</v>
      </c>
      <c r="J836">
        <v>79.999999980485796</v>
      </c>
      <c r="K836" s="67">
        <v>19.239374999999999</v>
      </c>
      <c r="L836" s="159">
        <v>0</v>
      </c>
      <c r="M836" s="159">
        <v>0</v>
      </c>
      <c r="N836" s="159">
        <v>0</v>
      </c>
      <c r="O836" s="159">
        <v>0</v>
      </c>
      <c r="P836" s="159">
        <v>4993</v>
      </c>
      <c r="Q836" s="159">
        <v>1500</v>
      </c>
      <c r="R836" s="159">
        <v>2000</v>
      </c>
      <c r="S836" s="159">
        <v>200887</v>
      </c>
      <c r="T836" s="159">
        <v>0</v>
      </c>
      <c r="U836" s="159">
        <v>3078</v>
      </c>
      <c r="V836" s="159">
        <v>4500</v>
      </c>
      <c r="W836" s="159">
        <v>186</v>
      </c>
      <c r="X836" s="159">
        <v>0</v>
      </c>
      <c r="Y836" s="159">
        <v>1500</v>
      </c>
      <c r="Z836" s="159">
        <v>5964</v>
      </c>
      <c r="AA836" s="159">
        <v>8991</v>
      </c>
      <c r="AB836" s="159">
        <v>4836</v>
      </c>
      <c r="AC836" s="159">
        <v>0</v>
      </c>
      <c r="AD836" s="207">
        <v>238435</v>
      </c>
      <c r="AE836" s="200">
        <v>10.691363182041547</v>
      </c>
      <c r="AF836" s="200">
        <v>12.658848295134764</v>
      </c>
      <c r="AG836" s="200">
        <v>11.198488984183207</v>
      </c>
      <c r="AH836" s="200">
        <v>0</v>
      </c>
      <c r="AI836" s="200">
        <v>0</v>
      </c>
      <c r="AJ836" s="200">
        <v>698.17999404431168</v>
      </c>
      <c r="AL836" s="197">
        <f t="shared" si="125"/>
        <v>273333.70964047225</v>
      </c>
      <c r="AM836" s="197" t="str">
        <f t="shared" si="126"/>
        <v>Transit Heavy 8</v>
      </c>
      <c r="AN836" s="3">
        <f t="shared" si="127"/>
        <v>22.000479755146912</v>
      </c>
      <c r="AO836" s="3">
        <f t="shared" si="128"/>
        <v>8.4920584896461939</v>
      </c>
      <c r="AP836" s="3">
        <f t="shared" si="129"/>
        <v>0</v>
      </c>
      <c r="AQ836" s="3">
        <f t="shared" si="121"/>
        <v>0</v>
      </c>
      <c r="AR836" s="3">
        <f t="shared" si="122"/>
        <v>8.4920584896461939</v>
      </c>
      <c r="AS836" s="81">
        <f t="shared" si="123"/>
        <v>1</v>
      </c>
      <c r="AT836" s="81">
        <f t="shared" si="124"/>
        <v>0</v>
      </c>
    </row>
    <row r="837" spans="1:46" x14ac:dyDescent="0.25">
      <c r="A837" t="s">
        <v>805</v>
      </c>
      <c r="B837">
        <v>2050</v>
      </c>
      <c r="C837" t="s">
        <v>680</v>
      </c>
      <c r="D837" t="s">
        <v>836</v>
      </c>
      <c r="E837" t="s">
        <v>2490</v>
      </c>
      <c r="F837">
        <v>8</v>
      </c>
      <c r="G837" t="s">
        <v>2575</v>
      </c>
      <c r="H837" s="460">
        <v>9746.1085509758705</v>
      </c>
      <c r="I837">
        <v>12400</v>
      </c>
      <c r="J837">
        <v>0</v>
      </c>
      <c r="K837" s="67">
        <v>0</v>
      </c>
      <c r="L837" s="159">
        <v>300</v>
      </c>
      <c r="M837" s="159">
        <v>25714</v>
      </c>
      <c r="N837" s="159">
        <v>1920</v>
      </c>
      <c r="O837" s="159">
        <v>506</v>
      </c>
      <c r="P837" s="159">
        <v>5988</v>
      </c>
      <c r="Q837" s="159">
        <v>1500</v>
      </c>
      <c r="R837" s="159">
        <v>2000</v>
      </c>
      <c r="S837" s="159">
        <v>201148</v>
      </c>
      <c r="T837" s="159">
        <v>44</v>
      </c>
      <c r="U837" s="159">
        <v>120</v>
      </c>
      <c r="V837" s="159">
        <v>0</v>
      </c>
      <c r="W837" s="159">
        <v>186</v>
      </c>
      <c r="X837" s="159">
        <v>0</v>
      </c>
      <c r="Y837" s="159">
        <v>0</v>
      </c>
      <c r="Z837" s="159">
        <v>0</v>
      </c>
      <c r="AA837" s="159">
        <v>0</v>
      </c>
      <c r="AB837" s="159">
        <v>0</v>
      </c>
      <c r="AC837" s="159">
        <v>0</v>
      </c>
      <c r="AD837" s="207">
        <v>239426</v>
      </c>
      <c r="AE837" s="200">
        <v>6.0887757964020421</v>
      </c>
      <c r="AF837" s="200">
        <v>10.919270203381604</v>
      </c>
      <c r="AG837" s="200">
        <v>10.614935052466313</v>
      </c>
      <c r="AH837" s="200">
        <v>0</v>
      </c>
      <c r="AI837" s="200">
        <v>0</v>
      </c>
      <c r="AJ837" s="200">
        <v>0</v>
      </c>
      <c r="AL837" s="197">
        <f t="shared" si="125"/>
        <v>274469.75806563511</v>
      </c>
      <c r="AM837" s="197" t="str">
        <f t="shared" si="126"/>
        <v>Transit Heavy 8</v>
      </c>
      <c r="AN837" s="3">
        <f t="shared" si="127"/>
        <v>38.630937828326779</v>
      </c>
      <c r="AO837" s="3">
        <f t="shared" si="128"/>
        <v>14.911319534806482</v>
      </c>
      <c r="AP837" s="3">
        <f t="shared" si="129"/>
        <v>0</v>
      </c>
      <c r="AQ837" s="3">
        <f t="shared" si="121"/>
        <v>0</v>
      </c>
      <c r="AR837" s="3">
        <f t="shared" si="122"/>
        <v>14.911319534806482</v>
      </c>
      <c r="AS837" s="81">
        <f t="shared" si="123"/>
        <v>1</v>
      </c>
      <c r="AT837" s="81">
        <f t="shared" si="124"/>
        <v>0</v>
      </c>
    </row>
    <row r="838" spans="1:46" x14ac:dyDescent="0.25">
      <c r="A838" t="s">
        <v>807</v>
      </c>
      <c r="B838">
        <v>2050</v>
      </c>
      <c r="C838" t="s">
        <v>680</v>
      </c>
      <c r="D838" t="s">
        <v>836</v>
      </c>
      <c r="E838" t="s">
        <v>2490</v>
      </c>
      <c r="F838">
        <v>8</v>
      </c>
      <c r="G838" t="s">
        <v>2576</v>
      </c>
      <c r="H838" s="460">
        <v>10067.938088235849</v>
      </c>
      <c r="I838">
        <v>12400</v>
      </c>
      <c r="J838">
        <v>0</v>
      </c>
      <c r="K838" s="67">
        <v>8.4268800000000006</v>
      </c>
      <c r="L838" s="159">
        <v>300</v>
      </c>
      <c r="M838" s="159">
        <v>33967</v>
      </c>
      <c r="N838" s="159">
        <v>220</v>
      </c>
      <c r="O838" s="159">
        <v>392</v>
      </c>
      <c r="P838" s="159">
        <v>7422</v>
      </c>
      <c r="Q838" s="159">
        <v>1500</v>
      </c>
      <c r="R838" s="159">
        <v>2000</v>
      </c>
      <c r="S838" s="159">
        <v>201148</v>
      </c>
      <c r="T838" s="159">
        <v>0</v>
      </c>
      <c r="U838" s="159">
        <v>2707</v>
      </c>
      <c r="V838" s="159">
        <v>4500</v>
      </c>
      <c r="W838" s="159">
        <v>186</v>
      </c>
      <c r="X838" s="159">
        <v>120</v>
      </c>
      <c r="Y838" s="159">
        <v>1500</v>
      </c>
      <c r="Z838" s="159">
        <v>2731</v>
      </c>
      <c r="AA838" s="159">
        <v>0</v>
      </c>
      <c r="AB838" s="159">
        <v>0</v>
      </c>
      <c r="AC838" s="159">
        <v>0</v>
      </c>
      <c r="AD838" s="207">
        <v>258693</v>
      </c>
      <c r="AE838" s="200">
        <v>8.9685615926757443</v>
      </c>
      <c r="AF838" s="200">
        <v>12.109434592027846</v>
      </c>
      <c r="AG838" s="200">
        <v>10.503794784280149</v>
      </c>
      <c r="AH838" s="200">
        <v>0</v>
      </c>
      <c r="AI838" s="200">
        <v>0</v>
      </c>
      <c r="AJ838" s="200">
        <v>0</v>
      </c>
      <c r="AL838" s="197">
        <f t="shared" si="125"/>
        <v>296556.78632760578</v>
      </c>
      <c r="AM838" s="197" t="str">
        <f t="shared" si="126"/>
        <v>Transit Heavy 8</v>
      </c>
      <c r="AN838" s="3">
        <f t="shared" si="127"/>
        <v>26.226626958052968</v>
      </c>
      <c r="AO838" s="3">
        <f t="shared" si="128"/>
        <v>10.12332697253175</v>
      </c>
      <c r="AP838" s="3">
        <f t="shared" si="129"/>
        <v>0</v>
      </c>
      <c r="AQ838" s="3">
        <f t="shared" si="121"/>
        <v>0</v>
      </c>
      <c r="AR838" s="3">
        <f t="shared" si="122"/>
        <v>10.12332697253175</v>
      </c>
      <c r="AS838" s="81">
        <f t="shared" si="123"/>
        <v>1</v>
      </c>
      <c r="AT838" s="81">
        <f t="shared" si="124"/>
        <v>0</v>
      </c>
    </row>
    <row r="839" spans="1:46" x14ac:dyDescent="0.25">
      <c r="A839" t="s">
        <v>808</v>
      </c>
      <c r="B839">
        <v>2050</v>
      </c>
      <c r="C839" t="s">
        <v>680</v>
      </c>
      <c r="D839" t="s">
        <v>836</v>
      </c>
      <c r="E839" t="s">
        <v>2490</v>
      </c>
      <c r="F839">
        <v>8</v>
      </c>
      <c r="G839" t="s">
        <v>2577</v>
      </c>
      <c r="H839" s="460">
        <v>10036.009835550365</v>
      </c>
      <c r="I839">
        <v>12400</v>
      </c>
      <c r="J839">
        <v>64.0000000216709</v>
      </c>
      <c r="K839" s="67">
        <v>124.125</v>
      </c>
      <c r="L839" s="159">
        <v>0</v>
      </c>
      <c r="M839" s="159">
        <v>12571</v>
      </c>
      <c r="N839" s="159">
        <v>220</v>
      </c>
      <c r="O839" s="159">
        <v>0</v>
      </c>
      <c r="P839" s="159">
        <v>4999</v>
      </c>
      <c r="Q839" s="159">
        <v>1500</v>
      </c>
      <c r="R839" s="159">
        <v>2000</v>
      </c>
      <c r="S839" s="159">
        <v>201148</v>
      </c>
      <c r="T839" s="159">
        <v>1845</v>
      </c>
      <c r="U839" s="159">
        <v>11171</v>
      </c>
      <c r="V839" s="159">
        <v>4500</v>
      </c>
      <c r="W839" s="159">
        <v>186</v>
      </c>
      <c r="X839" s="159">
        <v>0</v>
      </c>
      <c r="Y839" s="159">
        <v>1500</v>
      </c>
      <c r="Z839" s="159">
        <v>4366</v>
      </c>
      <c r="AA839" s="159">
        <v>0</v>
      </c>
      <c r="AB839" s="159">
        <v>0</v>
      </c>
      <c r="AC839" s="159">
        <v>0</v>
      </c>
      <c r="AD839" s="207">
        <v>246006</v>
      </c>
      <c r="AE839" s="200">
        <v>9.7742344015200278</v>
      </c>
      <c r="AF839" s="200">
        <v>9.1603862384026371</v>
      </c>
      <c r="AG839" s="200">
        <v>9.0479499310894198</v>
      </c>
      <c r="AH839" s="200">
        <v>1662</v>
      </c>
      <c r="AI839" s="200">
        <v>1693</v>
      </c>
      <c r="AJ839" s="200">
        <v>1676</v>
      </c>
      <c r="AL839" s="197">
        <f t="shared" si="125"/>
        <v>282012.84448094456</v>
      </c>
      <c r="AM839" s="197" t="str">
        <f t="shared" si="126"/>
        <v>Transit Heavy 8</v>
      </c>
      <c r="AN839" s="3">
        <f t="shared" si="127"/>
        <v>4.8129625212354004</v>
      </c>
      <c r="AO839" s="3">
        <f t="shared" si="128"/>
        <v>1.8577758164225586</v>
      </c>
      <c r="AP839" s="3">
        <f t="shared" si="129"/>
        <v>82.617719064958308</v>
      </c>
      <c r="AQ839" s="3">
        <f t="shared" si="121"/>
        <v>2.9742378863384995</v>
      </c>
      <c r="AR839" s="3">
        <f t="shared" si="122"/>
        <v>4.8320137027610581</v>
      </c>
      <c r="AS839" s="81">
        <f t="shared" si="123"/>
        <v>0.38447238164101399</v>
      </c>
      <c r="AT839" s="81">
        <f t="shared" si="124"/>
        <v>0.61552761835898606</v>
      </c>
    </row>
    <row r="840" spans="1:46" x14ac:dyDescent="0.25">
      <c r="A840" t="s">
        <v>230</v>
      </c>
      <c r="B840">
        <v>2050</v>
      </c>
      <c r="C840" t="s">
        <v>680</v>
      </c>
      <c r="D840" t="s">
        <v>836</v>
      </c>
      <c r="E840" t="s">
        <v>2490</v>
      </c>
      <c r="F840">
        <v>8</v>
      </c>
      <c r="G840" t="s">
        <v>2578</v>
      </c>
      <c r="H840" s="460">
        <v>9599.8999740843428</v>
      </c>
      <c r="I840">
        <v>12400</v>
      </c>
      <c r="J840">
        <v>79.999999980485796</v>
      </c>
      <c r="K840" s="67">
        <v>146.71575000000001</v>
      </c>
      <c r="L840" s="159">
        <v>0</v>
      </c>
      <c r="M840" s="159">
        <v>0</v>
      </c>
      <c r="N840" s="159">
        <v>0</v>
      </c>
      <c r="O840" s="159">
        <v>0</v>
      </c>
      <c r="P840" s="159">
        <v>4683</v>
      </c>
      <c r="Q840" s="159">
        <v>1500</v>
      </c>
      <c r="R840" s="159">
        <v>2000</v>
      </c>
      <c r="S840" s="159">
        <v>201148</v>
      </c>
      <c r="T840" s="159">
        <v>0</v>
      </c>
      <c r="U840" s="159">
        <v>13204</v>
      </c>
      <c r="V840" s="159">
        <v>4500</v>
      </c>
      <c r="W840" s="159">
        <v>186</v>
      </c>
      <c r="X840" s="159">
        <v>0</v>
      </c>
      <c r="Y840" s="159">
        <v>1500</v>
      </c>
      <c r="Z840" s="159">
        <v>4054</v>
      </c>
      <c r="AA840" s="159">
        <v>0</v>
      </c>
      <c r="AB840" s="159">
        <v>0</v>
      </c>
      <c r="AC840" s="159">
        <v>0</v>
      </c>
      <c r="AD840" s="207">
        <v>232775</v>
      </c>
      <c r="AE840" s="200">
        <v>0</v>
      </c>
      <c r="AF840" s="200">
        <v>0</v>
      </c>
      <c r="AG840" s="200">
        <v>0</v>
      </c>
      <c r="AH840" s="200">
        <v>1531</v>
      </c>
      <c r="AI840" s="200">
        <v>1402</v>
      </c>
      <c r="AJ840" s="200">
        <v>1630</v>
      </c>
      <c r="AL840" s="197">
        <f t="shared" si="125"/>
        <v>266845.27968444617</v>
      </c>
      <c r="AM840" s="197" t="str">
        <f t="shared" si="126"/>
        <v>Transit Heavy 8</v>
      </c>
      <c r="AN840" s="3">
        <f t="shared" si="127"/>
        <v>0</v>
      </c>
      <c r="AO840" s="3">
        <f t="shared" si="128"/>
        <v>0</v>
      </c>
      <c r="AP840" s="3">
        <f t="shared" si="129"/>
        <v>95.132165981085421</v>
      </c>
      <c r="AQ840" s="3">
        <f t="shared" si="121"/>
        <v>3.4247579753190753</v>
      </c>
      <c r="AR840" s="3">
        <f t="shared" si="122"/>
        <v>3.4247579753190753</v>
      </c>
      <c r="AS840" s="81">
        <f t="shared" si="123"/>
        <v>0</v>
      </c>
      <c r="AT840" s="81">
        <f t="shared" si="124"/>
        <v>1</v>
      </c>
    </row>
    <row r="841" spans="1:46" x14ac:dyDescent="0.25">
      <c r="A841" t="s">
        <v>496</v>
      </c>
      <c r="B841">
        <v>2050</v>
      </c>
      <c r="C841" t="s">
        <v>680</v>
      </c>
      <c r="D841" t="s">
        <v>836</v>
      </c>
      <c r="E841" t="s">
        <v>2490</v>
      </c>
      <c r="F841">
        <v>8</v>
      </c>
      <c r="G841" t="s">
        <v>2579</v>
      </c>
      <c r="H841" s="460">
        <v>9645.5721392977757</v>
      </c>
      <c r="I841">
        <v>12400</v>
      </c>
      <c r="J841">
        <v>79.999999980485796</v>
      </c>
      <c r="K841" s="67">
        <v>12.038400000000001</v>
      </c>
      <c r="L841" s="159">
        <v>0</v>
      </c>
      <c r="M841" s="159">
        <v>0</v>
      </c>
      <c r="N841" s="159">
        <v>0</v>
      </c>
      <c r="O841" s="159">
        <v>0</v>
      </c>
      <c r="P841" s="159">
        <v>5300</v>
      </c>
      <c r="Q841" s="159">
        <v>1500</v>
      </c>
      <c r="R841" s="159">
        <v>2000</v>
      </c>
      <c r="S841" s="159">
        <v>201148</v>
      </c>
      <c r="T841" s="159">
        <v>0</v>
      </c>
      <c r="U841" s="159">
        <v>3868</v>
      </c>
      <c r="V841" s="159">
        <v>4500</v>
      </c>
      <c r="W841" s="159">
        <v>186</v>
      </c>
      <c r="X841" s="159">
        <v>0</v>
      </c>
      <c r="Y841" s="159">
        <v>1500</v>
      </c>
      <c r="Z841" s="159">
        <v>4663</v>
      </c>
      <c r="AA841" s="159">
        <v>24466</v>
      </c>
      <c r="AB841" s="159">
        <v>3057</v>
      </c>
      <c r="AC841" s="159">
        <v>0</v>
      </c>
      <c r="AD841" s="207">
        <v>252188</v>
      </c>
      <c r="AE841" s="200">
        <v>12.752977719488518</v>
      </c>
      <c r="AF841" s="200">
        <v>15.620936600420682</v>
      </c>
      <c r="AG841" s="200">
        <v>13.264180725202689</v>
      </c>
      <c r="AH841" s="200">
        <v>0</v>
      </c>
      <c r="AI841" s="200">
        <v>0</v>
      </c>
      <c r="AJ841" s="200">
        <v>0</v>
      </c>
      <c r="AL841" s="197">
        <f t="shared" si="125"/>
        <v>289099.67734104226</v>
      </c>
      <c r="AM841" s="197" t="str">
        <f t="shared" si="126"/>
        <v>Transit Heavy 8</v>
      </c>
      <c r="AN841" s="3">
        <f t="shared" si="127"/>
        <v>18.44393712709018</v>
      </c>
      <c r="AO841" s="3">
        <f t="shared" si="128"/>
        <v>7.1192535165495476</v>
      </c>
      <c r="AP841" s="3">
        <f t="shared" si="129"/>
        <v>0</v>
      </c>
      <c r="AQ841" s="3">
        <f t="shared" si="121"/>
        <v>0</v>
      </c>
      <c r="AR841" s="3">
        <f t="shared" si="122"/>
        <v>7.1192535165495476</v>
      </c>
      <c r="AS841" s="81">
        <f t="shared" si="123"/>
        <v>1</v>
      </c>
      <c r="AT841" s="81">
        <f t="shared" si="124"/>
        <v>0</v>
      </c>
    </row>
    <row r="842" spans="1:46" x14ac:dyDescent="0.25">
      <c r="A842" t="s">
        <v>828</v>
      </c>
      <c r="B842">
        <v>2050</v>
      </c>
      <c r="C842" t="s">
        <v>680</v>
      </c>
      <c r="D842" t="s">
        <v>836</v>
      </c>
      <c r="E842" t="s">
        <v>2490</v>
      </c>
      <c r="F842">
        <v>8</v>
      </c>
      <c r="G842" t="s">
        <v>2580</v>
      </c>
      <c r="H842" s="460">
        <v>9398.4229357145596</v>
      </c>
      <c r="I842">
        <v>12400</v>
      </c>
      <c r="J842">
        <v>79.999999980485796</v>
      </c>
      <c r="K842" s="67">
        <v>19.735875</v>
      </c>
      <c r="L842" s="159">
        <v>0</v>
      </c>
      <c r="M842" s="159">
        <v>0</v>
      </c>
      <c r="N842" s="159">
        <v>0</v>
      </c>
      <c r="O842" s="159">
        <v>0</v>
      </c>
      <c r="P842" s="159">
        <v>4959</v>
      </c>
      <c r="Q842" s="159">
        <v>1500</v>
      </c>
      <c r="R842" s="159">
        <v>2000</v>
      </c>
      <c r="S842" s="159">
        <v>201148</v>
      </c>
      <c r="T842" s="159">
        <v>0</v>
      </c>
      <c r="U842" s="159">
        <v>1776</v>
      </c>
      <c r="V842" s="159">
        <v>4500</v>
      </c>
      <c r="W842" s="159">
        <v>186</v>
      </c>
      <c r="X842" s="159">
        <v>0</v>
      </c>
      <c r="Y842" s="159">
        <v>1500</v>
      </c>
      <c r="Z842" s="159">
        <v>4326</v>
      </c>
      <c r="AA842" s="159">
        <v>6866</v>
      </c>
      <c r="AB842" s="159">
        <v>2849</v>
      </c>
      <c r="AC842" s="159">
        <v>0</v>
      </c>
      <c r="AD842" s="207">
        <v>231610</v>
      </c>
      <c r="AE842" s="200">
        <v>11.888153820747698</v>
      </c>
      <c r="AF842" s="200">
        <v>14.19885831951142</v>
      </c>
      <c r="AG842" s="200">
        <v>12.238060976086119</v>
      </c>
      <c r="AH842" s="200">
        <v>0</v>
      </c>
      <c r="AI842" s="200">
        <v>0</v>
      </c>
      <c r="AJ842" s="200">
        <v>700.18634978437569</v>
      </c>
      <c r="AL842" s="197">
        <f t="shared" si="125"/>
        <v>265509.76362459274</v>
      </c>
      <c r="AM842" s="197" t="str">
        <f t="shared" si="126"/>
        <v>Transit Heavy 8</v>
      </c>
      <c r="AN842" s="3">
        <f t="shared" si="127"/>
        <v>19.785672593747986</v>
      </c>
      <c r="AO842" s="3">
        <f t="shared" si="128"/>
        <v>7.6371556799251081</v>
      </c>
      <c r="AP842" s="3">
        <f t="shared" si="129"/>
        <v>0</v>
      </c>
      <c r="AQ842" s="3">
        <f t="shared" si="121"/>
        <v>0</v>
      </c>
      <c r="AR842" s="3">
        <f t="shared" si="122"/>
        <v>7.6371556799251081</v>
      </c>
      <c r="AS842" s="81">
        <f t="shared" si="123"/>
        <v>1</v>
      </c>
      <c r="AT842" s="81">
        <f t="shared" si="124"/>
        <v>0</v>
      </c>
    </row>
    <row r="843" spans="1:46" x14ac:dyDescent="0.25">
      <c r="A843" t="s">
        <v>805</v>
      </c>
      <c r="B843">
        <v>2023</v>
      </c>
      <c r="C843" t="s">
        <v>680</v>
      </c>
      <c r="D843" t="s">
        <v>814</v>
      </c>
      <c r="E843" t="s">
        <v>2278</v>
      </c>
      <c r="F843">
        <v>8</v>
      </c>
      <c r="G843" t="s">
        <v>2581</v>
      </c>
      <c r="H843" s="460">
        <v>12398.732914521366</v>
      </c>
      <c r="I843">
        <v>17273</v>
      </c>
      <c r="J843">
        <v>0</v>
      </c>
      <c r="K843" s="67">
        <v>0</v>
      </c>
      <c r="L843" s="159">
        <v>300</v>
      </c>
      <c r="M843" s="159">
        <v>38804</v>
      </c>
      <c r="N843" s="159">
        <v>1920</v>
      </c>
      <c r="O843" s="159">
        <v>392</v>
      </c>
      <c r="P843" s="159">
        <v>12963</v>
      </c>
      <c r="Q843" s="159">
        <v>1500</v>
      </c>
      <c r="R843" s="159">
        <v>1800</v>
      </c>
      <c r="S843" s="159">
        <v>62000</v>
      </c>
      <c r="T843" s="159">
        <v>246</v>
      </c>
      <c r="U843" s="159">
        <v>120</v>
      </c>
      <c r="V843" s="159">
        <v>0</v>
      </c>
      <c r="W843" s="159">
        <v>186</v>
      </c>
      <c r="X843" s="159">
        <v>0</v>
      </c>
      <c r="Y843" s="159">
        <v>0</v>
      </c>
      <c r="Z843" s="159">
        <v>0</v>
      </c>
      <c r="AA843" s="159">
        <v>0</v>
      </c>
      <c r="AB843" s="159">
        <v>0</v>
      </c>
      <c r="AC843" s="159">
        <v>1500</v>
      </c>
      <c r="AD843" s="207">
        <v>121731</v>
      </c>
      <c r="AE843" s="200">
        <v>4.293222761261136</v>
      </c>
      <c r="AF843" s="200">
        <v>7.8504437351568077</v>
      </c>
      <c r="AG843" s="200">
        <v>6.8908991202639314</v>
      </c>
      <c r="AH843" s="200">
        <v>0</v>
      </c>
      <c r="AI843" s="200">
        <v>0</v>
      </c>
      <c r="AJ843" s="200">
        <v>0</v>
      </c>
      <c r="AL843" s="197">
        <f t="shared" si="125"/>
        <v>139548.24504894132</v>
      </c>
      <c r="AM843" s="197" t="str">
        <f t="shared" si="126"/>
        <v>Regional DayCab 8</v>
      </c>
      <c r="AN843" s="3">
        <f t="shared" si="127"/>
        <v>37.349044070341762</v>
      </c>
      <c r="AO843" s="3">
        <f t="shared" si="128"/>
        <v>14.416515926363607</v>
      </c>
      <c r="AP843" s="3">
        <f t="shared" si="129"/>
        <v>0</v>
      </c>
      <c r="AQ843" s="3">
        <f t="shared" si="121"/>
        <v>0</v>
      </c>
      <c r="AR843" s="3">
        <f t="shared" si="122"/>
        <v>14.416515926363607</v>
      </c>
      <c r="AS843" s="81">
        <f t="shared" si="123"/>
        <v>1</v>
      </c>
      <c r="AT843" s="81">
        <f t="shared" si="124"/>
        <v>0</v>
      </c>
    </row>
    <row r="844" spans="1:46" x14ac:dyDescent="0.25">
      <c r="A844" t="s">
        <v>807</v>
      </c>
      <c r="B844">
        <v>2023</v>
      </c>
      <c r="C844" t="s">
        <v>680</v>
      </c>
      <c r="D844" t="s">
        <v>814</v>
      </c>
      <c r="E844" t="s">
        <v>2278</v>
      </c>
      <c r="F844">
        <v>8</v>
      </c>
      <c r="G844" t="s">
        <v>2582</v>
      </c>
      <c r="H844" s="460">
        <v>12557.871505411375</v>
      </c>
      <c r="I844">
        <v>17273</v>
      </c>
      <c r="J844">
        <v>0</v>
      </c>
      <c r="K844" s="67">
        <v>6.7161600000000012</v>
      </c>
      <c r="L844" s="159">
        <v>300</v>
      </c>
      <c r="M844" s="159">
        <v>38909</v>
      </c>
      <c r="N844" s="159">
        <v>220</v>
      </c>
      <c r="O844" s="159">
        <v>392</v>
      </c>
      <c r="P844" s="159">
        <v>13051</v>
      </c>
      <c r="Q844" s="159">
        <v>1500</v>
      </c>
      <c r="R844" s="159">
        <v>1800</v>
      </c>
      <c r="S844" s="159">
        <v>62000</v>
      </c>
      <c r="T844" s="159">
        <v>0</v>
      </c>
      <c r="U844" s="159">
        <v>4701</v>
      </c>
      <c r="V844" s="159">
        <v>4500</v>
      </c>
      <c r="W844" s="159">
        <v>186</v>
      </c>
      <c r="X844" s="159">
        <v>120</v>
      </c>
      <c r="Y844" s="159">
        <v>1500</v>
      </c>
      <c r="Z844" s="159">
        <v>6187</v>
      </c>
      <c r="AA844" s="159">
        <v>0</v>
      </c>
      <c r="AB844" s="159">
        <v>0</v>
      </c>
      <c r="AC844" s="159">
        <v>1500</v>
      </c>
      <c r="AD844" s="207">
        <v>136866</v>
      </c>
      <c r="AE844" s="200">
        <v>6.0439601251028714</v>
      </c>
      <c r="AF844" s="200">
        <v>8.0675858970418766</v>
      </c>
      <c r="AG844" s="200">
        <v>6.6750228846811996</v>
      </c>
      <c r="AH844" s="200">
        <v>0</v>
      </c>
      <c r="AI844" s="200">
        <v>0</v>
      </c>
      <c r="AJ844" s="200">
        <v>0</v>
      </c>
      <c r="AL844" s="197">
        <f t="shared" si="125"/>
        <v>156898.49016986965</v>
      </c>
      <c r="AM844" s="197" t="str">
        <f t="shared" si="126"/>
        <v>Regional DayCab 8</v>
      </c>
      <c r="AN844" s="3">
        <f t="shared" si="127"/>
        <v>34.903134615956326</v>
      </c>
      <c r="AO844" s="3">
        <f t="shared" si="128"/>
        <v>13.472408962416127</v>
      </c>
      <c r="AP844" s="3">
        <f t="shared" si="129"/>
        <v>0</v>
      </c>
      <c r="AQ844" s="3">
        <f t="shared" si="121"/>
        <v>0</v>
      </c>
      <c r="AR844" s="3">
        <f t="shared" si="122"/>
        <v>13.472408962416127</v>
      </c>
      <c r="AS844" s="81">
        <f t="shared" si="123"/>
        <v>1</v>
      </c>
      <c r="AT844" s="81">
        <f t="shared" si="124"/>
        <v>0</v>
      </c>
    </row>
    <row r="845" spans="1:46" x14ac:dyDescent="0.25">
      <c r="A845" t="s">
        <v>808</v>
      </c>
      <c r="B845">
        <v>2023</v>
      </c>
      <c r="C845" t="s">
        <v>680</v>
      </c>
      <c r="D845" t="s">
        <v>814</v>
      </c>
      <c r="E845" t="s">
        <v>2278</v>
      </c>
      <c r="F845">
        <v>8</v>
      </c>
      <c r="G845" t="s">
        <v>2583</v>
      </c>
      <c r="H845" s="460">
        <v>16553.443866136171</v>
      </c>
      <c r="I845">
        <v>17273</v>
      </c>
      <c r="J845">
        <v>200.00000001335161</v>
      </c>
      <c r="K845" s="67">
        <v>586.86300000000006</v>
      </c>
      <c r="L845" s="159">
        <v>0</v>
      </c>
      <c r="M845" s="159">
        <v>22868</v>
      </c>
      <c r="N845" s="159">
        <v>220</v>
      </c>
      <c r="O845" s="159">
        <v>0</v>
      </c>
      <c r="P845" s="159">
        <v>6756</v>
      </c>
      <c r="Q845" s="159">
        <v>1500</v>
      </c>
      <c r="R845" s="159">
        <v>1800</v>
      </c>
      <c r="S845" s="159">
        <v>62000</v>
      </c>
      <c r="T845" s="159">
        <v>8946</v>
      </c>
      <c r="U845" s="159">
        <v>205402</v>
      </c>
      <c r="V845" s="159">
        <v>4500</v>
      </c>
      <c r="W845" s="159">
        <v>186</v>
      </c>
      <c r="X845" s="159">
        <v>0</v>
      </c>
      <c r="Y845" s="159">
        <v>1500</v>
      </c>
      <c r="Z845" s="159">
        <v>14831</v>
      </c>
      <c r="AA845" s="159">
        <v>0</v>
      </c>
      <c r="AB845" s="159">
        <v>0</v>
      </c>
      <c r="AC845" s="159">
        <v>1500</v>
      </c>
      <c r="AD845" s="207">
        <v>332009</v>
      </c>
      <c r="AE845" s="200">
        <v>6.3479869084344465</v>
      </c>
      <c r="AF845" s="200">
        <v>5.7392427962454198</v>
      </c>
      <c r="AG845" s="200">
        <v>5.4428134539808211</v>
      </c>
      <c r="AH845" s="200">
        <v>2281</v>
      </c>
      <c r="AI845" s="200">
        <v>2492</v>
      </c>
      <c r="AJ845" s="200">
        <v>2970</v>
      </c>
      <c r="AL845" s="197">
        <f t="shared" si="125"/>
        <v>380603.73520675884</v>
      </c>
      <c r="AM845" s="197" t="str">
        <f t="shared" si="126"/>
        <v>Regional DayCab 8</v>
      </c>
      <c r="AN845" s="3">
        <f t="shared" si="127"/>
        <v>8.333089585205494</v>
      </c>
      <c r="AO845" s="3">
        <f t="shared" si="128"/>
        <v>3.216524591490848</v>
      </c>
      <c r="AP845" s="3">
        <f t="shared" si="129"/>
        <v>137.09122994519493</v>
      </c>
      <c r="AQ845" s="3">
        <f t="shared" si="121"/>
        <v>4.9352842780270176</v>
      </c>
      <c r="AR845" s="3">
        <f t="shared" si="122"/>
        <v>8.1518088695178648</v>
      </c>
      <c r="AS845" s="81">
        <f t="shared" si="123"/>
        <v>0.3945780185694035</v>
      </c>
      <c r="AT845" s="81">
        <f t="shared" si="124"/>
        <v>0.60542198143059667</v>
      </c>
    </row>
    <row r="846" spans="1:46" x14ac:dyDescent="0.25">
      <c r="A846" t="s">
        <v>230</v>
      </c>
      <c r="B846">
        <v>2023</v>
      </c>
      <c r="C846" t="s">
        <v>680</v>
      </c>
      <c r="D846" t="s">
        <v>814</v>
      </c>
      <c r="E846" t="s">
        <v>2278</v>
      </c>
      <c r="F846">
        <v>8</v>
      </c>
      <c r="G846" t="s">
        <v>2584</v>
      </c>
      <c r="H846" s="460">
        <v>15949.228363750808</v>
      </c>
      <c r="I846">
        <v>17273</v>
      </c>
      <c r="J846">
        <v>250.00000001668948</v>
      </c>
      <c r="K846" s="67">
        <v>719.92500000000007</v>
      </c>
      <c r="L846" s="159">
        <v>0</v>
      </c>
      <c r="M846" s="159">
        <v>0</v>
      </c>
      <c r="N846" s="159">
        <v>0</v>
      </c>
      <c r="O846" s="159">
        <v>0</v>
      </c>
      <c r="P846" s="159">
        <v>5736</v>
      </c>
      <c r="Q846" s="159">
        <v>1500</v>
      </c>
      <c r="R846" s="159">
        <v>1800</v>
      </c>
      <c r="S846" s="159">
        <v>62000</v>
      </c>
      <c r="T846" s="159">
        <v>0</v>
      </c>
      <c r="U846" s="159">
        <v>251974</v>
      </c>
      <c r="V846" s="159">
        <v>4500</v>
      </c>
      <c r="W846" s="159">
        <v>186</v>
      </c>
      <c r="X846" s="159">
        <v>0</v>
      </c>
      <c r="Y846" s="159">
        <v>1500</v>
      </c>
      <c r="Z846" s="159">
        <v>12361</v>
      </c>
      <c r="AA846" s="159">
        <v>0</v>
      </c>
      <c r="AB846" s="159">
        <v>0</v>
      </c>
      <c r="AC846" s="159">
        <v>1500</v>
      </c>
      <c r="AD846" s="207">
        <v>343057</v>
      </c>
      <c r="AE846" s="200">
        <v>0</v>
      </c>
      <c r="AF846" s="200">
        <v>0</v>
      </c>
      <c r="AG846" s="200">
        <v>0</v>
      </c>
      <c r="AH846" s="200">
        <v>2126</v>
      </c>
      <c r="AI846" s="200">
        <v>2156</v>
      </c>
      <c r="AJ846" s="200">
        <v>2570</v>
      </c>
      <c r="AL846" s="197">
        <f t="shared" si="125"/>
        <v>393268.78364389238</v>
      </c>
      <c r="AM846" s="197" t="str">
        <f t="shared" si="126"/>
        <v>Regional DayCab 8</v>
      </c>
      <c r="AN846" s="3">
        <f t="shared" si="127"/>
        <v>0</v>
      </c>
      <c r="AO846" s="3">
        <f t="shared" si="128"/>
        <v>0</v>
      </c>
      <c r="AP846" s="3">
        <f t="shared" si="129"/>
        <v>150.07767159208123</v>
      </c>
      <c r="AQ846" s="3">
        <f t="shared" si="121"/>
        <v>5.402796177314924</v>
      </c>
      <c r="AR846" s="3">
        <f t="shared" si="122"/>
        <v>5.402796177314924</v>
      </c>
      <c r="AS846" s="81">
        <f t="shared" si="123"/>
        <v>0</v>
      </c>
      <c r="AT846" s="81">
        <f t="shared" si="124"/>
        <v>1</v>
      </c>
    </row>
    <row r="847" spans="1:46" x14ac:dyDescent="0.25">
      <c r="A847" t="s">
        <v>496</v>
      </c>
      <c r="B847">
        <v>2023</v>
      </c>
      <c r="C847" t="s">
        <v>680</v>
      </c>
      <c r="D847" t="s">
        <v>814</v>
      </c>
      <c r="E847" t="s">
        <v>2278</v>
      </c>
      <c r="F847">
        <v>8</v>
      </c>
      <c r="G847" t="s">
        <v>2585</v>
      </c>
      <c r="H847" s="460">
        <v>12933.745168600613</v>
      </c>
      <c r="I847">
        <v>17273</v>
      </c>
      <c r="J847">
        <v>250.00000001668948</v>
      </c>
      <c r="K847" s="67">
        <v>17.962560000000003</v>
      </c>
      <c r="L847" s="159">
        <v>0</v>
      </c>
      <c r="M847" s="159">
        <v>0</v>
      </c>
      <c r="N847" s="159">
        <v>0</v>
      </c>
      <c r="O847" s="159">
        <v>0</v>
      </c>
      <c r="P847" s="159">
        <v>6422</v>
      </c>
      <c r="Q847" s="159">
        <v>1500</v>
      </c>
      <c r="R847" s="159">
        <v>1800</v>
      </c>
      <c r="S847" s="159">
        <v>62000</v>
      </c>
      <c r="T847" s="159">
        <v>0</v>
      </c>
      <c r="U847" s="159">
        <v>12574</v>
      </c>
      <c r="V847" s="159">
        <v>4500</v>
      </c>
      <c r="W847" s="159">
        <v>186</v>
      </c>
      <c r="X847" s="159">
        <v>0</v>
      </c>
      <c r="Y847" s="159">
        <v>1500</v>
      </c>
      <c r="Z847" s="159">
        <v>14022</v>
      </c>
      <c r="AA847" s="159">
        <v>123832</v>
      </c>
      <c r="AB847" s="159">
        <v>44456</v>
      </c>
      <c r="AC847" s="159">
        <v>1500</v>
      </c>
      <c r="AD847" s="207">
        <v>274292</v>
      </c>
      <c r="AE847" s="200">
        <v>8.319832551681321</v>
      </c>
      <c r="AF847" s="200">
        <v>9.2422207065328337</v>
      </c>
      <c r="AG847" s="200">
        <v>7.5784907521609153</v>
      </c>
      <c r="AH847" s="200">
        <v>0</v>
      </c>
      <c r="AI847" s="200">
        <v>0</v>
      </c>
      <c r="AJ847" s="200">
        <v>0</v>
      </c>
      <c r="AL847" s="197">
        <f t="shared" si="125"/>
        <v>314438.94514104223</v>
      </c>
      <c r="AM847" s="197" t="str">
        <f t="shared" si="126"/>
        <v>Regional DayCab 8</v>
      </c>
      <c r="AN847" s="3">
        <f t="shared" si="127"/>
        <v>29.561925127628108</v>
      </c>
      <c r="AO847" s="3">
        <f t="shared" si="128"/>
        <v>11.410732858751835</v>
      </c>
      <c r="AP847" s="3">
        <f t="shared" si="129"/>
        <v>0</v>
      </c>
      <c r="AQ847" s="3">
        <f t="shared" si="121"/>
        <v>0</v>
      </c>
      <c r="AR847" s="3">
        <f t="shared" si="122"/>
        <v>11.410732858751835</v>
      </c>
      <c r="AS847" s="81">
        <f t="shared" si="123"/>
        <v>1</v>
      </c>
      <c r="AT847" s="81">
        <f t="shared" si="124"/>
        <v>0</v>
      </c>
    </row>
    <row r="848" spans="1:46" x14ac:dyDescent="0.25">
      <c r="A848" t="s">
        <v>828</v>
      </c>
      <c r="B848">
        <v>2023</v>
      </c>
      <c r="C848" t="s">
        <v>680</v>
      </c>
      <c r="D848" t="s">
        <v>814</v>
      </c>
      <c r="E848" t="s">
        <v>2278</v>
      </c>
      <c r="F848">
        <v>8</v>
      </c>
      <c r="G848" t="s">
        <v>2586</v>
      </c>
      <c r="H848" s="460">
        <v>12936.254864674356</v>
      </c>
      <c r="I848">
        <v>17273</v>
      </c>
      <c r="J848">
        <v>250.00000001668948</v>
      </c>
      <c r="K848" s="67">
        <v>93.341999999999999</v>
      </c>
      <c r="L848" s="159">
        <v>0</v>
      </c>
      <c r="M848" s="159">
        <v>0</v>
      </c>
      <c r="N848" s="159">
        <v>0</v>
      </c>
      <c r="O848" s="159">
        <v>0</v>
      </c>
      <c r="P848" s="159">
        <v>6979</v>
      </c>
      <c r="Q848" s="159">
        <v>1500</v>
      </c>
      <c r="R848" s="159">
        <v>1800</v>
      </c>
      <c r="S848" s="159">
        <v>62000</v>
      </c>
      <c r="T848" s="159">
        <v>0</v>
      </c>
      <c r="U848" s="159">
        <v>32670</v>
      </c>
      <c r="V848" s="159">
        <v>4500</v>
      </c>
      <c r="W848" s="159">
        <v>186</v>
      </c>
      <c r="X848" s="159">
        <v>0</v>
      </c>
      <c r="Y848" s="159">
        <v>1500</v>
      </c>
      <c r="Z848" s="159">
        <v>15373</v>
      </c>
      <c r="AA848" s="159">
        <v>62760</v>
      </c>
      <c r="AB848" s="159">
        <v>32803</v>
      </c>
      <c r="AC848" s="159">
        <v>1500</v>
      </c>
      <c r="AD848" s="207">
        <v>223571</v>
      </c>
      <c r="AE848" s="200">
        <v>8.5225195380357359</v>
      </c>
      <c r="AF848" s="200">
        <v>8.856149424872731</v>
      </c>
      <c r="AG848" s="200">
        <v>7.2899644409577391</v>
      </c>
      <c r="AH848" s="200">
        <v>0</v>
      </c>
      <c r="AI848" s="200">
        <v>0</v>
      </c>
      <c r="AJ848" s="200">
        <v>0</v>
      </c>
      <c r="AL848" s="197">
        <f t="shared" si="125"/>
        <v>256294.12962874587</v>
      </c>
      <c r="AM848" s="197" t="str">
        <f t="shared" si="126"/>
        <v>Regional DayCab 8</v>
      </c>
      <c r="AN848" s="3">
        <f t="shared" si="127"/>
        <v>30.408963806906776</v>
      </c>
      <c r="AO848" s="3">
        <f t="shared" si="128"/>
        <v>11.737684911047165</v>
      </c>
      <c r="AP848" s="3">
        <f t="shared" si="129"/>
        <v>0</v>
      </c>
      <c r="AQ848" s="3">
        <f t="shared" si="121"/>
        <v>0</v>
      </c>
      <c r="AR848" s="3">
        <f t="shared" si="122"/>
        <v>11.737684911047165</v>
      </c>
      <c r="AS848" s="81">
        <f t="shared" si="123"/>
        <v>1</v>
      </c>
      <c r="AT848" s="81">
        <f t="shared" si="124"/>
        <v>0</v>
      </c>
    </row>
    <row r="849" spans="1:46" x14ac:dyDescent="0.25">
      <c r="A849" t="s">
        <v>805</v>
      </c>
      <c r="B849">
        <v>2025</v>
      </c>
      <c r="C849" t="s">
        <v>680</v>
      </c>
      <c r="D849" t="s">
        <v>814</v>
      </c>
      <c r="E849" t="s">
        <v>2278</v>
      </c>
      <c r="F849">
        <v>8</v>
      </c>
      <c r="G849" t="s">
        <v>2587</v>
      </c>
      <c r="H849" s="460">
        <v>12261.216733682933</v>
      </c>
      <c r="I849">
        <v>17273</v>
      </c>
      <c r="J849">
        <v>0</v>
      </c>
      <c r="K849" s="67">
        <v>0</v>
      </c>
      <c r="L849" s="159">
        <v>300</v>
      </c>
      <c r="M849" s="159">
        <v>38821</v>
      </c>
      <c r="N849" s="159">
        <v>1920</v>
      </c>
      <c r="O849" s="159">
        <v>392</v>
      </c>
      <c r="P849" s="159">
        <v>12685</v>
      </c>
      <c r="Q849" s="159">
        <v>1500</v>
      </c>
      <c r="R849" s="159">
        <v>1800</v>
      </c>
      <c r="S849" s="159">
        <v>62458</v>
      </c>
      <c r="T849" s="159">
        <v>230</v>
      </c>
      <c r="U849" s="159">
        <v>120</v>
      </c>
      <c r="V849" s="159">
        <v>0</v>
      </c>
      <c r="W849" s="159">
        <v>186</v>
      </c>
      <c r="X849" s="159">
        <v>0</v>
      </c>
      <c r="Y849" s="159">
        <v>0</v>
      </c>
      <c r="Z849" s="159">
        <v>0</v>
      </c>
      <c r="AA849" s="159">
        <v>0</v>
      </c>
      <c r="AB849" s="159">
        <v>0</v>
      </c>
      <c r="AC849" s="159">
        <v>1500</v>
      </c>
      <c r="AD849" s="207">
        <v>121912</v>
      </c>
      <c r="AE849" s="200">
        <v>4.5729978638280517</v>
      </c>
      <c r="AF849" s="200">
        <v>8.6387435290913288</v>
      </c>
      <c r="AG849" s="200">
        <v>7.6353418074652</v>
      </c>
      <c r="AH849" s="200">
        <v>0</v>
      </c>
      <c r="AI849" s="200">
        <v>0</v>
      </c>
      <c r="AJ849" s="200">
        <v>0</v>
      </c>
      <c r="AL849" s="197">
        <f t="shared" si="125"/>
        <v>139755.73724364818</v>
      </c>
      <c r="AM849" s="197" t="str">
        <f t="shared" si="126"/>
        <v>Regional DayCab 8</v>
      </c>
      <c r="AN849" s="3">
        <f t="shared" si="127"/>
        <v>34.117427307254871</v>
      </c>
      <c r="AO849" s="3">
        <f t="shared" si="128"/>
        <v>13.169130465969962</v>
      </c>
      <c r="AP849" s="3">
        <f t="shared" si="129"/>
        <v>0</v>
      </c>
      <c r="AQ849" s="3">
        <f t="shared" si="121"/>
        <v>0</v>
      </c>
      <c r="AR849" s="3">
        <f t="shared" si="122"/>
        <v>13.169130465969962</v>
      </c>
      <c r="AS849" s="81">
        <f t="shared" si="123"/>
        <v>1</v>
      </c>
      <c r="AT849" s="81">
        <f t="shared" si="124"/>
        <v>0</v>
      </c>
    </row>
    <row r="850" spans="1:46" x14ac:dyDescent="0.25">
      <c r="A850" t="s">
        <v>807</v>
      </c>
      <c r="B850">
        <v>2025</v>
      </c>
      <c r="C850" t="s">
        <v>680</v>
      </c>
      <c r="D850" t="s">
        <v>814</v>
      </c>
      <c r="E850" t="s">
        <v>2278</v>
      </c>
      <c r="F850">
        <v>8</v>
      </c>
      <c r="G850" t="s">
        <v>2588</v>
      </c>
      <c r="H850" s="460">
        <v>12435.282885559402</v>
      </c>
      <c r="I850">
        <v>17273</v>
      </c>
      <c r="J850">
        <v>0</v>
      </c>
      <c r="K850" s="67">
        <v>6.7953600000000005</v>
      </c>
      <c r="L850" s="159">
        <v>300</v>
      </c>
      <c r="M850" s="159">
        <v>39050</v>
      </c>
      <c r="N850" s="159">
        <v>220</v>
      </c>
      <c r="O850" s="159">
        <v>392</v>
      </c>
      <c r="P850" s="159">
        <v>12879</v>
      </c>
      <c r="Q850" s="159">
        <v>1500</v>
      </c>
      <c r="R850" s="159">
        <v>1800</v>
      </c>
      <c r="S850" s="159">
        <v>62458</v>
      </c>
      <c r="T850" s="159">
        <v>0</v>
      </c>
      <c r="U850" s="159">
        <v>3210</v>
      </c>
      <c r="V850" s="159">
        <v>4500</v>
      </c>
      <c r="W850" s="159">
        <v>186</v>
      </c>
      <c r="X850" s="159">
        <v>120</v>
      </c>
      <c r="Y850" s="159">
        <v>1500</v>
      </c>
      <c r="Z850" s="159">
        <v>5230</v>
      </c>
      <c r="AA850" s="159">
        <v>0</v>
      </c>
      <c r="AB850" s="159">
        <v>0</v>
      </c>
      <c r="AC850" s="159">
        <v>1500</v>
      </c>
      <c r="AD850" s="207">
        <v>134845</v>
      </c>
      <c r="AE850" s="200">
        <v>6.5778241241471633</v>
      </c>
      <c r="AF850" s="200">
        <v>8.9753620620535042</v>
      </c>
      <c r="AG850" s="200">
        <v>7.4473246884039881</v>
      </c>
      <c r="AH850" s="200">
        <v>0</v>
      </c>
      <c r="AI850" s="200">
        <v>0</v>
      </c>
      <c r="AJ850" s="200">
        <v>0</v>
      </c>
      <c r="AL850" s="197">
        <f t="shared" si="125"/>
        <v>154581.68505659603</v>
      </c>
      <c r="AM850" s="197" t="str">
        <f t="shared" si="126"/>
        <v>Regional DayCab 8</v>
      </c>
      <c r="AN850" s="3">
        <f t="shared" si="127"/>
        <v>31.462979347046758</v>
      </c>
      <c r="AO850" s="3">
        <f t="shared" si="128"/>
        <v>12.144528839701527</v>
      </c>
      <c r="AP850" s="3">
        <f t="shared" si="129"/>
        <v>0</v>
      </c>
      <c r="AQ850" s="3">
        <f t="shared" si="121"/>
        <v>0</v>
      </c>
      <c r="AR850" s="3">
        <f t="shared" si="122"/>
        <v>12.144528839701527</v>
      </c>
      <c r="AS850" s="81">
        <f t="shared" si="123"/>
        <v>1</v>
      </c>
      <c r="AT850" s="81">
        <f t="shared" si="124"/>
        <v>0</v>
      </c>
    </row>
    <row r="851" spans="1:46" x14ac:dyDescent="0.25">
      <c r="A851" t="s">
        <v>808</v>
      </c>
      <c r="B851">
        <v>2025</v>
      </c>
      <c r="C851" t="s">
        <v>680</v>
      </c>
      <c r="D851" t="s">
        <v>814</v>
      </c>
      <c r="E851" t="s">
        <v>2278</v>
      </c>
      <c r="F851">
        <v>8</v>
      </c>
      <c r="G851" t="s">
        <v>2589</v>
      </c>
      <c r="H851" s="460">
        <v>15593.046806128725</v>
      </c>
      <c r="I851">
        <v>17273</v>
      </c>
      <c r="J851">
        <v>200.00000001335161</v>
      </c>
      <c r="K851" s="67">
        <v>546.15</v>
      </c>
      <c r="L851" s="159">
        <v>0</v>
      </c>
      <c r="M851" s="159">
        <v>21990</v>
      </c>
      <c r="N851" s="159">
        <v>220</v>
      </c>
      <c r="O851" s="159">
        <v>0</v>
      </c>
      <c r="P851" s="159">
        <v>6549</v>
      </c>
      <c r="Q851" s="159">
        <v>1500</v>
      </c>
      <c r="R851" s="159">
        <v>1800</v>
      </c>
      <c r="S851" s="159">
        <v>62458</v>
      </c>
      <c r="T851" s="159">
        <v>8124</v>
      </c>
      <c r="U851" s="159">
        <v>152922</v>
      </c>
      <c r="V851" s="159">
        <v>4500</v>
      </c>
      <c r="W851" s="159">
        <v>186</v>
      </c>
      <c r="X851" s="159">
        <v>0</v>
      </c>
      <c r="Y851" s="159">
        <v>1500</v>
      </c>
      <c r="Z851" s="159">
        <v>12156</v>
      </c>
      <c r="AA851" s="159">
        <v>0</v>
      </c>
      <c r="AB851" s="159">
        <v>0</v>
      </c>
      <c r="AC851" s="159">
        <v>1500</v>
      </c>
      <c r="AD851" s="207">
        <v>275405</v>
      </c>
      <c r="AE851" s="200">
        <v>7.168366815444104</v>
      </c>
      <c r="AF851" s="200">
        <v>6.5244574543816167</v>
      </c>
      <c r="AG851" s="200">
        <v>5.9762566908915069</v>
      </c>
      <c r="AH851" s="200">
        <v>2089</v>
      </c>
      <c r="AI851" s="200">
        <v>2269</v>
      </c>
      <c r="AJ851" s="200">
        <v>2703</v>
      </c>
      <c r="AL851" s="197">
        <f t="shared" si="125"/>
        <v>315714.85018363182</v>
      </c>
      <c r="AM851" s="197" t="str">
        <f t="shared" si="126"/>
        <v>Regional DayCab 8</v>
      </c>
      <c r="AN851" s="3">
        <f t="shared" si="127"/>
        <v>7.5104937123816358</v>
      </c>
      <c r="AO851" s="3">
        <f t="shared" si="128"/>
        <v>2.8990073217264225</v>
      </c>
      <c r="AP851" s="3">
        <f t="shared" si="129"/>
        <v>124.89890265574709</v>
      </c>
      <c r="AQ851" s="3">
        <f t="shared" si="121"/>
        <v>4.4963604956068961</v>
      </c>
      <c r="AR851" s="3">
        <f t="shared" si="122"/>
        <v>7.3953678173333186</v>
      </c>
      <c r="AS851" s="81">
        <f t="shared" si="123"/>
        <v>0.39200312862488157</v>
      </c>
      <c r="AT851" s="81">
        <f t="shared" si="124"/>
        <v>0.60799687137511849</v>
      </c>
    </row>
    <row r="852" spans="1:46" x14ac:dyDescent="0.25">
      <c r="A852" t="s">
        <v>230</v>
      </c>
      <c r="B852">
        <v>2025</v>
      </c>
      <c r="C852" t="s">
        <v>680</v>
      </c>
      <c r="D852" t="s">
        <v>814</v>
      </c>
      <c r="E852" t="s">
        <v>2278</v>
      </c>
      <c r="F852">
        <v>8</v>
      </c>
      <c r="G852" t="s">
        <v>2590</v>
      </c>
      <c r="H852" s="460">
        <v>14961.173183680261</v>
      </c>
      <c r="I852">
        <v>17273</v>
      </c>
      <c r="J852">
        <v>250.00000001668948</v>
      </c>
      <c r="K852" s="67">
        <v>670.27499999999998</v>
      </c>
      <c r="L852" s="159">
        <v>0</v>
      </c>
      <c r="M852" s="159">
        <v>0</v>
      </c>
      <c r="N852" s="159">
        <v>0</v>
      </c>
      <c r="O852" s="159">
        <v>0</v>
      </c>
      <c r="P852" s="159">
        <v>5736</v>
      </c>
      <c r="Q852" s="159">
        <v>1500</v>
      </c>
      <c r="R852" s="159">
        <v>1800</v>
      </c>
      <c r="S852" s="159">
        <v>62458</v>
      </c>
      <c r="T852" s="159">
        <v>0</v>
      </c>
      <c r="U852" s="159">
        <v>187677</v>
      </c>
      <c r="V852" s="159">
        <v>4500</v>
      </c>
      <c r="W852" s="159">
        <v>186</v>
      </c>
      <c r="X852" s="159">
        <v>0</v>
      </c>
      <c r="Y852" s="159">
        <v>1500</v>
      </c>
      <c r="Z852" s="159">
        <v>10478</v>
      </c>
      <c r="AA852" s="159">
        <v>0</v>
      </c>
      <c r="AB852" s="159">
        <v>0</v>
      </c>
      <c r="AC852" s="159">
        <v>1500</v>
      </c>
      <c r="AD852" s="207">
        <v>277335</v>
      </c>
      <c r="AE852" s="200">
        <v>0</v>
      </c>
      <c r="AF852" s="200">
        <v>0</v>
      </c>
      <c r="AG852" s="200">
        <v>0</v>
      </c>
      <c r="AH852" s="200">
        <v>1930</v>
      </c>
      <c r="AI852" s="200">
        <v>1951</v>
      </c>
      <c r="AJ852" s="200">
        <v>2324</v>
      </c>
      <c r="AL852" s="197">
        <f t="shared" si="125"/>
        <v>317927.33601669373</v>
      </c>
      <c r="AM852" s="197" t="str">
        <f t="shared" si="126"/>
        <v>Regional DayCab 8</v>
      </c>
      <c r="AN852" s="3">
        <f t="shared" si="127"/>
        <v>0</v>
      </c>
      <c r="AO852" s="3">
        <f t="shared" si="128"/>
        <v>0</v>
      </c>
      <c r="AP852" s="3">
        <f t="shared" si="129"/>
        <v>135.8153031677582</v>
      </c>
      <c r="AQ852" s="3">
        <f t="shared" si="121"/>
        <v>4.8893509140392952</v>
      </c>
      <c r="AR852" s="3">
        <f t="shared" si="122"/>
        <v>4.8893509140392952</v>
      </c>
      <c r="AS852" s="81">
        <f t="shared" si="123"/>
        <v>0</v>
      </c>
      <c r="AT852" s="81">
        <f t="shared" si="124"/>
        <v>1</v>
      </c>
    </row>
    <row r="853" spans="1:46" x14ac:dyDescent="0.25">
      <c r="A853" t="s">
        <v>496</v>
      </c>
      <c r="B853">
        <v>2025</v>
      </c>
      <c r="C853" t="s">
        <v>680</v>
      </c>
      <c r="D853" t="s">
        <v>814</v>
      </c>
      <c r="E853" t="s">
        <v>2278</v>
      </c>
      <c r="F853">
        <v>8</v>
      </c>
      <c r="G853" t="s">
        <v>2591</v>
      </c>
      <c r="H853" s="460">
        <v>12394.915378469406</v>
      </c>
      <c r="I853">
        <v>17273</v>
      </c>
      <c r="J853">
        <v>250.00000001668948</v>
      </c>
      <c r="K853" s="67">
        <v>17.962560000000003</v>
      </c>
      <c r="L853" s="159">
        <v>0</v>
      </c>
      <c r="M853" s="159">
        <v>0</v>
      </c>
      <c r="N853" s="159">
        <v>0</v>
      </c>
      <c r="O853" s="159">
        <v>0</v>
      </c>
      <c r="P853" s="159">
        <v>6378</v>
      </c>
      <c r="Q853" s="159">
        <v>1500</v>
      </c>
      <c r="R853" s="159">
        <v>1800</v>
      </c>
      <c r="S853" s="159">
        <v>62458</v>
      </c>
      <c r="T853" s="159">
        <v>0</v>
      </c>
      <c r="U853" s="159">
        <v>8486</v>
      </c>
      <c r="V853" s="159">
        <v>4500</v>
      </c>
      <c r="W853" s="159">
        <v>186</v>
      </c>
      <c r="X853" s="159">
        <v>0</v>
      </c>
      <c r="Y853" s="159">
        <v>1500</v>
      </c>
      <c r="Z853" s="159">
        <v>11803</v>
      </c>
      <c r="AA853" s="159">
        <v>104597</v>
      </c>
      <c r="AB853" s="159">
        <v>31500</v>
      </c>
      <c r="AC853" s="159">
        <v>1500</v>
      </c>
      <c r="AD853" s="207">
        <v>236208</v>
      </c>
      <c r="AE853" s="200">
        <v>9.2311733837894359</v>
      </c>
      <c r="AF853" s="200">
        <v>10.50704865278083</v>
      </c>
      <c r="AG853" s="200">
        <v>8.6461152021459675</v>
      </c>
      <c r="AH853" s="200">
        <v>0</v>
      </c>
      <c r="AI853" s="200">
        <v>0</v>
      </c>
      <c r="AJ853" s="200">
        <v>0</v>
      </c>
      <c r="AL853" s="197">
        <f t="shared" si="125"/>
        <v>270780.75318957644</v>
      </c>
      <c r="AM853" s="197" t="str">
        <f t="shared" si="126"/>
        <v>Regional DayCab 8</v>
      </c>
      <c r="AN853" s="3">
        <f t="shared" si="127"/>
        <v>26.058008292946141</v>
      </c>
      <c r="AO853" s="3">
        <f t="shared" si="128"/>
        <v>10.05824113883768</v>
      </c>
      <c r="AP853" s="3">
        <f t="shared" si="129"/>
        <v>0</v>
      </c>
      <c r="AQ853" s="3">
        <f t="shared" si="121"/>
        <v>0</v>
      </c>
      <c r="AR853" s="3">
        <f t="shared" si="122"/>
        <v>10.05824113883768</v>
      </c>
      <c r="AS853" s="81">
        <f t="shared" si="123"/>
        <v>1</v>
      </c>
      <c r="AT853" s="81">
        <f t="shared" si="124"/>
        <v>0</v>
      </c>
    </row>
    <row r="854" spans="1:46" x14ac:dyDescent="0.25">
      <c r="A854" t="s">
        <v>828</v>
      </c>
      <c r="B854">
        <v>2025</v>
      </c>
      <c r="C854" t="s">
        <v>680</v>
      </c>
      <c r="D854" t="s">
        <v>814</v>
      </c>
      <c r="E854" t="s">
        <v>2278</v>
      </c>
      <c r="F854">
        <v>8</v>
      </c>
      <c r="G854" t="s">
        <v>2592</v>
      </c>
      <c r="H854" s="460">
        <v>12369.113830940962</v>
      </c>
      <c r="I854">
        <v>17273</v>
      </c>
      <c r="J854">
        <v>250.00000001668948</v>
      </c>
      <c r="K854" s="67">
        <v>97.810500000000005</v>
      </c>
      <c r="L854" s="159">
        <v>0</v>
      </c>
      <c r="M854" s="159">
        <v>0</v>
      </c>
      <c r="N854" s="159">
        <v>0</v>
      </c>
      <c r="O854" s="159">
        <v>0</v>
      </c>
      <c r="P854" s="159">
        <v>6946</v>
      </c>
      <c r="Q854" s="159">
        <v>1500</v>
      </c>
      <c r="R854" s="159">
        <v>1800</v>
      </c>
      <c r="S854" s="159">
        <v>62458</v>
      </c>
      <c r="T854" s="159">
        <v>0</v>
      </c>
      <c r="U854" s="159">
        <v>27387</v>
      </c>
      <c r="V854" s="159">
        <v>4500</v>
      </c>
      <c r="W854" s="159">
        <v>186</v>
      </c>
      <c r="X854" s="159">
        <v>0</v>
      </c>
      <c r="Y854" s="159">
        <v>1500</v>
      </c>
      <c r="Z854" s="159">
        <v>12976</v>
      </c>
      <c r="AA854" s="159">
        <v>48940</v>
      </c>
      <c r="AB854" s="159">
        <v>22156</v>
      </c>
      <c r="AC854" s="159">
        <v>1500</v>
      </c>
      <c r="AD854" s="207">
        <v>191849</v>
      </c>
      <c r="AE854" s="200">
        <v>9.5046870110425541</v>
      </c>
      <c r="AF854" s="200">
        <v>10.038680255049679</v>
      </c>
      <c r="AG854" s="200">
        <v>8.2872389617976907</v>
      </c>
      <c r="AH854" s="200">
        <v>0</v>
      </c>
      <c r="AI854" s="200">
        <v>0</v>
      </c>
      <c r="AJ854" s="200">
        <v>0</v>
      </c>
      <c r="AL854" s="197">
        <f t="shared" si="125"/>
        <v>219929.11636636802</v>
      </c>
      <c r="AM854" s="197" t="str">
        <f t="shared" si="126"/>
        <v>Regional DayCab 8</v>
      </c>
      <c r="AN854" s="3">
        <f t="shared" si="127"/>
        <v>26.850229941107344</v>
      </c>
      <c r="AO854" s="3">
        <f t="shared" si="128"/>
        <v>10.364034132800683</v>
      </c>
      <c r="AP854" s="3">
        <f t="shared" si="129"/>
        <v>0</v>
      </c>
      <c r="AQ854" s="3">
        <f t="shared" si="121"/>
        <v>0</v>
      </c>
      <c r="AR854" s="3">
        <f t="shared" si="122"/>
        <v>10.364034132800683</v>
      </c>
      <c r="AS854" s="81">
        <f t="shared" si="123"/>
        <v>1</v>
      </c>
      <c r="AT854" s="81">
        <f t="shared" si="124"/>
        <v>0</v>
      </c>
    </row>
    <row r="855" spans="1:46" x14ac:dyDescent="0.25">
      <c r="A855" t="s">
        <v>805</v>
      </c>
      <c r="B855">
        <v>2030</v>
      </c>
      <c r="C855" t="s">
        <v>680</v>
      </c>
      <c r="D855" t="s">
        <v>814</v>
      </c>
      <c r="E855" t="s">
        <v>2278</v>
      </c>
      <c r="F855">
        <v>8</v>
      </c>
      <c r="G855" t="s">
        <v>2593</v>
      </c>
      <c r="H855" s="460">
        <v>12155.091126555548</v>
      </c>
      <c r="I855">
        <v>17273</v>
      </c>
      <c r="J855">
        <v>0</v>
      </c>
      <c r="K855" s="67">
        <v>0</v>
      </c>
      <c r="L855" s="159">
        <v>300</v>
      </c>
      <c r="M855" s="159">
        <v>38729</v>
      </c>
      <c r="N855" s="159">
        <v>1920</v>
      </c>
      <c r="O855" s="159">
        <v>392</v>
      </c>
      <c r="P855" s="159">
        <v>12660</v>
      </c>
      <c r="Q855" s="159">
        <v>1500</v>
      </c>
      <c r="R855" s="159">
        <v>1800</v>
      </c>
      <c r="S855" s="159">
        <v>62970</v>
      </c>
      <c r="T855" s="159">
        <v>183</v>
      </c>
      <c r="U855" s="159">
        <v>120</v>
      </c>
      <c r="V855" s="159">
        <v>0</v>
      </c>
      <c r="W855" s="159">
        <v>186</v>
      </c>
      <c r="X855" s="159">
        <v>0</v>
      </c>
      <c r="Y855" s="159">
        <v>0</v>
      </c>
      <c r="Z855" s="159">
        <v>0</v>
      </c>
      <c r="AA855" s="159">
        <v>0</v>
      </c>
      <c r="AB855" s="159">
        <v>0</v>
      </c>
      <c r="AC855" s="159">
        <v>1500</v>
      </c>
      <c r="AD855" s="207">
        <v>122260</v>
      </c>
      <c r="AE855" s="200">
        <v>4.7705276344276113</v>
      </c>
      <c r="AF855" s="200">
        <v>9.3546352213918649</v>
      </c>
      <c r="AG855" s="200">
        <v>8.3389773453716529</v>
      </c>
      <c r="AH855" s="200">
        <v>0</v>
      </c>
      <c r="AI855" s="200">
        <v>0</v>
      </c>
      <c r="AJ855" s="200">
        <v>0</v>
      </c>
      <c r="AL855" s="197">
        <f t="shared" si="125"/>
        <v>140154.67251302928</v>
      </c>
      <c r="AM855" s="197" t="str">
        <f t="shared" si="126"/>
        <v>Regional DayCab 8</v>
      </c>
      <c r="AN855" s="3">
        <f t="shared" si="127"/>
        <v>31.69493356776119</v>
      </c>
      <c r="AO855" s="3">
        <f t="shared" si="128"/>
        <v>12.234061833124839</v>
      </c>
      <c r="AP855" s="3">
        <f t="shared" si="129"/>
        <v>0</v>
      </c>
      <c r="AQ855" s="3">
        <f t="shared" si="121"/>
        <v>0</v>
      </c>
      <c r="AR855" s="3">
        <f t="shared" si="122"/>
        <v>12.234061833124839</v>
      </c>
      <c r="AS855" s="81">
        <f t="shared" si="123"/>
        <v>1</v>
      </c>
      <c r="AT855" s="81">
        <f t="shared" si="124"/>
        <v>0</v>
      </c>
    </row>
    <row r="856" spans="1:46" x14ac:dyDescent="0.25">
      <c r="A856" t="s">
        <v>807</v>
      </c>
      <c r="B856">
        <v>2030</v>
      </c>
      <c r="C856" t="s">
        <v>680</v>
      </c>
      <c r="D856" t="s">
        <v>814</v>
      </c>
      <c r="E856" t="s">
        <v>2278</v>
      </c>
      <c r="F856">
        <v>8</v>
      </c>
      <c r="G856" t="s">
        <v>2594</v>
      </c>
      <c r="H856" s="460">
        <v>12311.916660230367</v>
      </c>
      <c r="I856">
        <v>17273</v>
      </c>
      <c r="J856">
        <v>0</v>
      </c>
      <c r="K856" s="67">
        <v>6.6528000000000009</v>
      </c>
      <c r="L856" s="159">
        <v>300</v>
      </c>
      <c r="M856" s="159">
        <v>38928</v>
      </c>
      <c r="N856" s="159">
        <v>220</v>
      </c>
      <c r="O856" s="159">
        <v>392</v>
      </c>
      <c r="P856" s="159">
        <v>12829</v>
      </c>
      <c r="Q856" s="159">
        <v>1500</v>
      </c>
      <c r="R856" s="159">
        <v>1800</v>
      </c>
      <c r="S856" s="159">
        <v>62970</v>
      </c>
      <c r="T856" s="159">
        <v>0</v>
      </c>
      <c r="U856" s="159">
        <v>2389</v>
      </c>
      <c r="V856" s="159">
        <v>4500</v>
      </c>
      <c r="W856" s="159">
        <v>186</v>
      </c>
      <c r="X856" s="159">
        <v>120</v>
      </c>
      <c r="Y856" s="159">
        <v>1500</v>
      </c>
      <c r="Z856" s="159">
        <v>4103</v>
      </c>
      <c r="AA856" s="159">
        <v>0</v>
      </c>
      <c r="AB856" s="159">
        <v>0</v>
      </c>
      <c r="AC856" s="159">
        <v>1500</v>
      </c>
      <c r="AD856" s="207">
        <v>133237</v>
      </c>
      <c r="AE856" s="200">
        <v>6.9541161767218824</v>
      </c>
      <c r="AF856" s="200">
        <v>9.8469288100191221</v>
      </c>
      <c r="AG856" s="200">
        <v>8.2004521072564369</v>
      </c>
      <c r="AH856" s="200">
        <v>0</v>
      </c>
      <c r="AI856" s="200">
        <v>0</v>
      </c>
      <c r="AJ856" s="200">
        <v>0</v>
      </c>
      <c r="AL856" s="197">
        <f t="shared" si="125"/>
        <v>152738.32898428335</v>
      </c>
      <c r="AM856" s="197" t="str">
        <f t="shared" si="126"/>
        <v>Regional DayCab 8</v>
      </c>
      <c r="AN856" s="3">
        <f t="shared" si="127"/>
        <v>28.844592746985438</v>
      </c>
      <c r="AO856" s="3">
        <f t="shared" si="128"/>
        <v>11.133846690780448</v>
      </c>
      <c r="AP856" s="3">
        <f t="shared" si="129"/>
        <v>0</v>
      </c>
      <c r="AQ856" s="3">
        <f t="shared" si="121"/>
        <v>0</v>
      </c>
      <c r="AR856" s="3">
        <f t="shared" si="122"/>
        <v>11.133846690780448</v>
      </c>
      <c r="AS856" s="81">
        <f t="shared" si="123"/>
        <v>1</v>
      </c>
      <c r="AT856" s="81">
        <f t="shared" si="124"/>
        <v>0</v>
      </c>
    </row>
    <row r="857" spans="1:46" x14ac:dyDescent="0.25">
      <c r="A857" t="s">
        <v>808</v>
      </c>
      <c r="B857">
        <v>2030</v>
      </c>
      <c r="C857" t="s">
        <v>680</v>
      </c>
      <c r="D857" t="s">
        <v>814</v>
      </c>
      <c r="E857" t="s">
        <v>2278</v>
      </c>
      <c r="F857">
        <v>8</v>
      </c>
      <c r="G857" t="s">
        <v>2595</v>
      </c>
      <c r="H857" s="460">
        <v>14654.608833231228</v>
      </c>
      <c r="I857">
        <v>17273</v>
      </c>
      <c r="J857">
        <v>200.00000001335161</v>
      </c>
      <c r="K857" s="67">
        <v>516.11175000000003</v>
      </c>
      <c r="L857" s="159">
        <v>0</v>
      </c>
      <c r="M857" s="159">
        <v>19519</v>
      </c>
      <c r="N857" s="159">
        <v>220</v>
      </c>
      <c r="O857" s="159">
        <v>0</v>
      </c>
      <c r="P857" s="159">
        <v>6260</v>
      </c>
      <c r="Q857" s="159">
        <v>1500</v>
      </c>
      <c r="R857" s="159">
        <v>1800</v>
      </c>
      <c r="S857" s="159">
        <v>62970</v>
      </c>
      <c r="T857" s="159">
        <v>6087</v>
      </c>
      <c r="U857" s="159">
        <v>103222</v>
      </c>
      <c r="V857" s="159">
        <v>4500</v>
      </c>
      <c r="W857" s="159">
        <v>186</v>
      </c>
      <c r="X857" s="159">
        <v>0</v>
      </c>
      <c r="Y857" s="159">
        <v>1500</v>
      </c>
      <c r="Z857" s="159">
        <v>9177</v>
      </c>
      <c r="AA857" s="159">
        <v>0</v>
      </c>
      <c r="AB857" s="159">
        <v>0</v>
      </c>
      <c r="AC857" s="159">
        <v>1500</v>
      </c>
      <c r="AD857" s="207">
        <v>218441</v>
      </c>
      <c r="AE857" s="200">
        <v>7.817680918420054</v>
      </c>
      <c r="AF857" s="200">
        <v>7.2782127716662766</v>
      </c>
      <c r="AG857" s="200">
        <v>6.5957082636349513</v>
      </c>
      <c r="AH857" s="200">
        <v>1959</v>
      </c>
      <c r="AI857" s="200">
        <v>2076</v>
      </c>
      <c r="AJ857" s="200">
        <v>2470</v>
      </c>
      <c r="AL857" s="197">
        <f t="shared" si="125"/>
        <v>250413.27350252436</v>
      </c>
      <c r="AM857" s="197" t="str">
        <f t="shared" si="126"/>
        <v>Regional DayCab 8</v>
      </c>
      <c r="AN857" s="3">
        <f t="shared" si="127"/>
        <v>6.8068460711471035</v>
      </c>
      <c r="AO857" s="3">
        <f t="shared" si="128"/>
        <v>2.6274033843592242</v>
      </c>
      <c r="AP857" s="3">
        <f t="shared" si="129"/>
        <v>114.62736276983111</v>
      </c>
      <c r="AQ857" s="3">
        <f t="shared" si="121"/>
        <v>4.1265850597139204</v>
      </c>
      <c r="AR857" s="3">
        <f t="shared" si="122"/>
        <v>6.7539884440731441</v>
      </c>
      <c r="AS857" s="81">
        <f t="shared" si="123"/>
        <v>0.38901508436320476</v>
      </c>
      <c r="AT857" s="81">
        <f t="shared" si="124"/>
        <v>0.61098491563679536</v>
      </c>
    </row>
    <row r="858" spans="1:46" x14ac:dyDescent="0.25">
      <c r="A858" t="s">
        <v>230</v>
      </c>
      <c r="B858">
        <v>2030</v>
      </c>
      <c r="C858" t="s">
        <v>680</v>
      </c>
      <c r="D858" t="s">
        <v>814</v>
      </c>
      <c r="E858" t="s">
        <v>2278</v>
      </c>
      <c r="F858">
        <v>8</v>
      </c>
      <c r="G858" t="s">
        <v>2596</v>
      </c>
      <c r="H858" s="460">
        <v>13893.331257610756</v>
      </c>
      <c r="I858">
        <v>17273</v>
      </c>
      <c r="J858">
        <v>250.00000001668948</v>
      </c>
      <c r="K858" s="67">
        <v>617.52187500000002</v>
      </c>
      <c r="L858" s="159">
        <v>0</v>
      </c>
      <c r="M858" s="159">
        <v>0</v>
      </c>
      <c r="N858" s="159">
        <v>0</v>
      </c>
      <c r="O858" s="159">
        <v>0</v>
      </c>
      <c r="P858" s="159">
        <v>5736</v>
      </c>
      <c r="Q858" s="159">
        <v>1500</v>
      </c>
      <c r="R858" s="159">
        <v>1800</v>
      </c>
      <c r="S858" s="159">
        <v>62970</v>
      </c>
      <c r="T858" s="159">
        <v>0</v>
      </c>
      <c r="U858" s="159">
        <v>123504</v>
      </c>
      <c r="V858" s="159">
        <v>4500</v>
      </c>
      <c r="W858" s="159">
        <v>186</v>
      </c>
      <c r="X858" s="159">
        <v>0</v>
      </c>
      <c r="Y858" s="159">
        <v>1500</v>
      </c>
      <c r="Z858" s="159">
        <v>8317</v>
      </c>
      <c r="AA858" s="159">
        <v>0</v>
      </c>
      <c r="AB858" s="159">
        <v>0</v>
      </c>
      <c r="AC858" s="159">
        <v>1500</v>
      </c>
      <c r="AD858" s="207">
        <v>211513</v>
      </c>
      <c r="AE858" s="200">
        <v>0</v>
      </c>
      <c r="AF858" s="200">
        <v>0</v>
      </c>
      <c r="AG858" s="200">
        <v>0</v>
      </c>
      <c r="AH858" s="200">
        <v>1787</v>
      </c>
      <c r="AI858" s="200">
        <v>1774</v>
      </c>
      <c r="AJ858" s="200">
        <v>2109</v>
      </c>
      <c r="AL858" s="197">
        <f t="shared" si="125"/>
        <v>242471.25181783381</v>
      </c>
      <c r="AM858" s="197" t="str">
        <f t="shared" si="126"/>
        <v>Regional DayCab 8</v>
      </c>
      <c r="AN858" s="3">
        <f t="shared" si="127"/>
        <v>0</v>
      </c>
      <c r="AO858" s="3">
        <f t="shared" si="128"/>
        <v>0</v>
      </c>
      <c r="AP858" s="3">
        <f t="shared" si="129"/>
        <v>123.70723402140007</v>
      </c>
      <c r="AQ858" s="3">
        <f t="shared" si="121"/>
        <v>4.4534604247704026</v>
      </c>
      <c r="AR858" s="3">
        <f t="shared" si="122"/>
        <v>4.4534604247704026</v>
      </c>
      <c r="AS858" s="81">
        <f t="shared" si="123"/>
        <v>0</v>
      </c>
      <c r="AT858" s="81">
        <f t="shared" si="124"/>
        <v>1</v>
      </c>
    </row>
    <row r="859" spans="1:46" x14ac:dyDescent="0.25">
      <c r="A859" t="s">
        <v>496</v>
      </c>
      <c r="B859">
        <v>2030</v>
      </c>
      <c r="C859" t="s">
        <v>680</v>
      </c>
      <c r="D859" t="s">
        <v>814</v>
      </c>
      <c r="E859" t="s">
        <v>2278</v>
      </c>
      <c r="F859">
        <v>8</v>
      </c>
      <c r="G859" t="s">
        <v>2597</v>
      </c>
      <c r="H859" s="460">
        <v>11955.490010813359</v>
      </c>
      <c r="I859">
        <v>17273</v>
      </c>
      <c r="J859">
        <v>250.00000001668948</v>
      </c>
      <c r="K859" s="67">
        <v>16.632000000000001</v>
      </c>
      <c r="L859" s="159">
        <v>0</v>
      </c>
      <c r="M859" s="159">
        <v>0</v>
      </c>
      <c r="N859" s="159">
        <v>0</v>
      </c>
      <c r="O859" s="159">
        <v>0</v>
      </c>
      <c r="P859" s="159">
        <v>6334</v>
      </c>
      <c r="Q859" s="159">
        <v>1500</v>
      </c>
      <c r="R859" s="159">
        <v>1800</v>
      </c>
      <c r="S859" s="159">
        <v>62970</v>
      </c>
      <c r="T859" s="159">
        <v>0</v>
      </c>
      <c r="U859" s="159">
        <v>5972</v>
      </c>
      <c r="V859" s="159">
        <v>4500</v>
      </c>
      <c r="W859" s="159">
        <v>186</v>
      </c>
      <c r="X859" s="159">
        <v>0</v>
      </c>
      <c r="Y859" s="159">
        <v>1500</v>
      </c>
      <c r="Z859" s="159">
        <v>9297</v>
      </c>
      <c r="AA859" s="159">
        <v>85640</v>
      </c>
      <c r="AB859" s="159">
        <v>24562</v>
      </c>
      <c r="AC859" s="159">
        <v>1500</v>
      </c>
      <c r="AD859" s="207">
        <v>205761</v>
      </c>
      <c r="AE859" s="200">
        <v>9.9824461822342059</v>
      </c>
      <c r="AF859" s="200">
        <v>11.819916563878481</v>
      </c>
      <c r="AG859" s="200">
        <v>9.7743080731285179</v>
      </c>
      <c r="AH859" s="200">
        <v>0</v>
      </c>
      <c r="AI859" s="200">
        <v>0</v>
      </c>
      <c r="AJ859" s="200">
        <v>0</v>
      </c>
      <c r="AL859" s="197">
        <f t="shared" si="125"/>
        <v>235877.35621587941</v>
      </c>
      <c r="AM859" s="197" t="str">
        <f t="shared" si="126"/>
        <v>Regional DayCab 8</v>
      </c>
      <c r="AN859" s="3">
        <f t="shared" si="127"/>
        <v>23.261292445744363</v>
      </c>
      <c r="AO859" s="3">
        <f t="shared" si="128"/>
        <v>8.9787249274786181</v>
      </c>
      <c r="AP859" s="3">
        <f t="shared" si="129"/>
        <v>0</v>
      </c>
      <c r="AQ859" s="3">
        <f t="shared" si="121"/>
        <v>0</v>
      </c>
      <c r="AR859" s="3">
        <f t="shared" si="122"/>
        <v>8.9787249274786181</v>
      </c>
      <c r="AS859" s="81">
        <f t="shared" si="123"/>
        <v>1</v>
      </c>
      <c r="AT859" s="81">
        <f t="shared" si="124"/>
        <v>0</v>
      </c>
    </row>
    <row r="860" spans="1:46" x14ac:dyDescent="0.25">
      <c r="A860" t="s">
        <v>828</v>
      </c>
      <c r="B860">
        <v>2030</v>
      </c>
      <c r="C860" t="s">
        <v>680</v>
      </c>
      <c r="D860" t="s">
        <v>814</v>
      </c>
      <c r="E860" t="s">
        <v>2278</v>
      </c>
      <c r="F860">
        <v>8</v>
      </c>
      <c r="G860" t="s">
        <v>2598</v>
      </c>
      <c r="H860" s="460">
        <v>11903.031575897036</v>
      </c>
      <c r="I860">
        <v>17273</v>
      </c>
      <c r="J860">
        <v>250.00000001668948</v>
      </c>
      <c r="K860" s="67">
        <v>102.403125</v>
      </c>
      <c r="L860" s="159">
        <v>0</v>
      </c>
      <c r="M860" s="159">
        <v>0</v>
      </c>
      <c r="N860" s="159">
        <v>0</v>
      </c>
      <c r="O860" s="159">
        <v>0</v>
      </c>
      <c r="P860" s="159">
        <v>6913</v>
      </c>
      <c r="Q860" s="159">
        <v>1500</v>
      </c>
      <c r="R860" s="159">
        <v>1800</v>
      </c>
      <c r="S860" s="159">
        <v>62970</v>
      </c>
      <c r="T860" s="159">
        <v>0</v>
      </c>
      <c r="U860" s="159">
        <v>20481</v>
      </c>
      <c r="V860" s="159">
        <v>4500</v>
      </c>
      <c r="W860" s="159">
        <v>186</v>
      </c>
      <c r="X860" s="159">
        <v>0</v>
      </c>
      <c r="Y860" s="159">
        <v>1500</v>
      </c>
      <c r="Z860" s="159">
        <v>10249</v>
      </c>
      <c r="AA860" s="159">
        <v>36981</v>
      </c>
      <c r="AB860" s="159">
        <v>16414</v>
      </c>
      <c r="AC860" s="159">
        <v>1500</v>
      </c>
      <c r="AD860" s="207">
        <v>164994</v>
      </c>
      <c r="AE860" s="200">
        <v>10.37587998865088</v>
      </c>
      <c r="AF860" s="200">
        <v>11.272724960705007</v>
      </c>
      <c r="AG860" s="200">
        <v>9.3508014214381312</v>
      </c>
      <c r="AH860" s="200">
        <v>0</v>
      </c>
      <c r="AI860" s="200">
        <v>0</v>
      </c>
      <c r="AJ860" s="200">
        <v>0</v>
      </c>
      <c r="AL860" s="197">
        <f t="shared" si="125"/>
        <v>189143.46504674261</v>
      </c>
      <c r="AM860" s="197" t="str">
        <f t="shared" si="126"/>
        <v>Regional DayCab 8</v>
      </c>
      <c r="AN860" s="3">
        <f t="shared" si="127"/>
        <v>23.953291483256944</v>
      </c>
      <c r="AO860" s="3">
        <f t="shared" si="128"/>
        <v>9.2458325708908458</v>
      </c>
      <c r="AP860" s="3">
        <f t="shared" si="129"/>
        <v>0</v>
      </c>
      <c r="AQ860" s="3">
        <f t="shared" si="121"/>
        <v>0</v>
      </c>
      <c r="AR860" s="3">
        <f t="shared" si="122"/>
        <v>9.2458325708908458</v>
      </c>
      <c r="AS860" s="81">
        <f t="shared" si="123"/>
        <v>1</v>
      </c>
      <c r="AT860" s="81">
        <f t="shared" si="124"/>
        <v>0</v>
      </c>
    </row>
    <row r="861" spans="1:46" x14ac:dyDescent="0.25">
      <c r="A861" t="s">
        <v>805</v>
      </c>
      <c r="B861">
        <v>2035</v>
      </c>
      <c r="C861" t="s">
        <v>680</v>
      </c>
      <c r="D861" t="s">
        <v>814</v>
      </c>
      <c r="E861" t="s">
        <v>2278</v>
      </c>
      <c r="F861">
        <v>8</v>
      </c>
      <c r="G861" t="s">
        <v>2599</v>
      </c>
      <c r="H861" s="460">
        <v>12151.399507787311</v>
      </c>
      <c r="I861">
        <v>17273</v>
      </c>
      <c r="J861">
        <v>0</v>
      </c>
      <c r="K861" s="67">
        <v>0</v>
      </c>
      <c r="L861" s="159">
        <v>300</v>
      </c>
      <c r="M861" s="159">
        <v>38669</v>
      </c>
      <c r="N861" s="159">
        <v>1920</v>
      </c>
      <c r="O861" s="159">
        <v>392</v>
      </c>
      <c r="P861" s="159">
        <v>12636</v>
      </c>
      <c r="Q861" s="159">
        <v>1500</v>
      </c>
      <c r="R861" s="159">
        <v>1800</v>
      </c>
      <c r="S861" s="159">
        <v>62970</v>
      </c>
      <c r="T861" s="159">
        <v>156</v>
      </c>
      <c r="U861" s="159">
        <v>120</v>
      </c>
      <c r="V861" s="159">
        <v>0</v>
      </c>
      <c r="W861" s="159">
        <v>186</v>
      </c>
      <c r="X861" s="159">
        <v>0</v>
      </c>
      <c r="Y861" s="159">
        <v>0</v>
      </c>
      <c r="Z861" s="159">
        <v>0</v>
      </c>
      <c r="AA861" s="159">
        <v>0</v>
      </c>
      <c r="AB861" s="159">
        <v>0</v>
      </c>
      <c r="AC861" s="159">
        <v>1500</v>
      </c>
      <c r="AD861" s="207">
        <v>122149</v>
      </c>
      <c r="AE861" s="200">
        <v>4.9183432232146291</v>
      </c>
      <c r="AF861" s="200">
        <v>10.031749057368598</v>
      </c>
      <c r="AG861" s="200">
        <v>9.0317687219900247</v>
      </c>
      <c r="AH861" s="200">
        <v>0</v>
      </c>
      <c r="AI861" s="200">
        <v>0</v>
      </c>
      <c r="AJ861" s="200">
        <v>0</v>
      </c>
      <c r="AL861" s="197">
        <f t="shared" si="125"/>
        <v>140027.4259184853</v>
      </c>
      <c r="AM861" s="197" t="str">
        <f t="shared" si="126"/>
        <v>Regional DayCab 8</v>
      </c>
      <c r="AN861" s="3">
        <f t="shared" si="127"/>
        <v>29.740146699567827</v>
      </c>
      <c r="AO861" s="3">
        <f t="shared" si="128"/>
        <v>11.479525359182411</v>
      </c>
      <c r="AP861" s="3">
        <f t="shared" si="129"/>
        <v>0</v>
      </c>
      <c r="AQ861" s="3">
        <f t="shared" si="121"/>
        <v>0</v>
      </c>
      <c r="AR861" s="3">
        <f t="shared" si="122"/>
        <v>11.479525359182411</v>
      </c>
      <c r="AS861" s="81">
        <f t="shared" si="123"/>
        <v>1</v>
      </c>
      <c r="AT861" s="81">
        <f t="shared" si="124"/>
        <v>0</v>
      </c>
    </row>
    <row r="862" spans="1:46" x14ac:dyDescent="0.25">
      <c r="A862" t="s">
        <v>807</v>
      </c>
      <c r="B862">
        <v>2035</v>
      </c>
      <c r="C862" t="s">
        <v>680</v>
      </c>
      <c r="D862" t="s">
        <v>814</v>
      </c>
      <c r="E862" t="s">
        <v>2278</v>
      </c>
      <c r="F862">
        <v>8</v>
      </c>
      <c r="G862" t="s">
        <v>2600</v>
      </c>
      <c r="H862" s="460">
        <v>12302.343861013713</v>
      </c>
      <c r="I862">
        <v>17273</v>
      </c>
      <c r="J862">
        <v>0</v>
      </c>
      <c r="K862" s="67">
        <v>6.842880000000001</v>
      </c>
      <c r="L862" s="159">
        <v>300</v>
      </c>
      <c r="M862" s="159">
        <v>38843</v>
      </c>
      <c r="N862" s="159">
        <v>220</v>
      </c>
      <c r="O862" s="159">
        <v>392</v>
      </c>
      <c r="P862" s="159">
        <v>12783</v>
      </c>
      <c r="Q862" s="159">
        <v>1500</v>
      </c>
      <c r="R862" s="159">
        <v>1800</v>
      </c>
      <c r="S862" s="159">
        <v>62970</v>
      </c>
      <c r="T862" s="159">
        <v>0</v>
      </c>
      <c r="U862" s="159">
        <v>2328</v>
      </c>
      <c r="V862" s="159">
        <v>4500</v>
      </c>
      <c r="W862" s="159">
        <v>186</v>
      </c>
      <c r="X862" s="159">
        <v>120</v>
      </c>
      <c r="Y862" s="159">
        <v>1500</v>
      </c>
      <c r="Z862" s="159">
        <v>3385</v>
      </c>
      <c r="AA862" s="159">
        <v>0</v>
      </c>
      <c r="AB862" s="159">
        <v>0</v>
      </c>
      <c r="AC862" s="159">
        <v>1500</v>
      </c>
      <c r="AD862" s="207">
        <v>132327</v>
      </c>
      <c r="AE862" s="200">
        <v>7.3529162081074109</v>
      </c>
      <c r="AF862" s="200">
        <v>10.772813724727023</v>
      </c>
      <c r="AG862" s="200">
        <v>8.9986348115956645</v>
      </c>
      <c r="AH862" s="200">
        <v>0</v>
      </c>
      <c r="AI862" s="200">
        <v>0</v>
      </c>
      <c r="AJ862" s="200">
        <v>0</v>
      </c>
      <c r="AL862" s="197">
        <f t="shared" si="125"/>
        <v>151695.13618216608</v>
      </c>
      <c r="AM862" s="197" t="str">
        <f t="shared" si="126"/>
        <v>Regional DayCab 8</v>
      </c>
      <c r="AN862" s="3">
        <f t="shared" si="127"/>
        <v>26.518729113000152</v>
      </c>
      <c r="AO862" s="3">
        <f t="shared" si="128"/>
        <v>10.236076722190406</v>
      </c>
      <c r="AP862" s="3">
        <f t="shared" si="129"/>
        <v>0</v>
      </c>
      <c r="AQ862" s="3">
        <f t="shared" si="121"/>
        <v>0</v>
      </c>
      <c r="AR862" s="3">
        <f t="shared" si="122"/>
        <v>10.236076722190406</v>
      </c>
      <c r="AS862" s="81">
        <f t="shared" si="123"/>
        <v>1</v>
      </c>
      <c r="AT862" s="81">
        <f t="shared" si="124"/>
        <v>0</v>
      </c>
    </row>
    <row r="863" spans="1:46" x14ac:dyDescent="0.25">
      <c r="A863" t="s">
        <v>808</v>
      </c>
      <c r="B863">
        <v>2035</v>
      </c>
      <c r="C863" t="s">
        <v>680</v>
      </c>
      <c r="D863" t="s">
        <v>814</v>
      </c>
      <c r="E863" t="s">
        <v>2278</v>
      </c>
      <c r="F863">
        <v>8</v>
      </c>
      <c r="G863" t="s">
        <v>2601</v>
      </c>
      <c r="H863" s="460">
        <v>13886.143112298134</v>
      </c>
      <c r="I863">
        <v>17273</v>
      </c>
      <c r="J863">
        <v>200.00000001335161</v>
      </c>
      <c r="K863" s="67">
        <v>469.31662499999999</v>
      </c>
      <c r="L863" s="159">
        <v>0</v>
      </c>
      <c r="M863" s="159">
        <v>17674</v>
      </c>
      <c r="N863" s="159">
        <v>220</v>
      </c>
      <c r="O863" s="159">
        <v>0</v>
      </c>
      <c r="P863" s="159">
        <v>6039</v>
      </c>
      <c r="Q863" s="159">
        <v>1500</v>
      </c>
      <c r="R863" s="159">
        <v>1800</v>
      </c>
      <c r="S863" s="159">
        <v>62970</v>
      </c>
      <c r="T863" s="159">
        <v>4759</v>
      </c>
      <c r="U863" s="159">
        <v>75091</v>
      </c>
      <c r="V863" s="159">
        <v>4500</v>
      </c>
      <c r="W863" s="159">
        <v>186</v>
      </c>
      <c r="X863" s="159">
        <v>0</v>
      </c>
      <c r="Y863" s="159">
        <v>1500</v>
      </c>
      <c r="Z863" s="159">
        <v>7235</v>
      </c>
      <c r="AA863" s="159">
        <v>0</v>
      </c>
      <c r="AB863" s="159">
        <v>0</v>
      </c>
      <c r="AC863" s="159">
        <v>1500</v>
      </c>
      <c r="AD863" s="207">
        <v>184974</v>
      </c>
      <c r="AE863" s="200">
        <v>8.5381594655353084</v>
      </c>
      <c r="AF863" s="200">
        <v>8.1131558763020628</v>
      </c>
      <c r="AG863" s="200">
        <v>7.3280260944825049</v>
      </c>
      <c r="AH863" s="200">
        <v>1818</v>
      </c>
      <c r="AI863" s="200">
        <v>1883</v>
      </c>
      <c r="AJ863" s="200">
        <v>2236</v>
      </c>
      <c r="AL863" s="197">
        <f t="shared" si="125"/>
        <v>212047.85206465793</v>
      </c>
      <c r="AM863" s="197" t="str">
        <f t="shared" si="126"/>
        <v>Regional DayCab 8</v>
      </c>
      <c r="AN863" s="3">
        <f t="shared" si="127"/>
        <v>6.1411184042948026</v>
      </c>
      <c r="AO863" s="3">
        <f t="shared" si="128"/>
        <v>2.3704363387309195</v>
      </c>
      <c r="AP863" s="3">
        <f t="shared" si="129"/>
        <v>104.22011507823083</v>
      </c>
      <c r="AQ863" s="3">
        <f t="shared" si="121"/>
        <v>3.7519241428163097</v>
      </c>
      <c r="AR863" s="3">
        <f t="shared" si="122"/>
        <v>6.1223604815472292</v>
      </c>
      <c r="AS863" s="81">
        <f t="shared" si="123"/>
        <v>0.38717686517731281</v>
      </c>
      <c r="AT863" s="81">
        <f t="shared" si="124"/>
        <v>0.61282313482268713</v>
      </c>
    </row>
    <row r="864" spans="1:46" x14ac:dyDescent="0.25">
      <c r="A864" t="s">
        <v>230</v>
      </c>
      <c r="B864">
        <v>2035</v>
      </c>
      <c r="C864" t="s">
        <v>680</v>
      </c>
      <c r="D864" t="s">
        <v>814</v>
      </c>
      <c r="E864" t="s">
        <v>2278</v>
      </c>
      <c r="F864">
        <v>8</v>
      </c>
      <c r="G864" t="s">
        <v>2602</v>
      </c>
      <c r="H864" s="460">
        <v>13083.198913992175</v>
      </c>
      <c r="I864">
        <v>17273</v>
      </c>
      <c r="J864">
        <v>250.00000001668948</v>
      </c>
      <c r="K864" s="67">
        <v>559.55550000000005</v>
      </c>
      <c r="L864" s="159">
        <v>0</v>
      </c>
      <c r="M864" s="159">
        <v>0</v>
      </c>
      <c r="N864" s="159">
        <v>0</v>
      </c>
      <c r="O864" s="159">
        <v>0</v>
      </c>
      <c r="P864" s="159">
        <v>5736</v>
      </c>
      <c r="Q864" s="159">
        <v>1500</v>
      </c>
      <c r="R864" s="159">
        <v>1800</v>
      </c>
      <c r="S864" s="159">
        <v>62970</v>
      </c>
      <c r="T864" s="159">
        <v>0</v>
      </c>
      <c r="U864" s="159">
        <v>89529</v>
      </c>
      <c r="V864" s="159">
        <v>4500</v>
      </c>
      <c r="W864" s="159">
        <v>186</v>
      </c>
      <c r="X864" s="159">
        <v>0</v>
      </c>
      <c r="Y864" s="159">
        <v>1500</v>
      </c>
      <c r="Z864" s="159">
        <v>6827</v>
      </c>
      <c r="AA864" s="159">
        <v>0</v>
      </c>
      <c r="AB864" s="159">
        <v>0</v>
      </c>
      <c r="AC864" s="159">
        <v>1500</v>
      </c>
      <c r="AD864" s="207">
        <v>176048</v>
      </c>
      <c r="AE864" s="200">
        <v>0</v>
      </c>
      <c r="AF864" s="200">
        <v>0</v>
      </c>
      <c r="AG864" s="200">
        <v>0</v>
      </c>
      <c r="AH864" s="200">
        <v>1638</v>
      </c>
      <c r="AI864" s="200">
        <v>1598</v>
      </c>
      <c r="AJ864" s="200">
        <v>1895</v>
      </c>
      <c r="AL864" s="197">
        <f t="shared" si="125"/>
        <v>201815.39167817583</v>
      </c>
      <c r="AM864" s="197" t="str">
        <f t="shared" si="126"/>
        <v>Regional DayCab 8</v>
      </c>
      <c r="AN864" s="3">
        <f t="shared" si="127"/>
        <v>0</v>
      </c>
      <c r="AO864" s="3">
        <f t="shared" si="128"/>
        <v>0</v>
      </c>
      <c r="AP864" s="3">
        <f t="shared" si="129"/>
        <v>111.5786595747325</v>
      </c>
      <c r="AQ864" s="3">
        <f t="shared" si="121"/>
        <v>4.0168317446903696</v>
      </c>
      <c r="AR864" s="3">
        <f t="shared" si="122"/>
        <v>4.0168317446903696</v>
      </c>
      <c r="AS864" s="81">
        <f t="shared" si="123"/>
        <v>0</v>
      </c>
      <c r="AT864" s="81">
        <f t="shared" si="124"/>
        <v>1</v>
      </c>
    </row>
    <row r="865" spans="1:46" x14ac:dyDescent="0.25">
      <c r="A865" t="s">
        <v>496</v>
      </c>
      <c r="B865">
        <v>2035</v>
      </c>
      <c r="C865" t="s">
        <v>680</v>
      </c>
      <c r="D865" t="s">
        <v>814</v>
      </c>
      <c r="E865" t="s">
        <v>2278</v>
      </c>
      <c r="F865">
        <v>8</v>
      </c>
      <c r="G865" t="s">
        <v>2603</v>
      </c>
      <c r="H865" s="460">
        <v>11779.66712719827</v>
      </c>
      <c r="I865">
        <v>17273</v>
      </c>
      <c r="J865">
        <v>250.00000001668948</v>
      </c>
      <c r="K865" s="67">
        <v>16.632000000000001</v>
      </c>
      <c r="L865" s="159">
        <v>0</v>
      </c>
      <c r="M865" s="159">
        <v>0</v>
      </c>
      <c r="N865" s="159">
        <v>0</v>
      </c>
      <c r="O865" s="159">
        <v>0</v>
      </c>
      <c r="P865" s="159">
        <v>6290</v>
      </c>
      <c r="Q865" s="159">
        <v>1500</v>
      </c>
      <c r="R865" s="159">
        <v>1800</v>
      </c>
      <c r="S865" s="159">
        <v>62970</v>
      </c>
      <c r="T865" s="159">
        <v>0</v>
      </c>
      <c r="U865" s="159">
        <v>5658</v>
      </c>
      <c r="V865" s="159">
        <v>4500</v>
      </c>
      <c r="W865" s="159">
        <v>186</v>
      </c>
      <c r="X865" s="159">
        <v>0</v>
      </c>
      <c r="Y865" s="159">
        <v>1500</v>
      </c>
      <c r="Z865" s="159">
        <v>7572</v>
      </c>
      <c r="AA865" s="159">
        <v>74850</v>
      </c>
      <c r="AB865" s="159">
        <v>18905</v>
      </c>
      <c r="AC865" s="159">
        <v>1500</v>
      </c>
      <c r="AD865" s="207">
        <v>187231</v>
      </c>
      <c r="AE865" s="200">
        <v>10.718024885296408</v>
      </c>
      <c r="AF865" s="200">
        <v>13.177907825772628</v>
      </c>
      <c r="AG865" s="200">
        <v>10.964300859793518</v>
      </c>
      <c r="AH865" s="200">
        <v>0</v>
      </c>
      <c r="AI865" s="200">
        <v>0</v>
      </c>
      <c r="AJ865" s="200">
        <v>0</v>
      </c>
      <c r="AL865" s="197">
        <f t="shared" si="125"/>
        <v>214635.19948705204</v>
      </c>
      <c r="AM865" s="197" t="str">
        <f t="shared" si="126"/>
        <v>Regional DayCab 8</v>
      </c>
      <c r="AN865" s="3">
        <f t="shared" si="127"/>
        <v>20.933858700488784</v>
      </c>
      <c r="AO865" s="3">
        <f t="shared" si="128"/>
        <v>8.0803489049801627</v>
      </c>
      <c r="AP865" s="3">
        <f t="shared" si="129"/>
        <v>0</v>
      </c>
      <c r="AQ865" s="3">
        <f t="shared" si="121"/>
        <v>0</v>
      </c>
      <c r="AR865" s="3">
        <f t="shared" si="122"/>
        <v>8.0803489049801627</v>
      </c>
      <c r="AS865" s="81">
        <f t="shared" si="123"/>
        <v>1</v>
      </c>
      <c r="AT865" s="81">
        <f t="shared" si="124"/>
        <v>0</v>
      </c>
    </row>
    <row r="866" spans="1:46" x14ac:dyDescent="0.25">
      <c r="A866" t="s">
        <v>828</v>
      </c>
      <c r="B866">
        <v>2035</v>
      </c>
      <c r="C866" t="s">
        <v>680</v>
      </c>
      <c r="D866" t="s">
        <v>814</v>
      </c>
      <c r="E866" t="s">
        <v>2278</v>
      </c>
      <c r="F866">
        <v>8</v>
      </c>
      <c r="G866" t="s">
        <v>2604</v>
      </c>
      <c r="H866" s="460">
        <v>11639.618832238644</v>
      </c>
      <c r="I866">
        <v>17273</v>
      </c>
      <c r="J866">
        <v>250.00000001668948</v>
      </c>
      <c r="K866" s="67">
        <v>101.7825</v>
      </c>
      <c r="L866" s="159">
        <v>0</v>
      </c>
      <c r="M866" s="159">
        <v>0</v>
      </c>
      <c r="N866" s="159">
        <v>0</v>
      </c>
      <c r="O866" s="159">
        <v>0</v>
      </c>
      <c r="P866" s="159">
        <v>6786</v>
      </c>
      <c r="Q866" s="159">
        <v>1500</v>
      </c>
      <c r="R866" s="159">
        <v>1800</v>
      </c>
      <c r="S866" s="159">
        <v>62970</v>
      </c>
      <c r="T866" s="159">
        <v>0</v>
      </c>
      <c r="U866" s="159">
        <v>16285</v>
      </c>
      <c r="V866" s="159">
        <v>4500</v>
      </c>
      <c r="W866" s="159">
        <v>186</v>
      </c>
      <c r="X866" s="159">
        <v>0</v>
      </c>
      <c r="Y866" s="159">
        <v>1500</v>
      </c>
      <c r="Z866" s="159">
        <v>8240</v>
      </c>
      <c r="AA866" s="159">
        <v>29400</v>
      </c>
      <c r="AB866" s="159">
        <v>12042</v>
      </c>
      <c r="AC866" s="159">
        <v>1500</v>
      </c>
      <c r="AD866" s="207">
        <v>146709</v>
      </c>
      <c r="AE866" s="200">
        <v>11.253970500565536</v>
      </c>
      <c r="AF866" s="200">
        <v>12.56045784240839</v>
      </c>
      <c r="AG866" s="200">
        <v>10.479112326173398</v>
      </c>
      <c r="AH866" s="200">
        <v>0</v>
      </c>
      <c r="AI866" s="200">
        <v>0</v>
      </c>
      <c r="AJ866" s="200">
        <v>0</v>
      </c>
      <c r="AL866" s="197">
        <f t="shared" si="125"/>
        <v>168182.1679184853</v>
      </c>
      <c r="AM866" s="197" t="str">
        <f t="shared" si="126"/>
        <v>Regional DayCab 8</v>
      </c>
      <c r="AN866" s="3">
        <f t="shared" si="127"/>
        <v>21.520147428694074</v>
      </c>
      <c r="AO866" s="3">
        <f t="shared" si="128"/>
        <v>8.3066529777617966</v>
      </c>
      <c r="AP866" s="3">
        <f t="shared" si="129"/>
        <v>0</v>
      </c>
      <c r="AQ866" s="3">
        <f t="shared" si="121"/>
        <v>0</v>
      </c>
      <c r="AR866" s="3">
        <f t="shared" si="122"/>
        <v>8.3066529777617966</v>
      </c>
      <c r="AS866" s="81">
        <f t="shared" si="123"/>
        <v>1</v>
      </c>
      <c r="AT866" s="81">
        <f t="shared" si="124"/>
        <v>0</v>
      </c>
    </row>
    <row r="867" spans="1:46" x14ac:dyDescent="0.25">
      <c r="A867" t="s">
        <v>805</v>
      </c>
      <c r="B867">
        <v>2050</v>
      </c>
      <c r="C867" t="s">
        <v>680</v>
      </c>
      <c r="D867" t="s">
        <v>814</v>
      </c>
      <c r="E867" t="s">
        <v>2278</v>
      </c>
      <c r="F867">
        <v>8</v>
      </c>
      <c r="G867" t="s">
        <v>2605</v>
      </c>
      <c r="H867" s="460">
        <v>12089.508551445615</v>
      </c>
      <c r="I867">
        <v>17273</v>
      </c>
      <c r="J867">
        <v>0</v>
      </c>
      <c r="K867" s="67">
        <v>0</v>
      </c>
      <c r="L867" s="159">
        <v>300</v>
      </c>
      <c r="M867" s="159">
        <v>38575</v>
      </c>
      <c r="N867" s="159">
        <v>1920</v>
      </c>
      <c r="O867" s="159">
        <v>392</v>
      </c>
      <c r="P867" s="159">
        <v>12609</v>
      </c>
      <c r="Q867" s="159">
        <v>1500</v>
      </c>
      <c r="R867" s="159">
        <v>1800</v>
      </c>
      <c r="S867" s="159">
        <v>63256</v>
      </c>
      <c r="T867" s="159">
        <v>110</v>
      </c>
      <c r="U867" s="159">
        <v>120</v>
      </c>
      <c r="V867" s="159">
        <v>0</v>
      </c>
      <c r="W867" s="159">
        <v>186</v>
      </c>
      <c r="X867" s="159">
        <v>0</v>
      </c>
      <c r="Y867" s="159">
        <v>0</v>
      </c>
      <c r="Z867" s="159">
        <v>0</v>
      </c>
      <c r="AA867" s="159">
        <v>0</v>
      </c>
      <c r="AB867" s="159">
        <v>0</v>
      </c>
      <c r="AC867" s="159">
        <v>1500</v>
      </c>
      <c r="AD867" s="207">
        <v>122268</v>
      </c>
      <c r="AE867" s="200">
        <v>5.1522232627805282</v>
      </c>
      <c r="AF867" s="200">
        <v>10.852325330666973</v>
      </c>
      <c r="AG867" s="200">
        <v>9.8218763015545321</v>
      </c>
      <c r="AH867" s="200">
        <v>0</v>
      </c>
      <c r="AI867" s="200">
        <v>0</v>
      </c>
      <c r="AJ867" s="200">
        <v>0</v>
      </c>
      <c r="AL867" s="197">
        <f t="shared" si="125"/>
        <v>140163.84343876218</v>
      </c>
      <c r="AM867" s="197" t="str">
        <f t="shared" si="126"/>
        <v>Regional DayCab 8</v>
      </c>
      <c r="AN867" s="3">
        <f t="shared" si="127"/>
        <v>27.685477036066363</v>
      </c>
      <c r="AO867" s="3">
        <f t="shared" si="128"/>
        <v>10.686434701453724</v>
      </c>
      <c r="AP867" s="3">
        <f t="shared" si="129"/>
        <v>0</v>
      </c>
      <c r="AQ867" s="3">
        <f t="shared" si="121"/>
        <v>0</v>
      </c>
      <c r="AR867" s="3">
        <f t="shared" si="122"/>
        <v>10.686434701453724</v>
      </c>
      <c r="AS867" s="81">
        <f t="shared" si="123"/>
        <v>1</v>
      </c>
      <c r="AT867" s="81">
        <f t="shared" si="124"/>
        <v>0</v>
      </c>
    </row>
    <row r="868" spans="1:46" x14ac:dyDescent="0.25">
      <c r="A868" t="s">
        <v>807</v>
      </c>
      <c r="B868">
        <v>2050</v>
      </c>
      <c r="C868" t="s">
        <v>680</v>
      </c>
      <c r="D868" t="s">
        <v>814</v>
      </c>
      <c r="E868" t="s">
        <v>2278</v>
      </c>
      <c r="F868">
        <v>8</v>
      </c>
      <c r="G868" t="s">
        <v>2606</v>
      </c>
      <c r="H868" s="460">
        <v>12220.927958692282</v>
      </c>
      <c r="I868">
        <v>17273</v>
      </c>
      <c r="J868">
        <v>0</v>
      </c>
      <c r="K868" s="67">
        <v>6.9220800000000011</v>
      </c>
      <c r="L868" s="159">
        <v>300</v>
      </c>
      <c r="M868" s="159">
        <v>38607</v>
      </c>
      <c r="N868" s="159">
        <v>220</v>
      </c>
      <c r="O868" s="159">
        <v>392</v>
      </c>
      <c r="P868" s="159">
        <v>12637</v>
      </c>
      <c r="Q868" s="159">
        <v>1500</v>
      </c>
      <c r="R868" s="159">
        <v>1800</v>
      </c>
      <c r="S868" s="159">
        <v>63256</v>
      </c>
      <c r="T868" s="159">
        <v>0</v>
      </c>
      <c r="U868" s="159">
        <v>2224</v>
      </c>
      <c r="V868" s="159">
        <v>4500</v>
      </c>
      <c r="W868" s="159">
        <v>186</v>
      </c>
      <c r="X868" s="159">
        <v>120</v>
      </c>
      <c r="Y868" s="159">
        <v>1500</v>
      </c>
      <c r="Z868" s="159">
        <v>2523</v>
      </c>
      <c r="AA868" s="159">
        <v>0</v>
      </c>
      <c r="AB868" s="159">
        <v>0</v>
      </c>
      <c r="AC868" s="159">
        <v>1500</v>
      </c>
      <c r="AD868" s="207">
        <v>131265</v>
      </c>
      <c r="AE868" s="200">
        <v>7.9866941659367017</v>
      </c>
      <c r="AF868" s="200">
        <v>11.889724660111952</v>
      </c>
      <c r="AG868" s="200">
        <v>9.9306385877305736</v>
      </c>
      <c r="AH868" s="200">
        <v>0</v>
      </c>
      <c r="AI868" s="200">
        <v>0</v>
      </c>
      <c r="AJ868" s="200">
        <v>0</v>
      </c>
      <c r="AL868" s="197">
        <f t="shared" si="125"/>
        <v>150477.69579112373</v>
      </c>
      <c r="AM868" s="197" t="str">
        <f t="shared" si="126"/>
        <v>Regional DayCab 8</v>
      </c>
      <c r="AN868" s="3">
        <f t="shared" si="127"/>
        <v>24.117697898756155</v>
      </c>
      <c r="AO868" s="3">
        <f t="shared" si="128"/>
        <v>9.309292500493779</v>
      </c>
      <c r="AP868" s="3">
        <f t="shared" si="129"/>
        <v>0</v>
      </c>
      <c r="AQ868" s="3">
        <f t="shared" si="121"/>
        <v>0</v>
      </c>
      <c r="AR868" s="3">
        <f t="shared" si="122"/>
        <v>9.309292500493779</v>
      </c>
      <c r="AS868" s="81">
        <f t="shared" si="123"/>
        <v>1</v>
      </c>
      <c r="AT868" s="81">
        <f t="shared" si="124"/>
        <v>0</v>
      </c>
    </row>
    <row r="869" spans="1:46" x14ac:dyDescent="0.25">
      <c r="A869" t="s">
        <v>808</v>
      </c>
      <c r="B869">
        <v>2050</v>
      </c>
      <c r="C869" t="s">
        <v>680</v>
      </c>
      <c r="D869" t="s">
        <v>814</v>
      </c>
      <c r="E869" t="s">
        <v>2278</v>
      </c>
      <c r="F869">
        <v>8</v>
      </c>
      <c r="G869" t="s">
        <v>2607</v>
      </c>
      <c r="H869" s="460">
        <v>12837.65569133102</v>
      </c>
      <c r="I869">
        <v>17273</v>
      </c>
      <c r="J869">
        <v>200.00000001335161</v>
      </c>
      <c r="K869" s="67">
        <v>422.02500000000003</v>
      </c>
      <c r="L869" s="159">
        <v>0</v>
      </c>
      <c r="M869" s="159">
        <v>16235</v>
      </c>
      <c r="N869" s="159">
        <v>220</v>
      </c>
      <c r="O869" s="159">
        <v>0</v>
      </c>
      <c r="P869" s="159">
        <v>5902</v>
      </c>
      <c r="Q869" s="159">
        <v>1500</v>
      </c>
      <c r="R869" s="159">
        <v>1800</v>
      </c>
      <c r="S869" s="159">
        <v>63256</v>
      </c>
      <c r="T869" s="159">
        <v>3019</v>
      </c>
      <c r="U869" s="159">
        <v>37982</v>
      </c>
      <c r="V869" s="159">
        <v>4500</v>
      </c>
      <c r="W869" s="159">
        <v>186</v>
      </c>
      <c r="X869" s="159">
        <v>0</v>
      </c>
      <c r="Y869" s="159">
        <v>1500</v>
      </c>
      <c r="Z869" s="159">
        <v>5162</v>
      </c>
      <c r="AA869" s="159">
        <v>0</v>
      </c>
      <c r="AB869" s="159">
        <v>0</v>
      </c>
      <c r="AC869" s="159">
        <v>1500</v>
      </c>
      <c r="AD869" s="207">
        <v>142762</v>
      </c>
      <c r="AE869" s="200">
        <v>9.9048716553820562</v>
      </c>
      <c r="AF869" s="200">
        <v>9.2815216854763065</v>
      </c>
      <c r="AG869" s="200">
        <v>8.362390842162382</v>
      </c>
      <c r="AH869" s="200">
        <v>1601</v>
      </c>
      <c r="AI869" s="200">
        <v>1682</v>
      </c>
      <c r="AJ869" s="200">
        <v>2006</v>
      </c>
      <c r="AL869" s="197">
        <f t="shared" si="125"/>
        <v>163657.46243501623</v>
      </c>
      <c r="AM869" s="197" t="str">
        <f t="shared" si="126"/>
        <v>Regional DayCab 8</v>
      </c>
      <c r="AN869" s="3">
        <f t="shared" si="127"/>
        <v>5.3643902641028918</v>
      </c>
      <c r="AO869" s="3">
        <f t="shared" si="128"/>
        <v>2.0706237496204158</v>
      </c>
      <c r="AP869" s="3">
        <f t="shared" si="129"/>
        <v>93.154709383971067</v>
      </c>
      <c r="AQ869" s="3">
        <f t="shared" si="121"/>
        <v>3.3535695378229589</v>
      </c>
      <c r="AR869" s="3">
        <f t="shared" si="122"/>
        <v>5.4241932874433747</v>
      </c>
      <c r="AS869" s="81">
        <f t="shared" si="123"/>
        <v>0.38173856274881723</v>
      </c>
      <c r="AT869" s="81">
        <f t="shared" si="124"/>
        <v>0.61826143725118277</v>
      </c>
    </row>
    <row r="870" spans="1:46" x14ac:dyDescent="0.25">
      <c r="A870" t="s">
        <v>230</v>
      </c>
      <c r="B870">
        <v>2050</v>
      </c>
      <c r="C870" t="s">
        <v>680</v>
      </c>
      <c r="D870" t="s">
        <v>814</v>
      </c>
      <c r="E870" t="s">
        <v>2278</v>
      </c>
      <c r="F870">
        <v>8</v>
      </c>
      <c r="G870" t="s">
        <v>2608</v>
      </c>
      <c r="H870" s="460">
        <v>12001.521244498803</v>
      </c>
      <c r="I870">
        <v>17273</v>
      </c>
      <c r="J870">
        <v>250.00000001668948</v>
      </c>
      <c r="K870" s="67">
        <v>513.50512500000002</v>
      </c>
      <c r="L870" s="159">
        <v>0</v>
      </c>
      <c r="M870" s="159">
        <v>0</v>
      </c>
      <c r="N870" s="159">
        <v>0</v>
      </c>
      <c r="O870" s="159">
        <v>0</v>
      </c>
      <c r="P870" s="159">
        <v>5736</v>
      </c>
      <c r="Q870" s="159">
        <v>1500</v>
      </c>
      <c r="R870" s="159">
        <v>1800</v>
      </c>
      <c r="S870" s="159">
        <v>63256</v>
      </c>
      <c r="T870" s="159">
        <v>0</v>
      </c>
      <c r="U870" s="159">
        <v>46215</v>
      </c>
      <c r="V870" s="159">
        <v>4500</v>
      </c>
      <c r="W870" s="159">
        <v>186</v>
      </c>
      <c r="X870" s="159">
        <v>0</v>
      </c>
      <c r="Y870" s="159">
        <v>1500</v>
      </c>
      <c r="Z870" s="159">
        <v>4999</v>
      </c>
      <c r="AA870" s="159">
        <v>0</v>
      </c>
      <c r="AB870" s="159">
        <v>0</v>
      </c>
      <c r="AC870" s="159">
        <v>1500</v>
      </c>
      <c r="AD870" s="207">
        <v>131192</v>
      </c>
      <c r="AE870" s="200">
        <v>0</v>
      </c>
      <c r="AF870" s="200">
        <v>0</v>
      </c>
      <c r="AG870" s="200">
        <v>0</v>
      </c>
      <c r="AH870" s="200">
        <v>1425</v>
      </c>
      <c r="AI870" s="200">
        <v>1413</v>
      </c>
      <c r="AJ870" s="200">
        <v>1683</v>
      </c>
      <c r="AL870" s="197">
        <f t="shared" si="125"/>
        <v>150394.01109381104</v>
      </c>
      <c r="AM870" s="197" t="str">
        <f t="shared" si="126"/>
        <v>Regional DayCab 8</v>
      </c>
      <c r="AN870" s="3">
        <f t="shared" si="127"/>
        <v>0</v>
      </c>
      <c r="AO870" s="3">
        <f t="shared" si="128"/>
        <v>0</v>
      </c>
      <c r="AP870" s="3">
        <f t="shared" si="129"/>
        <v>98.678961561882488</v>
      </c>
      <c r="AQ870" s="3">
        <f t="shared" si="121"/>
        <v>3.5524426162277694</v>
      </c>
      <c r="AR870" s="3">
        <f t="shared" si="122"/>
        <v>3.5524426162277694</v>
      </c>
      <c r="AS870" s="81">
        <f t="shared" si="123"/>
        <v>0</v>
      </c>
      <c r="AT870" s="81">
        <f t="shared" si="124"/>
        <v>1</v>
      </c>
    </row>
    <row r="871" spans="1:46" x14ac:dyDescent="0.25">
      <c r="A871" t="s">
        <v>496</v>
      </c>
      <c r="B871">
        <v>2050</v>
      </c>
      <c r="C871" t="s">
        <v>680</v>
      </c>
      <c r="D871" t="s">
        <v>814</v>
      </c>
      <c r="E871" t="s">
        <v>2278</v>
      </c>
      <c r="F871">
        <v>8</v>
      </c>
      <c r="G871" t="s">
        <v>2609</v>
      </c>
      <c r="H871" s="460">
        <v>11436.920522735607</v>
      </c>
      <c r="I871">
        <v>17273</v>
      </c>
      <c r="J871">
        <v>250.00000001668948</v>
      </c>
      <c r="K871" s="67">
        <v>16.1568</v>
      </c>
      <c r="L871" s="159">
        <v>0</v>
      </c>
      <c r="M871" s="159">
        <v>0</v>
      </c>
      <c r="N871" s="159">
        <v>0</v>
      </c>
      <c r="O871" s="159">
        <v>0</v>
      </c>
      <c r="P871" s="159">
        <v>6256</v>
      </c>
      <c r="Q871" s="159">
        <v>1500</v>
      </c>
      <c r="R871" s="159">
        <v>1800</v>
      </c>
      <c r="S871" s="159">
        <v>63256</v>
      </c>
      <c r="T871" s="159">
        <v>0</v>
      </c>
      <c r="U871" s="159">
        <v>5191</v>
      </c>
      <c r="V871" s="159">
        <v>4500</v>
      </c>
      <c r="W871" s="159">
        <v>186</v>
      </c>
      <c r="X871" s="159">
        <v>0</v>
      </c>
      <c r="Y871" s="159">
        <v>1500</v>
      </c>
      <c r="Z871" s="159">
        <v>5511</v>
      </c>
      <c r="AA871" s="159">
        <v>55783</v>
      </c>
      <c r="AB871" s="159">
        <v>10842</v>
      </c>
      <c r="AC871" s="159">
        <v>1500</v>
      </c>
      <c r="AD871" s="207">
        <v>157825</v>
      </c>
      <c r="AE871" s="200">
        <v>12.262159454630538</v>
      </c>
      <c r="AF871" s="200">
        <v>15.37641117977422</v>
      </c>
      <c r="AG871" s="200">
        <v>12.786373779896049</v>
      </c>
      <c r="AH871" s="200">
        <v>0</v>
      </c>
      <c r="AI871" s="200">
        <v>0</v>
      </c>
      <c r="AJ871" s="200">
        <v>0</v>
      </c>
      <c r="AL871" s="197">
        <f t="shared" si="125"/>
        <v>180925.16922434847</v>
      </c>
      <c r="AM871" s="197" t="str">
        <f t="shared" si="126"/>
        <v>Regional DayCab 8</v>
      </c>
      <c r="AN871" s="3">
        <f t="shared" si="127"/>
        <v>18.018419875777692</v>
      </c>
      <c r="AO871" s="3">
        <f t="shared" si="128"/>
        <v>6.9550063080015718</v>
      </c>
      <c r="AP871" s="3">
        <f t="shared" si="129"/>
        <v>0</v>
      </c>
      <c r="AQ871" s="3">
        <f t="shared" si="121"/>
        <v>0</v>
      </c>
      <c r="AR871" s="3">
        <f t="shared" si="122"/>
        <v>6.9550063080015718</v>
      </c>
      <c r="AS871" s="81">
        <f t="shared" si="123"/>
        <v>1</v>
      </c>
      <c r="AT871" s="81">
        <f t="shared" si="124"/>
        <v>0</v>
      </c>
    </row>
    <row r="872" spans="1:46" x14ac:dyDescent="0.25">
      <c r="A872" t="s">
        <v>828</v>
      </c>
      <c r="B872">
        <v>2050</v>
      </c>
      <c r="C872" t="s">
        <v>680</v>
      </c>
      <c r="D872" t="s">
        <v>814</v>
      </c>
      <c r="E872" t="s">
        <v>2278</v>
      </c>
      <c r="F872">
        <v>8</v>
      </c>
      <c r="G872" t="s">
        <v>2610</v>
      </c>
      <c r="H872" s="460">
        <v>11184.94019098681</v>
      </c>
      <c r="I872">
        <v>17273</v>
      </c>
      <c r="J872">
        <v>250.00000001668948</v>
      </c>
      <c r="K872" s="67">
        <v>104.265</v>
      </c>
      <c r="L872" s="159">
        <v>0</v>
      </c>
      <c r="M872" s="159">
        <v>0</v>
      </c>
      <c r="N872" s="159">
        <v>0</v>
      </c>
      <c r="O872" s="159">
        <v>0</v>
      </c>
      <c r="P872" s="159">
        <v>6759</v>
      </c>
      <c r="Q872" s="159">
        <v>1500</v>
      </c>
      <c r="R872" s="159">
        <v>1800</v>
      </c>
      <c r="S872" s="159">
        <v>63256</v>
      </c>
      <c r="T872" s="159">
        <v>0</v>
      </c>
      <c r="U872" s="159">
        <v>9384</v>
      </c>
      <c r="V872" s="159">
        <v>4500</v>
      </c>
      <c r="W872" s="159">
        <v>186</v>
      </c>
      <c r="X872" s="159">
        <v>0</v>
      </c>
      <c r="Y872" s="159">
        <v>1500</v>
      </c>
      <c r="Z872" s="159">
        <v>6008</v>
      </c>
      <c r="AA872" s="159">
        <v>19766</v>
      </c>
      <c r="AB872" s="159">
        <v>6363</v>
      </c>
      <c r="AC872" s="159">
        <v>1500</v>
      </c>
      <c r="AD872" s="207">
        <v>122522</v>
      </c>
      <c r="AE872" s="200">
        <v>13.101548370960979</v>
      </c>
      <c r="AF872" s="200">
        <v>14.654900192337047</v>
      </c>
      <c r="AG872" s="200">
        <v>12.214313971928886</v>
      </c>
      <c r="AH872" s="200">
        <v>0</v>
      </c>
      <c r="AI872" s="200">
        <v>0</v>
      </c>
      <c r="AJ872" s="200">
        <v>0</v>
      </c>
      <c r="AL872" s="197">
        <f t="shared" si="125"/>
        <v>140455.02033078173</v>
      </c>
      <c r="AM872" s="197" t="str">
        <f t="shared" si="126"/>
        <v>Regional DayCab 8</v>
      </c>
      <c r="AN872" s="3">
        <f t="shared" si="127"/>
        <v>18.464353406369522</v>
      </c>
      <c r="AO872" s="3">
        <f t="shared" si="128"/>
        <v>7.1271340827785892</v>
      </c>
      <c r="AP872" s="3">
        <f t="shared" si="129"/>
        <v>0</v>
      </c>
      <c r="AQ872" s="3">
        <f t="shared" si="121"/>
        <v>0</v>
      </c>
      <c r="AR872" s="3">
        <f t="shared" si="122"/>
        <v>7.1271340827785892</v>
      </c>
      <c r="AS872" s="81">
        <f t="shared" si="123"/>
        <v>1</v>
      </c>
      <c r="AT872" s="81">
        <f t="shared" si="124"/>
        <v>0</v>
      </c>
    </row>
    <row r="873" spans="1:46" x14ac:dyDescent="0.25">
      <c r="L873" s="159"/>
      <c r="M873" s="159"/>
      <c r="N873" s="159"/>
      <c r="O873" s="159"/>
      <c r="P873" s="159"/>
      <c r="Q873" s="159"/>
      <c r="R873" s="159"/>
      <c r="S873" s="159"/>
      <c r="T873" s="159"/>
      <c r="U873" s="159"/>
      <c r="V873" s="159"/>
      <c r="W873" s="159"/>
      <c r="X873" s="159"/>
      <c r="Y873" s="159"/>
      <c r="Z873" s="159"/>
      <c r="AA873" s="159"/>
      <c r="AB873" s="159"/>
      <c r="AC873" s="159"/>
      <c r="AD873" s="207"/>
      <c r="AE873" s="200"/>
      <c r="AF873" s="200"/>
      <c r="AG873" s="200"/>
      <c r="AH873" s="200"/>
      <c r="AI873" s="200"/>
      <c r="AJ873" s="200"/>
    </row>
    <row r="874" spans="1:46" x14ac:dyDescent="0.25">
      <c r="L874" s="159"/>
      <c r="M874" s="159"/>
      <c r="N874" s="159"/>
      <c r="O874" s="159"/>
      <c r="P874" s="159"/>
      <c r="Q874" s="159"/>
      <c r="R874" s="159"/>
      <c r="S874" s="159"/>
      <c r="T874" s="159"/>
      <c r="U874" s="159"/>
      <c r="V874" s="159"/>
      <c r="W874" s="159"/>
      <c r="X874" s="159"/>
      <c r="Y874" s="159"/>
      <c r="Z874" s="159"/>
      <c r="AA874" s="159"/>
      <c r="AB874" s="159"/>
      <c r="AC874" s="159"/>
      <c r="AD874" s="207"/>
      <c r="AE874" s="200"/>
      <c r="AF874" s="200"/>
      <c r="AG874" s="200"/>
      <c r="AH874" s="200"/>
      <c r="AI874" s="200"/>
      <c r="AJ874" s="200"/>
    </row>
    <row r="875" spans="1:46" x14ac:dyDescent="0.25">
      <c r="L875" s="159"/>
      <c r="M875" s="159"/>
      <c r="N875" s="159"/>
      <c r="O875" s="159"/>
      <c r="P875" s="159"/>
      <c r="Q875" s="159"/>
      <c r="R875" s="159"/>
      <c r="S875" s="159"/>
      <c r="T875" s="159"/>
      <c r="U875" s="159"/>
      <c r="V875" s="159"/>
      <c r="W875" s="159"/>
      <c r="X875" s="159"/>
      <c r="Y875" s="159"/>
      <c r="Z875" s="159"/>
      <c r="AA875" s="159"/>
      <c r="AB875" s="159"/>
      <c r="AC875" s="159"/>
      <c r="AD875" s="207"/>
      <c r="AE875" s="200"/>
      <c r="AF875" s="200"/>
      <c r="AG875" s="200"/>
      <c r="AH875" s="200"/>
      <c r="AI875" s="200"/>
      <c r="AJ875" s="200"/>
    </row>
    <row r="876" spans="1:46" x14ac:dyDescent="0.25">
      <c r="L876" s="159"/>
      <c r="M876" s="159"/>
      <c r="N876" s="159"/>
      <c r="O876" s="159"/>
      <c r="P876" s="159"/>
      <c r="Q876" s="159"/>
      <c r="R876" s="159"/>
      <c r="S876" s="159"/>
      <c r="T876" s="159"/>
      <c r="U876" s="159"/>
      <c r="V876" s="159"/>
      <c r="W876" s="159"/>
      <c r="X876" s="159"/>
      <c r="Y876" s="159"/>
      <c r="Z876" s="159"/>
      <c r="AA876" s="159"/>
      <c r="AB876" s="159"/>
      <c r="AC876" s="159"/>
      <c r="AD876" s="207"/>
      <c r="AE876" s="200"/>
      <c r="AF876" s="200"/>
      <c r="AG876" s="200"/>
      <c r="AH876" s="200"/>
      <c r="AI876" s="200"/>
      <c r="AJ876" s="200"/>
    </row>
    <row r="877" spans="1:46" x14ac:dyDescent="0.25">
      <c r="L877" s="159"/>
      <c r="M877" s="159"/>
      <c r="N877" s="159"/>
      <c r="O877" s="159"/>
      <c r="P877" s="159"/>
      <c r="Q877" s="159"/>
      <c r="R877" s="159"/>
      <c r="S877" s="159"/>
      <c r="T877" s="159"/>
      <c r="U877" s="159"/>
      <c r="V877" s="159"/>
      <c r="W877" s="159"/>
      <c r="X877" s="159"/>
      <c r="Y877" s="159"/>
      <c r="Z877" s="159"/>
      <c r="AA877" s="159"/>
      <c r="AB877" s="159"/>
      <c r="AC877" s="159"/>
      <c r="AD877" s="207"/>
      <c r="AE877" s="200"/>
      <c r="AF877" s="200"/>
      <c r="AG877" s="200"/>
      <c r="AH877" s="200"/>
      <c r="AI877" s="200"/>
      <c r="AJ877" s="200"/>
    </row>
    <row r="878" spans="1:46" x14ac:dyDescent="0.25">
      <c r="L878" s="159"/>
      <c r="M878" s="159"/>
      <c r="N878" s="159"/>
      <c r="O878" s="159"/>
      <c r="P878" s="159"/>
      <c r="Q878" s="159"/>
      <c r="R878" s="159"/>
      <c r="S878" s="159"/>
      <c r="T878" s="159"/>
      <c r="U878" s="159"/>
      <c r="V878" s="159"/>
      <c r="W878" s="159"/>
      <c r="X878" s="159"/>
      <c r="Y878" s="159"/>
      <c r="Z878" s="159"/>
      <c r="AA878" s="159"/>
      <c r="AB878" s="159"/>
      <c r="AC878" s="159"/>
      <c r="AD878" s="207"/>
      <c r="AE878" s="200"/>
      <c r="AF878" s="200"/>
      <c r="AG878" s="200"/>
      <c r="AH878" s="200"/>
      <c r="AI878" s="200"/>
      <c r="AJ878" s="200"/>
    </row>
    <row r="879" spans="1:46" x14ac:dyDescent="0.25">
      <c r="L879" s="159"/>
      <c r="M879" s="159"/>
      <c r="N879" s="159"/>
      <c r="O879" s="159"/>
      <c r="P879" s="159"/>
      <c r="Q879" s="159"/>
      <c r="R879" s="159"/>
      <c r="S879" s="159"/>
      <c r="T879" s="159"/>
      <c r="U879" s="159"/>
      <c r="V879" s="159"/>
      <c r="W879" s="159"/>
      <c r="X879" s="159"/>
      <c r="Y879" s="159"/>
      <c r="Z879" s="159"/>
      <c r="AA879" s="159"/>
      <c r="AB879" s="159"/>
      <c r="AC879" s="159"/>
      <c r="AD879" s="207"/>
      <c r="AE879" s="200"/>
      <c r="AF879" s="200"/>
      <c r="AG879" s="200"/>
      <c r="AH879" s="200"/>
      <c r="AI879" s="200"/>
      <c r="AJ879" s="200"/>
    </row>
    <row r="880" spans="1:46" x14ac:dyDescent="0.25">
      <c r="L880" s="159"/>
      <c r="M880" s="159"/>
      <c r="N880" s="159"/>
      <c r="O880" s="159"/>
      <c r="P880" s="159"/>
      <c r="Q880" s="159"/>
      <c r="R880" s="159"/>
      <c r="S880" s="159"/>
      <c r="T880" s="159"/>
      <c r="U880" s="159"/>
      <c r="V880" s="159"/>
      <c r="W880" s="159"/>
      <c r="X880" s="159"/>
      <c r="Y880" s="159"/>
      <c r="Z880" s="159"/>
      <c r="AA880" s="159"/>
      <c r="AB880" s="159"/>
      <c r="AC880" s="159"/>
      <c r="AD880" s="207"/>
      <c r="AE880" s="200"/>
      <c r="AF880" s="200"/>
      <c r="AG880" s="200"/>
      <c r="AH880" s="200"/>
      <c r="AI880" s="200"/>
      <c r="AJ880" s="200"/>
    </row>
    <row r="881" spans="12:36" x14ac:dyDescent="0.25">
      <c r="L881" s="159"/>
      <c r="M881" s="159"/>
      <c r="N881" s="159"/>
      <c r="O881" s="159"/>
      <c r="P881" s="159"/>
      <c r="Q881" s="159"/>
      <c r="R881" s="159"/>
      <c r="S881" s="159"/>
      <c r="T881" s="159"/>
      <c r="U881" s="159"/>
      <c r="V881" s="159"/>
      <c r="W881" s="159"/>
      <c r="X881" s="159"/>
      <c r="Y881" s="159"/>
      <c r="Z881" s="159"/>
      <c r="AA881" s="159"/>
      <c r="AB881" s="159"/>
      <c r="AC881" s="159"/>
      <c r="AD881" s="207"/>
      <c r="AE881" s="200"/>
      <c r="AF881" s="200"/>
      <c r="AG881" s="200"/>
      <c r="AH881" s="200"/>
      <c r="AI881" s="200"/>
      <c r="AJ881" s="200"/>
    </row>
    <row r="882" spans="12:36" x14ac:dyDescent="0.25">
      <c r="L882" s="159"/>
      <c r="M882" s="159"/>
      <c r="N882" s="159"/>
      <c r="O882" s="159"/>
      <c r="P882" s="159"/>
      <c r="Q882" s="159"/>
      <c r="R882" s="159"/>
      <c r="S882" s="159"/>
      <c r="T882" s="159"/>
      <c r="U882" s="159"/>
      <c r="V882" s="159"/>
      <c r="W882" s="159"/>
      <c r="X882" s="159"/>
      <c r="Y882" s="159"/>
      <c r="Z882" s="159"/>
      <c r="AA882" s="159"/>
      <c r="AB882" s="159"/>
      <c r="AC882" s="159"/>
      <c r="AD882" s="207"/>
      <c r="AE882" s="200"/>
      <c r="AF882" s="200"/>
      <c r="AG882" s="200"/>
      <c r="AH882" s="200"/>
      <c r="AI882" s="200"/>
      <c r="AJ882" s="200"/>
    </row>
    <row r="883" spans="12:36" x14ac:dyDescent="0.25">
      <c r="L883" s="159"/>
      <c r="M883" s="159"/>
      <c r="N883" s="159"/>
      <c r="O883" s="159"/>
      <c r="P883" s="159"/>
      <c r="Q883" s="159"/>
      <c r="R883" s="159"/>
      <c r="S883" s="159"/>
      <c r="T883" s="159"/>
      <c r="U883" s="159"/>
      <c r="V883" s="159"/>
      <c r="W883" s="159"/>
      <c r="X883" s="159"/>
      <c r="Y883" s="159"/>
      <c r="Z883" s="159"/>
      <c r="AA883" s="159"/>
      <c r="AB883" s="159"/>
      <c r="AC883" s="159"/>
      <c r="AD883" s="207"/>
      <c r="AE883" s="200"/>
      <c r="AF883" s="200"/>
      <c r="AG883" s="200"/>
      <c r="AH883" s="200"/>
      <c r="AI883" s="200"/>
      <c r="AJ883" s="200"/>
    </row>
    <row r="884" spans="12:36" x14ac:dyDescent="0.25">
      <c r="L884" s="159"/>
      <c r="M884" s="159"/>
      <c r="N884" s="159"/>
      <c r="O884" s="159"/>
      <c r="P884" s="159"/>
      <c r="Q884" s="159"/>
      <c r="R884" s="159"/>
      <c r="S884" s="159"/>
      <c r="T884" s="159"/>
      <c r="U884" s="159"/>
      <c r="V884" s="159"/>
      <c r="W884" s="159"/>
      <c r="X884" s="159"/>
      <c r="Y884" s="159"/>
      <c r="Z884" s="159"/>
      <c r="AA884" s="159"/>
      <c r="AB884" s="159"/>
      <c r="AC884" s="159"/>
      <c r="AD884" s="207"/>
      <c r="AE884" s="200"/>
      <c r="AF884" s="200"/>
      <c r="AG884" s="200"/>
      <c r="AH884" s="200"/>
      <c r="AI884" s="200"/>
      <c r="AJ884" s="200"/>
    </row>
    <row r="885" spans="12:36" x14ac:dyDescent="0.25">
      <c r="L885" s="159"/>
      <c r="M885" s="159"/>
      <c r="N885" s="159"/>
      <c r="O885" s="159"/>
      <c r="P885" s="159"/>
      <c r="Q885" s="159"/>
      <c r="R885" s="159"/>
      <c r="S885" s="159"/>
      <c r="T885" s="159"/>
      <c r="U885" s="159"/>
      <c r="V885" s="159"/>
      <c r="W885" s="159"/>
      <c r="X885" s="159"/>
      <c r="Y885" s="159"/>
      <c r="Z885" s="159"/>
      <c r="AA885" s="159"/>
      <c r="AB885" s="159"/>
      <c r="AC885" s="159"/>
      <c r="AD885" s="207"/>
      <c r="AE885" s="200"/>
      <c r="AF885" s="200"/>
      <c r="AG885" s="200"/>
      <c r="AH885" s="200"/>
      <c r="AI885" s="200"/>
      <c r="AJ885" s="200"/>
    </row>
    <row r="886" spans="12:36" x14ac:dyDescent="0.25">
      <c r="L886" s="159"/>
      <c r="M886" s="159"/>
      <c r="N886" s="159"/>
      <c r="O886" s="159"/>
      <c r="P886" s="159"/>
      <c r="Q886" s="159"/>
      <c r="R886" s="159"/>
      <c r="S886" s="159"/>
      <c r="T886" s="159"/>
      <c r="U886" s="159"/>
      <c r="V886" s="159"/>
      <c r="W886" s="159"/>
      <c r="X886" s="159"/>
      <c r="Y886" s="159"/>
      <c r="Z886" s="159"/>
      <c r="AA886" s="159"/>
      <c r="AB886" s="159"/>
      <c r="AC886" s="159"/>
      <c r="AD886" s="207"/>
      <c r="AE886" s="200"/>
      <c r="AF886" s="200"/>
      <c r="AG886" s="200"/>
      <c r="AH886" s="200"/>
      <c r="AI886" s="200"/>
      <c r="AJ886" s="200"/>
    </row>
    <row r="887" spans="12:36" x14ac:dyDescent="0.25">
      <c r="L887" s="159"/>
      <c r="M887" s="159"/>
      <c r="N887" s="159"/>
      <c r="O887" s="159"/>
      <c r="P887" s="159"/>
      <c r="Q887" s="159"/>
      <c r="R887" s="159"/>
      <c r="S887" s="159"/>
      <c r="T887" s="159"/>
      <c r="U887" s="159"/>
      <c r="V887" s="159"/>
      <c r="W887" s="159"/>
      <c r="X887" s="159"/>
      <c r="Y887" s="159"/>
      <c r="Z887" s="159"/>
      <c r="AA887" s="159"/>
      <c r="AB887" s="159"/>
      <c r="AC887" s="159"/>
      <c r="AD887" s="207"/>
      <c r="AE887" s="200"/>
      <c r="AF887" s="200"/>
      <c r="AG887" s="200"/>
      <c r="AH887" s="200"/>
      <c r="AI887" s="200"/>
      <c r="AJ887" s="200"/>
    </row>
    <row r="888" spans="12:36" x14ac:dyDescent="0.25">
      <c r="L888" s="159"/>
      <c r="M888" s="159"/>
      <c r="N888" s="159"/>
      <c r="O888" s="159"/>
      <c r="P888" s="159"/>
      <c r="Q888" s="159"/>
      <c r="R888" s="159"/>
      <c r="S888" s="159"/>
      <c r="T888" s="159"/>
      <c r="U888" s="159"/>
      <c r="V888" s="159"/>
      <c r="W888" s="159"/>
      <c r="X888" s="159"/>
      <c r="Y888" s="159"/>
      <c r="Z888" s="159"/>
      <c r="AA888" s="159"/>
      <c r="AB888" s="159"/>
      <c r="AC888" s="159"/>
      <c r="AD888" s="207"/>
      <c r="AE888" s="200"/>
      <c r="AF888" s="200"/>
      <c r="AG888" s="200"/>
      <c r="AH888" s="200"/>
      <c r="AI888" s="200"/>
      <c r="AJ888" s="200"/>
    </row>
    <row r="889" spans="12:36" x14ac:dyDescent="0.25">
      <c r="L889" s="159"/>
      <c r="M889" s="159"/>
      <c r="N889" s="159"/>
      <c r="O889" s="159"/>
      <c r="P889" s="159"/>
      <c r="Q889" s="159"/>
      <c r="R889" s="159"/>
      <c r="S889" s="159"/>
      <c r="T889" s="159"/>
      <c r="U889" s="159"/>
      <c r="V889" s="159"/>
      <c r="W889" s="159"/>
      <c r="X889" s="159"/>
      <c r="Y889" s="159"/>
      <c r="Z889" s="159"/>
      <c r="AA889" s="159"/>
      <c r="AB889" s="159"/>
      <c r="AC889" s="159"/>
      <c r="AD889" s="207"/>
      <c r="AE889" s="200"/>
      <c r="AF889" s="200"/>
      <c r="AG889" s="200"/>
      <c r="AH889" s="200"/>
      <c r="AI889" s="200"/>
      <c r="AJ889" s="200"/>
    </row>
    <row r="890" spans="12:36" x14ac:dyDescent="0.25">
      <c r="L890" s="159"/>
      <c r="M890" s="159"/>
      <c r="N890" s="159"/>
      <c r="O890" s="159"/>
      <c r="P890" s="159"/>
      <c r="Q890" s="159"/>
      <c r="R890" s="159"/>
      <c r="S890" s="159"/>
      <c r="T890" s="159"/>
      <c r="U890" s="159"/>
      <c r="V890" s="159"/>
      <c r="W890" s="159"/>
      <c r="X890" s="159"/>
      <c r="Y890" s="159"/>
      <c r="Z890" s="159"/>
      <c r="AA890" s="159"/>
      <c r="AB890" s="159"/>
      <c r="AC890" s="159"/>
      <c r="AD890" s="207"/>
      <c r="AE890" s="200"/>
      <c r="AF890" s="200"/>
      <c r="AG890" s="200"/>
      <c r="AH890" s="200"/>
      <c r="AI890" s="200"/>
      <c r="AJ890" s="200"/>
    </row>
  </sheetData>
  <autoFilter ref="A2:AJ872" xr:uid="{34BA371F-A278-4520-B3B2-9004E5089B4C}"/>
  <mergeCells count="3">
    <mergeCell ref="L1:AD1"/>
    <mergeCell ref="AE1:AJ1"/>
    <mergeCell ref="AL1:AT1"/>
  </mergeCells>
  <hyperlinks>
    <hyperlink ref="A1" r:id="rId1" display="LINK TO SOURCE: 2022 DOE VTO/HFTO Transportation Decarbonization Analysis - Medium- and heavy-duty vehicles" xr:uid="{447623D8-F090-47DB-86F6-416423AD92BA}"/>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AEBC1-4498-4DF6-8BD1-F632C5DE07D0}">
  <sheetPr codeName="Sheet20">
    <tabColor theme="7" tint="0.59999389629810485"/>
    <pageSetUpPr autoPageBreaks="0"/>
  </sheetPr>
  <dimension ref="A1:EY324"/>
  <sheetViews>
    <sheetView workbookViewId="0">
      <selection sqref="A1:A2"/>
    </sheetView>
  </sheetViews>
  <sheetFormatPr defaultRowHeight="15" x14ac:dyDescent="0.25"/>
  <cols>
    <col min="1" max="1" width="52.7109375" customWidth="1"/>
    <col min="2" max="2" width="19" customWidth="1"/>
    <col min="3" max="3" width="17.140625" bestFit="1" customWidth="1"/>
    <col min="4" max="4" width="17.7109375" customWidth="1"/>
    <col min="5" max="5" width="17.140625" bestFit="1" customWidth="1"/>
    <col min="6" max="6" width="15.42578125" customWidth="1"/>
    <col min="7" max="7" width="16.42578125" bestFit="1" customWidth="1"/>
    <col min="8" max="8" width="11.85546875" bestFit="1" customWidth="1"/>
    <col min="9" max="9" width="12.85546875" customWidth="1"/>
    <col min="10" max="10" width="13.140625" bestFit="1" customWidth="1"/>
    <col min="11" max="11" width="12.85546875" bestFit="1" customWidth="1"/>
    <col min="12" max="12" width="15.42578125" bestFit="1" customWidth="1"/>
    <col min="13" max="13" width="12.85546875" bestFit="1" customWidth="1"/>
    <col min="14" max="14" width="12.28515625" bestFit="1" customWidth="1"/>
    <col min="15" max="15" width="21" customWidth="1"/>
    <col min="16" max="16" width="9.42578125" bestFit="1" customWidth="1"/>
    <col min="17" max="18" width="8.85546875" bestFit="1" customWidth="1"/>
    <col min="19" max="22" width="9.42578125" bestFit="1" customWidth="1"/>
    <col min="23" max="23" width="10.140625" customWidth="1"/>
    <col min="24" max="24" width="11.140625" bestFit="1" customWidth="1"/>
    <col min="26" max="26" width="23.85546875" bestFit="1" customWidth="1"/>
    <col min="27" max="27" width="26.28515625" bestFit="1" customWidth="1"/>
    <col min="28" max="30" width="12.28515625" customWidth="1"/>
    <col min="31" max="31" width="13.42578125" bestFit="1" customWidth="1"/>
    <col min="32" max="32" width="16.140625" bestFit="1" customWidth="1"/>
    <col min="33" max="33" width="12.28515625" bestFit="1" customWidth="1"/>
    <col min="34" max="34" width="13.5703125" bestFit="1" customWidth="1"/>
    <col min="35" max="35" width="14.42578125" bestFit="1" customWidth="1"/>
    <col min="36" max="37" width="12.28515625" bestFit="1" customWidth="1"/>
    <col min="38" max="38" width="12.85546875" bestFit="1" customWidth="1"/>
    <col min="39" max="40" width="12.28515625" bestFit="1" customWidth="1"/>
    <col min="44" max="44" width="11.140625" bestFit="1" customWidth="1"/>
    <col min="46" max="46" width="11.140625" bestFit="1" customWidth="1"/>
    <col min="55" max="55" width="9.5703125" customWidth="1"/>
    <col min="56" max="56" width="13.42578125" bestFit="1" customWidth="1"/>
    <col min="77" max="77" width="9.5703125" customWidth="1"/>
    <col min="78" max="78" width="11.140625" bestFit="1" customWidth="1"/>
  </cols>
  <sheetData>
    <row r="1" spans="1:24" ht="14.45" customHeight="1" x14ac:dyDescent="0.25">
      <c r="A1" s="934" t="s">
        <v>1369</v>
      </c>
      <c r="B1" s="498" t="s">
        <v>1370</v>
      </c>
      <c r="D1" s="930" t="s">
        <v>509</v>
      </c>
      <c r="E1" s="931"/>
      <c r="O1" s="846" t="s">
        <v>844</v>
      </c>
      <c r="P1" s="846"/>
      <c r="Q1" s="846"/>
      <c r="R1" s="846"/>
      <c r="S1" s="846"/>
      <c r="T1" s="846"/>
      <c r="U1" s="846"/>
      <c r="V1" s="846"/>
    </row>
    <row r="2" spans="1:24" ht="15.75" thickBot="1" x14ac:dyDescent="0.3">
      <c r="A2" s="935"/>
      <c r="B2" s="499" t="s">
        <v>1371</v>
      </c>
      <c r="D2" s="294" t="s">
        <v>506</v>
      </c>
      <c r="E2" s="295" t="s">
        <v>507</v>
      </c>
      <c r="O2" s="99" t="s">
        <v>505</v>
      </c>
      <c r="P2" s="99">
        <v>2020</v>
      </c>
      <c r="Q2" s="99">
        <v>2025</v>
      </c>
      <c r="R2" s="99">
        <v>2030</v>
      </c>
      <c r="S2" s="99">
        <v>2035</v>
      </c>
      <c r="T2" s="99">
        <v>2040</v>
      </c>
      <c r="U2" s="99">
        <v>2045</v>
      </c>
      <c r="V2" s="99">
        <v>2050</v>
      </c>
    </row>
    <row r="3" spans="1:24" ht="15.75" x14ac:dyDescent="0.25">
      <c r="A3" s="846" t="s">
        <v>860</v>
      </c>
      <c r="B3" s="846"/>
      <c r="C3" s="846"/>
      <c r="D3" s="846"/>
      <c r="E3" s="846"/>
      <c r="F3" s="846"/>
      <c r="G3" s="846"/>
      <c r="H3" s="846"/>
      <c r="I3" s="846"/>
      <c r="O3" s="26" t="s">
        <v>243</v>
      </c>
    </row>
    <row r="4" spans="1:24" s="112" customFormat="1" ht="68.45" customHeight="1" thickBot="1" x14ac:dyDescent="0.3">
      <c r="A4" s="99" t="s">
        <v>505</v>
      </c>
      <c r="B4" s="99" t="s">
        <v>883</v>
      </c>
      <c r="C4" s="99" t="s">
        <v>843</v>
      </c>
      <c r="D4" s="99" t="s">
        <v>511</v>
      </c>
      <c r="E4" s="99" t="s">
        <v>512</v>
      </c>
      <c r="F4" s="99" t="s">
        <v>513</v>
      </c>
      <c r="G4" s="99" t="s">
        <v>514</v>
      </c>
      <c r="H4" s="99" t="s">
        <v>515</v>
      </c>
      <c r="I4" s="99" t="s">
        <v>516</v>
      </c>
      <c r="J4" s="209" t="s">
        <v>824</v>
      </c>
      <c r="O4" s="15" t="s">
        <v>97</v>
      </c>
      <c r="P4" s="67">
        <f t="shared" ref="P4:P12" si="0">L_100km_to_mpg/C6</f>
        <v>40.61209547702245</v>
      </c>
      <c r="Q4" s="67">
        <f t="shared" ref="Q4:V4" si="1">L_100km_to_mpg/(D6*D7)</f>
        <v>38.060114093687815</v>
      </c>
      <c r="R4" s="67">
        <f t="shared" si="1"/>
        <v>35.790900425171763</v>
      </c>
      <c r="S4" s="67">
        <f t="shared" si="1"/>
        <v>34.082454577662048</v>
      </c>
      <c r="T4" s="67">
        <f t="shared" si="1"/>
        <v>33.177002912235466</v>
      </c>
      <c r="U4" s="67">
        <f t="shared" si="1"/>
        <v>32.318415595462831</v>
      </c>
      <c r="V4" s="67">
        <f t="shared" si="1"/>
        <v>31.503146004374564</v>
      </c>
      <c r="W4" s="209" t="s">
        <v>824</v>
      </c>
    </row>
    <row r="5" spans="1:24" ht="15.75" thickTop="1" x14ac:dyDescent="0.25">
      <c r="A5" s="26" t="s">
        <v>243</v>
      </c>
      <c r="B5" s="69"/>
      <c r="C5" s="67"/>
      <c r="D5" s="69"/>
      <c r="O5" s="15" t="s">
        <v>96</v>
      </c>
      <c r="P5" s="67">
        <f t="shared" si="0"/>
        <v>33.843412897518711</v>
      </c>
      <c r="Q5" s="67">
        <f t="shared" ref="Q5:V5" si="2">L_100km_to_mpg/D7</f>
        <v>31.716761744739848</v>
      </c>
      <c r="R5" s="67">
        <f t="shared" si="2"/>
        <v>29.825750354309807</v>
      </c>
      <c r="S5" s="67">
        <f t="shared" si="2"/>
        <v>28.402045481385041</v>
      </c>
      <c r="T5" s="67">
        <f t="shared" si="2"/>
        <v>27.647502426862893</v>
      </c>
      <c r="U5" s="67">
        <f t="shared" si="2"/>
        <v>26.932012996219026</v>
      </c>
      <c r="V5" s="67">
        <f t="shared" si="2"/>
        <v>26.252621670312138</v>
      </c>
    </row>
    <row r="6" spans="1:24" x14ac:dyDescent="0.25">
      <c r="A6" s="15" t="s">
        <v>97</v>
      </c>
      <c r="B6" s="67">
        <f>$B$7</f>
        <v>50</v>
      </c>
      <c r="C6" s="67">
        <f>C7/1.2</f>
        <v>5.791750375808812</v>
      </c>
      <c r="D6" s="210">
        <f>1/1.2</f>
        <v>0.83333333333333337</v>
      </c>
      <c r="E6" s="210">
        <f t="shared" ref="E6:I6" si="3">1/1.2</f>
        <v>0.83333333333333337</v>
      </c>
      <c r="F6" s="210">
        <f t="shared" si="3"/>
        <v>0.83333333333333337</v>
      </c>
      <c r="G6" s="210">
        <f t="shared" si="3"/>
        <v>0.83333333333333337</v>
      </c>
      <c r="H6" s="210">
        <f t="shared" si="3"/>
        <v>0.83333333333333337</v>
      </c>
      <c r="I6" s="210">
        <f t="shared" si="3"/>
        <v>0.83333333333333337</v>
      </c>
      <c r="O6" s="15" t="s">
        <v>223</v>
      </c>
      <c r="P6" s="67">
        <f t="shared" si="0"/>
        <v>40.61209547702245</v>
      </c>
      <c r="Q6" s="67">
        <f t="shared" ref="Q6:V12" si="4">L_100km_to_mpg/(D$7*D8)</f>
        <v>38.060114093687815</v>
      </c>
      <c r="R6" s="67">
        <f t="shared" si="4"/>
        <v>35.790900425171763</v>
      </c>
      <c r="S6" s="67">
        <f t="shared" si="4"/>
        <v>34.082454577662048</v>
      </c>
      <c r="T6" s="67">
        <f t="shared" si="4"/>
        <v>33.177002912235466</v>
      </c>
      <c r="U6" s="67">
        <f t="shared" si="4"/>
        <v>32.318415595462831</v>
      </c>
      <c r="V6" s="67">
        <f t="shared" si="4"/>
        <v>31.503146004374564</v>
      </c>
    </row>
    <row r="7" spans="1:24" x14ac:dyDescent="0.25">
      <c r="A7" s="211" t="s">
        <v>510</v>
      </c>
      <c r="B7" s="212">
        <v>50</v>
      </c>
      <c r="C7" s="212">
        <v>6.9501004509705746</v>
      </c>
      <c r="D7" s="212">
        <v>7.41611395054976</v>
      </c>
      <c r="E7" s="212">
        <v>7.8863101999859548</v>
      </c>
      <c r="F7" s="212">
        <v>8.2816260327302924</v>
      </c>
      <c r="G7" s="212">
        <f>($I7-$F7)/(4-1) + F7</f>
        <v>8.5076444016472248</v>
      </c>
      <c r="H7" s="212">
        <f>($I7-$F7)/(4-1) + G7</f>
        <v>8.7336627705641572</v>
      </c>
      <c r="I7" s="212">
        <v>8.9596811394810878</v>
      </c>
      <c r="J7" s="81">
        <f>(I7-C7)/C7</f>
        <v>0.2891441213960983</v>
      </c>
      <c r="O7" s="15" t="s">
        <v>224</v>
      </c>
      <c r="P7" s="67">
        <f t="shared" si="0"/>
        <v>39.815779879433777</v>
      </c>
      <c r="Q7" s="67">
        <f t="shared" si="4"/>
        <v>37.313837346752763</v>
      </c>
      <c r="R7" s="67">
        <f t="shared" si="4"/>
        <v>35.089118063893892</v>
      </c>
      <c r="S7" s="67">
        <f t="shared" si="4"/>
        <v>33.414171154570639</v>
      </c>
      <c r="T7" s="67">
        <f t="shared" si="4"/>
        <v>32.526473443368111</v>
      </c>
      <c r="U7" s="67">
        <f t="shared" si="4"/>
        <v>31.684721172022385</v>
      </c>
      <c r="V7" s="67">
        <f t="shared" si="4"/>
        <v>30.885437259190748</v>
      </c>
      <c r="W7" s="81">
        <f>(V5-P5)/P5</f>
        <v>-0.22429154087361872</v>
      </c>
    </row>
    <row r="8" spans="1:24" x14ac:dyDescent="0.25">
      <c r="A8" s="15" t="s">
        <v>223</v>
      </c>
      <c r="B8" s="67">
        <f t="shared" ref="B8:B14" si="5">$B$7</f>
        <v>50</v>
      </c>
      <c r="C8" s="67">
        <f>C6</f>
        <v>5.791750375808812</v>
      </c>
      <c r="D8" s="210">
        <f>D6</f>
        <v>0.83333333333333337</v>
      </c>
      <c r="E8" s="210">
        <f t="shared" ref="E8:I8" si="6">E6</f>
        <v>0.83333333333333337</v>
      </c>
      <c r="F8" s="210">
        <f t="shared" si="6"/>
        <v>0.83333333333333337</v>
      </c>
      <c r="G8" s="210">
        <f t="shared" si="6"/>
        <v>0.83333333333333337</v>
      </c>
      <c r="H8" s="210">
        <f t="shared" si="6"/>
        <v>0.83333333333333337</v>
      </c>
      <c r="I8" s="210">
        <f t="shared" si="6"/>
        <v>0.83333333333333337</v>
      </c>
      <c r="O8" s="15" t="s">
        <v>215</v>
      </c>
      <c r="P8" s="67">
        <f t="shared" si="0"/>
        <v>40.61209547702245</v>
      </c>
      <c r="Q8" s="67">
        <f t="shared" si="4"/>
        <v>37.313837346752763</v>
      </c>
      <c r="R8" s="67">
        <f t="shared" si="4"/>
        <v>35.089118063893892</v>
      </c>
      <c r="S8" s="67">
        <f t="shared" si="4"/>
        <v>33.414171154570639</v>
      </c>
      <c r="T8" s="67">
        <f t="shared" si="4"/>
        <v>32.526473443368111</v>
      </c>
      <c r="U8" s="67">
        <f t="shared" si="4"/>
        <v>31.684721172022385</v>
      </c>
      <c r="V8" s="67">
        <f t="shared" si="4"/>
        <v>30.885437259190748</v>
      </c>
    </row>
    <row r="9" spans="1:24" x14ac:dyDescent="0.25">
      <c r="A9" s="15" t="s">
        <v>224</v>
      </c>
      <c r="B9" s="67">
        <f t="shared" si="5"/>
        <v>50</v>
      </c>
      <c r="C9" s="67">
        <f>C7*0.85</f>
        <v>5.9075853833249878</v>
      </c>
      <c r="D9" s="210">
        <v>0.85</v>
      </c>
      <c r="E9" s="210">
        <v>0.85</v>
      </c>
      <c r="F9" s="210">
        <v>0.85</v>
      </c>
      <c r="G9" s="210">
        <v>0.85</v>
      </c>
      <c r="H9" s="210">
        <v>0.85</v>
      </c>
      <c r="I9" s="210">
        <v>0.85</v>
      </c>
      <c r="O9" s="15" t="s">
        <v>228</v>
      </c>
      <c r="P9" s="67">
        <f t="shared" si="0"/>
        <v>33.843412897518711</v>
      </c>
      <c r="Q9" s="67">
        <f t="shared" si="4"/>
        <v>31.716761744739848</v>
      </c>
      <c r="R9" s="67">
        <f t="shared" si="4"/>
        <v>29.825750354309807</v>
      </c>
      <c r="S9" s="67">
        <f t="shared" si="4"/>
        <v>28.402045481385041</v>
      </c>
      <c r="T9" s="67">
        <f t="shared" si="4"/>
        <v>27.647502426862893</v>
      </c>
      <c r="U9" s="67">
        <f t="shared" si="4"/>
        <v>26.932012996219026</v>
      </c>
      <c r="V9" s="67">
        <f t="shared" si="4"/>
        <v>26.252621670312138</v>
      </c>
    </row>
    <row r="10" spans="1:24" x14ac:dyDescent="0.25">
      <c r="A10" s="15" t="s">
        <v>215</v>
      </c>
      <c r="B10" s="67">
        <f t="shared" si="5"/>
        <v>50</v>
      </c>
      <c r="C10" s="67">
        <f>C6</f>
        <v>5.791750375808812</v>
      </c>
      <c r="D10" s="210">
        <v>0.85</v>
      </c>
      <c r="E10" s="210">
        <v>0.85</v>
      </c>
      <c r="F10" s="210">
        <v>0.85</v>
      </c>
      <c r="G10" s="210">
        <v>0.85</v>
      </c>
      <c r="H10" s="210">
        <v>0.85</v>
      </c>
      <c r="I10" s="210">
        <v>0.85</v>
      </c>
      <c r="O10" s="15" t="s">
        <v>508</v>
      </c>
      <c r="P10" s="67">
        <f t="shared" si="0"/>
        <v>25.256278281730378</v>
      </c>
      <c r="Q10" s="67">
        <f t="shared" si="4"/>
        <v>22.592387818597192</v>
      </c>
      <c r="R10" s="67">
        <f t="shared" si="4"/>
        <v>20.880953728194328</v>
      </c>
      <c r="S10" s="67">
        <f t="shared" si="4"/>
        <v>19.974868411923197</v>
      </c>
      <c r="T10" s="67">
        <f t="shared" si="4"/>
        <v>19.26561542536291</v>
      </c>
      <c r="U10" s="67">
        <f t="shared" si="4"/>
        <v>18.596238582720932</v>
      </c>
      <c r="V10" s="67">
        <f t="shared" si="4"/>
        <v>17.963636598445945</v>
      </c>
    </row>
    <row r="11" spans="1:24" x14ac:dyDescent="0.25">
      <c r="A11" s="15" t="s">
        <v>228</v>
      </c>
      <c r="B11" s="67">
        <f t="shared" si="5"/>
        <v>50</v>
      </c>
      <c r="C11" s="67">
        <f>C7</f>
        <v>6.9501004509705746</v>
      </c>
      <c r="D11" s="210">
        <v>1</v>
      </c>
      <c r="E11" s="210">
        <v>1</v>
      </c>
      <c r="F11" s="210">
        <v>1</v>
      </c>
      <c r="G11" s="210">
        <v>1</v>
      </c>
      <c r="H11" s="210">
        <v>1</v>
      </c>
      <c r="I11" s="210">
        <v>1</v>
      </c>
      <c r="O11" s="15" t="s">
        <v>230</v>
      </c>
      <c r="P11" s="67">
        <f t="shared" si="0"/>
        <v>8.8827855374064857</v>
      </c>
      <c r="Q11" s="67">
        <f t="shared" si="4"/>
        <v>7.8813066591880654</v>
      </c>
      <c r="R11" s="67">
        <f t="shared" si="4"/>
        <v>7.1366166286664985</v>
      </c>
      <c r="S11" s="67">
        <f t="shared" si="4"/>
        <v>6.6523104973890312</v>
      </c>
      <c r="T11" s="67">
        <f t="shared" si="4"/>
        <v>6.3759851474173113</v>
      </c>
      <c r="U11" s="67">
        <f t="shared" si="4"/>
        <v>6.1169010138896773</v>
      </c>
      <c r="V11" s="67">
        <f t="shared" si="4"/>
        <v>5.8736250571960884</v>
      </c>
    </row>
    <row r="12" spans="1:24" x14ac:dyDescent="0.25">
      <c r="A12" s="15" t="s">
        <v>508</v>
      </c>
      <c r="B12" s="67">
        <f t="shared" si="5"/>
        <v>50</v>
      </c>
      <c r="C12" s="67">
        <f>C7*1.34</f>
        <v>9.3131346043005703</v>
      </c>
      <c r="D12" s="213">
        <v>1.403869391735203</v>
      </c>
      <c r="E12" s="213">
        <v>1.42837107646275</v>
      </c>
      <c r="F12" s="213">
        <v>1.421888990489248</v>
      </c>
      <c r="G12" s="213">
        <f t="shared" ref="G12:H14" si="7">($I12-$F12)/(4-1) + F12</f>
        <v>1.4350697767207243</v>
      </c>
      <c r="H12" s="213">
        <f t="shared" si="7"/>
        <v>1.4482505629522007</v>
      </c>
      <c r="I12" s="213">
        <v>1.461431349183677</v>
      </c>
      <c r="O12" s="15" t="s">
        <v>496</v>
      </c>
      <c r="P12" s="67">
        <f t="shared" si="0"/>
        <v>16.270871585345532</v>
      </c>
      <c r="Q12" s="67">
        <f t="shared" si="4"/>
        <v>14.535268413559329</v>
      </c>
      <c r="R12" s="67">
        <f t="shared" si="4"/>
        <v>13.184866209534173</v>
      </c>
      <c r="S12" s="67">
        <f t="shared" si="4"/>
        <v>12.260117708666582</v>
      </c>
      <c r="T12" s="67">
        <f t="shared" si="4"/>
        <v>11.710757128802236</v>
      </c>
      <c r="U12" s="67">
        <f t="shared" si="4"/>
        <v>11.197845731256409</v>
      </c>
      <c r="V12" s="67">
        <f t="shared" si="4"/>
        <v>10.71820170574645</v>
      </c>
    </row>
    <row r="13" spans="1:24" x14ac:dyDescent="0.25">
      <c r="A13" s="15" t="s">
        <v>230</v>
      </c>
      <c r="B13" s="67">
        <f t="shared" si="5"/>
        <v>50</v>
      </c>
      <c r="C13" s="67">
        <f>C7*3.81</f>
        <v>26.479882718197889</v>
      </c>
      <c r="D13" s="210">
        <v>4.0243024559594183</v>
      </c>
      <c r="E13" s="210">
        <v>4.179256348800517</v>
      </c>
      <c r="F13" s="210">
        <v>4.2695008737990472</v>
      </c>
      <c r="G13" s="213">
        <f t="shared" si="7"/>
        <v>4.3361930411744964</v>
      </c>
      <c r="H13" s="213">
        <f t="shared" si="7"/>
        <v>4.4028852085499457</v>
      </c>
      <c r="I13" s="210">
        <v>4.4695773759253941</v>
      </c>
      <c r="O13" s="26" t="s">
        <v>265</v>
      </c>
    </row>
    <row r="14" spans="1:24" x14ac:dyDescent="0.25">
      <c r="A14" s="15" t="s">
        <v>496</v>
      </c>
      <c r="B14" s="67">
        <f t="shared" si="5"/>
        <v>50</v>
      </c>
      <c r="C14" s="67">
        <f>C7*2.08</f>
        <v>14.456208938018795</v>
      </c>
      <c r="D14" s="210">
        <v>2.1820554558973702</v>
      </c>
      <c r="E14" s="210">
        <v>2.2621200610092171</v>
      </c>
      <c r="F14" s="210">
        <v>2.3166209457604028</v>
      </c>
      <c r="G14" s="213">
        <f t="shared" si="7"/>
        <v>2.3608637872665583</v>
      </c>
      <c r="H14" s="213">
        <f t="shared" si="7"/>
        <v>2.4051066287727139</v>
      </c>
      <c r="I14" s="210">
        <v>2.449349470278869</v>
      </c>
      <c r="O14" s="15" t="s">
        <v>97</v>
      </c>
      <c r="P14" s="67">
        <f t="shared" ref="P14:P22" si="8">L_100km_to_mpg/C16</f>
        <v>44.637002730298704</v>
      </c>
      <c r="Q14" s="67">
        <f t="shared" ref="Q14:V14" si="9">L_100km_to_mpg/(D16*D17)</f>
        <v>41.891813945908098</v>
      </c>
      <c r="R14" s="67">
        <f t="shared" si="9"/>
        <v>39.686840546479907</v>
      </c>
      <c r="S14" s="67">
        <f t="shared" si="9"/>
        <v>38.190821277568112</v>
      </c>
      <c r="T14" s="67">
        <f t="shared" si="9"/>
        <v>36.908663198122213</v>
      </c>
      <c r="U14" s="67">
        <f t="shared" si="9"/>
        <v>35.709799025924603</v>
      </c>
      <c r="V14" s="67">
        <f t="shared" si="9"/>
        <v>34.586367473083897</v>
      </c>
    </row>
    <row r="15" spans="1:24" x14ac:dyDescent="0.25">
      <c r="A15" s="26" t="s">
        <v>265</v>
      </c>
      <c r="B15" s="67"/>
      <c r="C15" s="67"/>
      <c r="D15" s="67"/>
      <c r="O15" s="15" t="s">
        <v>96</v>
      </c>
      <c r="P15" s="67">
        <f t="shared" si="8"/>
        <v>37.197502275248922</v>
      </c>
      <c r="Q15" s="67">
        <f t="shared" ref="Q15:V15" si="10">L_100km_to_mpg/D17</f>
        <v>34.909844954923415</v>
      </c>
      <c r="R15" s="67">
        <f t="shared" si="10"/>
        <v>33.072367122066588</v>
      </c>
      <c r="S15" s="67">
        <f t="shared" si="10"/>
        <v>31.825684397973426</v>
      </c>
      <c r="T15" s="67">
        <f t="shared" si="10"/>
        <v>30.757219331768511</v>
      </c>
      <c r="U15" s="67">
        <f t="shared" si="10"/>
        <v>29.758165854937172</v>
      </c>
      <c r="V15" s="67">
        <f t="shared" si="10"/>
        <v>28.82197289423658</v>
      </c>
    </row>
    <row r="16" spans="1:24" x14ac:dyDescent="0.25">
      <c r="A16" s="15" t="s">
        <v>97</v>
      </c>
      <c r="B16" s="67">
        <f>$B$7</f>
        <v>50</v>
      </c>
      <c r="C16" s="67">
        <f>C17/1.2</f>
        <v>5.2695097084054172</v>
      </c>
      <c r="D16" s="210">
        <f>1/1.2</f>
        <v>0.83333333333333337</v>
      </c>
      <c r="E16" s="210">
        <f t="shared" ref="E16:I16" si="11">1/1.2</f>
        <v>0.83333333333333337</v>
      </c>
      <c r="F16" s="210">
        <f t="shared" si="11"/>
        <v>0.83333333333333337</v>
      </c>
      <c r="G16" s="210">
        <f t="shared" si="11"/>
        <v>0.83333333333333337</v>
      </c>
      <c r="H16" s="210">
        <f t="shared" si="11"/>
        <v>0.83333333333333337</v>
      </c>
      <c r="I16" s="210">
        <f t="shared" si="11"/>
        <v>0.83333333333333337</v>
      </c>
      <c r="O16" s="15" t="s">
        <v>223</v>
      </c>
      <c r="P16" s="67">
        <f t="shared" si="8"/>
        <v>44.637002730298704</v>
      </c>
      <c r="Q16" s="67">
        <f t="shared" ref="Q16:V22" si="12">L_100km_to_mpg/(D$17*D18)</f>
        <v>41.891813945908098</v>
      </c>
      <c r="R16" s="67">
        <f t="shared" si="12"/>
        <v>39.686840546479907</v>
      </c>
      <c r="S16" s="67">
        <f t="shared" si="12"/>
        <v>38.190821277568112</v>
      </c>
      <c r="T16" s="67">
        <f t="shared" si="12"/>
        <v>36.908663198122213</v>
      </c>
      <c r="U16" s="67">
        <f t="shared" si="12"/>
        <v>35.709799025924603</v>
      </c>
      <c r="V16" s="67">
        <f t="shared" si="12"/>
        <v>34.586367473083897</v>
      </c>
      <c r="X16" s="57"/>
    </row>
    <row r="17" spans="1:23" x14ac:dyDescent="0.25">
      <c r="A17" s="211" t="s">
        <v>510</v>
      </c>
      <c r="B17" s="212">
        <v>50</v>
      </c>
      <c r="C17" s="212">
        <v>6.3234116500865003</v>
      </c>
      <c r="D17" s="212">
        <v>6.7377875652310859</v>
      </c>
      <c r="E17" s="212">
        <v>7.1121343801389889</v>
      </c>
      <c r="F17" s="212">
        <v>7.3907324756983392</v>
      </c>
      <c r="G17" s="212">
        <f>($I17-$F17)/(4-1) + F17</f>
        <v>7.6474767339737761</v>
      </c>
      <c r="H17" s="212">
        <f>($I17-$F17)/(4-1) + G17</f>
        <v>7.904220992249213</v>
      </c>
      <c r="I17" s="212">
        <v>8.1609652505246508</v>
      </c>
      <c r="J17" s="81">
        <f>(I17-C17)/C17</f>
        <v>0.2905952833883611</v>
      </c>
      <c r="O17" s="15" t="s">
        <v>224</v>
      </c>
      <c r="P17" s="67">
        <f t="shared" si="8"/>
        <v>43.761767382645793</v>
      </c>
      <c r="Q17" s="67">
        <f t="shared" si="12"/>
        <v>41.070405829321665</v>
      </c>
      <c r="R17" s="67">
        <f t="shared" si="12"/>
        <v>38.908667202431282</v>
      </c>
      <c r="S17" s="67">
        <f t="shared" si="12"/>
        <v>37.44198164467462</v>
      </c>
      <c r="T17" s="67">
        <f t="shared" si="12"/>
        <v>36.184963919727664</v>
      </c>
      <c r="U17" s="67">
        <f t="shared" si="12"/>
        <v>35.009606888161379</v>
      </c>
      <c r="V17" s="67">
        <f t="shared" si="12"/>
        <v>33.908203404984214</v>
      </c>
      <c r="W17" s="81">
        <f>(V15-P15)/P15</f>
        <v>-0.22516375747587192</v>
      </c>
    </row>
    <row r="18" spans="1:23" x14ac:dyDescent="0.25">
      <c r="A18" s="15" t="s">
        <v>223</v>
      </c>
      <c r="B18" s="67">
        <f t="shared" ref="B18:B24" si="13">$B$7</f>
        <v>50</v>
      </c>
      <c r="C18" s="67">
        <f>C16</f>
        <v>5.2695097084054172</v>
      </c>
      <c r="D18" s="210">
        <f>D16</f>
        <v>0.83333333333333337</v>
      </c>
      <c r="E18" s="210">
        <f t="shared" ref="E18:I18" si="14">E16</f>
        <v>0.83333333333333337</v>
      </c>
      <c r="F18" s="210">
        <f t="shared" si="14"/>
        <v>0.83333333333333337</v>
      </c>
      <c r="G18" s="210">
        <f t="shared" si="14"/>
        <v>0.83333333333333337</v>
      </c>
      <c r="H18" s="210">
        <f t="shared" si="14"/>
        <v>0.83333333333333337</v>
      </c>
      <c r="I18" s="210">
        <f t="shared" si="14"/>
        <v>0.83333333333333337</v>
      </c>
      <c r="O18" s="15" t="s">
        <v>215</v>
      </c>
      <c r="P18" s="67">
        <f t="shared" si="8"/>
        <v>44.637002730298704</v>
      </c>
      <c r="Q18" s="67">
        <f t="shared" si="12"/>
        <v>41.070405829321665</v>
      </c>
      <c r="R18" s="67">
        <f t="shared" si="12"/>
        <v>38.908667202431282</v>
      </c>
      <c r="S18" s="67">
        <f t="shared" si="12"/>
        <v>37.44198164467462</v>
      </c>
      <c r="T18" s="67">
        <f t="shared" si="12"/>
        <v>36.184963919727664</v>
      </c>
      <c r="U18" s="67">
        <f t="shared" si="12"/>
        <v>35.009606888161379</v>
      </c>
      <c r="V18" s="67">
        <f t="shared" si="12"/>
        <v>33.908203404984214</v>
      </c>
    </row>
    <row r="19" spans="1:23" x14ac:dyDescent="0.25">
      <c r="A19" s="15" t="s">
        <v>224</v>
      </c>
      <c r="B19" s="67">
        <f t="shared" si="13"/>
        <v>50</v>
      </c>
      <c r="C19" s="67">
        <f>C17*0.85</f>
        <v>5.3748999025735253</v>
      </c>
      <c r="D19" s="210">
        <v>0.85</v>
      </c>
      <c r="E19" s="210">
        <v>0.85</v>
      </c>
      <c r="F19" s="210">
        <v>0.85</v>
      </c>
      <c r="G19" s="210">
        <v>0.85</v>
      </c>
      <c r="H19" s="210">
        <v>0.85</v>
      </c>
      <c r="I19" s="210">
        <v>0.85</v>
      </c>
      <c r="O19" s="15" t="s">
        <v>228</v>
      </c>
      <c r="P19" s="67">
        <f t="shared" si="8"/>
        <v>37.197502275248922</v>
      </c>
      <c r="Q19" s="67">
        <f t="shared" si="12"/>
        <v>34.909844954923415</v>
      </c>
      <c r="R19" s="67">
        <f t="shared" si="12"/>
        <v>33.072367122066588</v>
      </c>
      <c r="S19" s="67">
        <f t="shared" si="12"/>
        <v>31.825684397973426</v>
      </c>
      <c r="T19" s="67">
        <f t="shared" si="12"/>
        <v>30.757219331768511</v>
      </c>
      <c r="U19" s="67">
        <f t="shared" si="12"/>
        <v>29.758165854937172</v>
      </c>
      <c r="V19" s="67">
        <f t="shared" si="12"/>
        <v>28.82197289423658</v>
      </c>
    </row>
    <row r="20" spans="1:23" x14ac:dyDescent="0.25">
      <c r="A20" s="15" t="s">
        <v>215</v>
      </c>
      <c r="B20" s="67">
        <f t="shared" si="13"/>
        <v>50</v>
      </c>
      <c r="C20" s="67">
        <f>C16</f>
        <v>5.2695097084054172</v>
      </c>
      <c r="D20" s="210">
        <v>0.85</v>
      </c>
      <c r="E20" s="210">
        <v>0.85</v>
      </c>
      <c r="F20" s="210">
        <v>0.85</v>
      </c>
      <c r="G20" s="210">
        <v>0.85</v>
      </c>
      <c r="H20" s="210">
        <v>0.85</v>
      </c>
      <c r="I20" s="210">
        <v>0.85</v>
      </c>
      <c r="O20" s="15" t="s">
        <v>508</v>
      </c>
      <c r="P20" s="67">
        <f t="shared" si="8"/>
        <v>30.741737417561094</v>
      </c>
      <c r="Q20" s="67">
        <f t="shared" si="12"/>
        <v>27.807152332112111</v>
      </c>
      <c r="R20" s="67">
        <f t="shared" si="12"/>
        <v>26.465081539922345</v>
      </c>
      <c r="S20" s="67">
        <f t="shared" si="12"/>
        <v>26.325853102583995</v>
      </c>
      <c r="T20" s="67">
        <f t="shared" si="12"/>
        <v>25.105596196824802</v>
      </c>
      <c r="U20" s="67">
        <f t="shared" si="12"/>
        <v>23.973108221757947</v>
      </c>
      <c r="V20" s="67">
        <f t="shared" si="12"/>
        <v>22.919787494742852</v>
      </c>
    </row>
    <row r="21" spans="1:23" x14ac:dyDescent="0.25">
      <c r="A21" s="15" t="s">
        <v>228</v>
      </c>
      <c r="B21" s="67">
        <f t="shared" si="13"/>
        <v>50</v>
      </c>
      <c r="C21" s="67">
        <f>C17</f>
        <v>6.3234116500865003</v>
      </c>
      <c r="D21" s="210">
        <v>1</v>
      </c>
      <c r="E21" s="210">
        <v>1</v>
      </c>
      <c r="F21" s="210">
        <v>1</v>
      </c>
      <c r="G21" s="210">
        <v>1</v>
      </c>
      <c r="H21" s="210">
        <v>1</v>
      </c>
      <c r="I21" s="210">
        <v>1</v>
      </c>
      <c r="O21" s="15" t="s">
        <v>230</v>
      </c>
      <c r="P21" s="67">
        <f t="shared" si="8"/>
        <v>12.48238331384192</v>
      </c>
      <c r="Q21" s="67">
        <f t="shared" si="12"/>
        <v>11.082753942403837</v>
      </c>
      <c r="R21" s="67">
        <f t="shared" si="12"/>
        <v>10.037637843740811</v>
      </c>
      <c r="S21" s="67">
        <f t="shared" si="12"/>
        <v>9.352711588856117</v>
      </c>
      <c r="T21" s="67">
        <f t="shared" si="12"/>
        <v>8.9896216990735933</v>
      </c>
      <c r="U21" s="67">
        <f t="shared" si="12"/>
        <v>8.6506327792317546</v>
      </c>
      <c r="V21" s="67">
        <f t="shared" si="12"/>
        <v>8.3334621635990231</v>
      </c>
    </row>
    <row r="22" spans="1:23" x14ac:dyDescent="0.25">
      <c r="A22" s="15" t="s">
        <v>508</v>
      </c>
      <c r="B22" s="67">
        <f t="shared" si="13"/>
        <v>50</v>
      </c>
      <c r="C22" s="67">
        <f>C17*1.21</f>
        <v>7.6513280966046651</v>
      </c>
      <c r="D22" s="213">
        <v>1.255426824652196</v>
      </c>
      <c r="E22" s="213">
        <v>1.24966050348937</v>
      </c>
      <c r="F22" s="213">
        <v>1.208913696887931</v>
      </c>
      <c r="G22" s="213">
        <f t="shared" ref="G22:H24" si="15">($I22-$F22)/(4-1) + F22</f>
        <v>1.2251140777791403</v>
      </c>
      <c r="H22" s="213">
        <f t="shared" si="15"/>
        <v>1.2413144586703495</v>
      </c>
      <c r="I22" s="213">
        <v>1.257514839561559</v>
      </c>
      <c r="O22" s="15" t="s">
        <v>496</v>
      </c>
      <c r="P22" s="67">
        <f t="shared" si="8"/>
        <v>22.141370401933884</v>
      </c>
      <c r="Q22" s="67">
        <f t="shared" si="12"/>
        <v>19.965335302367844</v>
      </c>
      <c r="R22" s="67">
        <f t="shared" si="12"/>
        <v>18.185810912032359</v>
      </c>
      <c r="S22" s="67">
        <f t="shared" si="12"/>
        <v>16.960740032938304</v>
      </c>
      <c r="T22" s="67">
        <f t="shared" si="12"/>
        <v>16.229144513466988</v>
      </c>
      <c r="U22" s="67">
        <f t="shared" si="12"/>
        <v>15.548150976340343</v>
      </c>
      <c r="V22" s="67">
        <f t="shared" si="12"/>
        <v>14.912896919701701</v>
      </c>
    </row>
    <row r="23" spans="1:23" x14ac:dyDescent="0.25">
      <c r="A23" s="15" t="s">
        <v>230</v>
      </c>
      <c r="B23" s="67">
        <f t="shared" si="13"/>
        <v>50</v>
      </c>
      <c r="C23" s="67">
        <f>C17*2.98</f>
        <v>18.843766717257772</v>
      </c>
      <c r="D23" s="210">
        <v>3.149925112146946</v>
      </c>
      <c r="E23" s="210">
        <v>3.2948356612297571</v>
      </c>
      <c r="F23" s="210">
        <v>3.4028296602125701</v>
      </c>
      <c r="G23" s="213">
        <f t="shared" si="15"/>
        <v>3.421414199769734</v>
      </c>
      <c r="H23" s="213">
        <f t="shared" si="15"/>
        <v>3.439998739326898</v>
      </c>
      <c r="I23" s="210">
        <v>3.458583278884062</v>
      </c>
      <c r="O23" s="26" t="s">
        <v>845</v>
      </c>
    </row>
    <row r="24" spans="1:23" x14ac:dyDescent="0.25">
      <c r="A24" s="15" t="s">
        <v>496</v>
      </c>
      <c r="B24" s="67">
        <f t="shared" si="13"/>
        <v>50</v>
      </c>
      <c r="C24" s="67">
        <f>C17*1.68</f>
        <v>10.62333157214532</v>
      </c>
      <c r="D24" s="210">
        <v>1.748522848538546</v>
      </c>
      <c r="E24" s="210">
        <v>1.81858083106895</v>
      </c>
      <c r="F24" s="210">
        <v>1.876432533967676</v>
      </c>
      <c r="G24" s="213">
        <f t="shared" si="15"/>
        <v>1.895184265951054</v>
      </c>
      <c r="H24" s="213">
        <f t="shared" si="15"/>
        <v>1.9139359979344321</v>
      </c>
      <c r="I24" s="210">
        <v>1.93268772991781</v>
      </c>
      <c r="O24" s="15" t="s">
        <v>97</v>
      </c>
      <c r="P24" s="67">
        <f>L_100km_to_mpg/C26</f>
        <v>40.322591869959105</v>
      </c>
      <c r="Q24" s="67">
        <f t="shared" ref="Q24:V24" si="16">Q$25/D16</f>
        <v>37.84274062125877</v>
      </c>
      <c r="R24" s="67">
        <f t="shared" si="16"/>
        <v>35.850889980962336</v>
      </c>
      <c r="S24" s="67">
        <f t="shared" si="16"/>
        <v>34.499469170420795</v>
      </c>
      <c r="T24" s="67">
        <f t="shared" si="16"/>
        <v>33.341238693732123</v>
      </c>
      <c r="U24" s="67">
        <f t="shared" si="16"/>
        <v>32.258251311825603</v>
      </c>
      <c r="V24" s="67">
        <f t="shared" si="16"/>
        <v>31.243405573353073</v>
      </c>
    </row>
    <row r="25" spans="1:23" x14ac:dyDescent="0.25">
      <c r="A25" s="26" t="s">
        <v>244</v>
      </c>
      <c r="B25" s="67"/>
      <c r="C25" s="67"/>
      <c r="D25" s="67"/>
      <c r="O25" s="15" t="s">
        <v>96</v>
      </c>
      <c r="P25" s="67">
        <f t="shared" ref="P25:V25" si="17">L_100km_to_mpg/(C27*(C17/$C$17))</f>
        <v>33.602159891632589</v>
      </c>
      <c r="Q25" s="67">
        <f t="shared" si="17"/>
        <v>31.535617184382311</v>
      </c>
      <c r="R25" s="67">
        <f t="shared" si="17"/>
        <v>29.875741650801945</v>
      </c>
      <c r="S25" s="67">
        <f t="shared" si="17"/>
        <v>28.749557642017333</v>
      </c>
      <c r="T25" s="67">
        <f t="shared" si="17"/>
        <v>27.784365578110105</v>
      </c>
      <c r="U25" s="67">
        <f t="shared" si="17"/>
        <v>26.881876093188001</v>
      </c>
      <c r="V25" s="67">
        <f t="shared" si="17"/>
        <v>26.036171311127561</v>
      </c>
    </row>
    <row r="26" spans="1:23" x14ac:dyDescent="0.25">
      <c r="A26" s="15" t="s">
        <v>97</v>
      </c>
      <c r="B26" s="67">
        <f>$B$27</f>
        <v>34.4</v>
      </c>
      <c r="C26" s="214">
        <f t="shared" ref="C26" si="18">C27/1.2</f>
        <v>5.8333333333333339</v>
      </c>
      <c r="D26" s="210">
        <f>1/1.2</f>
        <v>0.83333333333333337</v>
      </c>
      <c r="E26" s="210">
        <f t="shared" ref="E26:I26" si="19">1/1.2</f>
        <v>0.83333333333333337</v>
      </c>
      <c r="F26" s="210">
        <f t="shared" si="19"/>
        <v>0.83333333333333337</v>
      </c>
      <c r="G26" s="210">
        <f t="shared" si="19"/>
        <v>0.83333333333333337</v>
      </c>
      <c r="H26" s="210">
        <f t="shared" si="19"/>
        <v>0.83333333333333337</v>
      </c>
      <c r="I26" s="210">
        <f t="shared" si="19"/>
        <v>0.83333333333333337</v>
      </c>
      <c r="O26" s="15" t="s">
        <v>224</v>
      </c>
      <c r="P26" s="67">
        <f>L_100km_to_mpg/C28</f>
        <v>37.335733212925106</v>
      </c>
      <c r="Q26" s="67">
        <f t="shared" ref="Q26:V26" si="20">Q$25/D19</f>
        <v>37.100726099273309</v>
      </c>
      <c r="R26" s="67">
        <f t="shared" si="20"/>
        <v>35.147931353884644</v>
      </c>
      <c r="S26" s="67">
        <f t="shared" si="20"/>
        <v>33.823008990608628</v>
      </c>
      <c r="T26" s="67">
        <f t="shared" si="20"/>
        <v>32.687488915423657</v>
      </c>
      <c r="U26" s="67">
        <f t="shared" si="20"/>
        <v>31.625736580221179</v>
      </c>
      <c r="V26" s="67">
        <f t="shared" si="20"/>
        <v>30.63078977779713</v>
      </c>
      <c r="W26" s="57"/>
    </row>
    <row r="27" spans="1:23" x14ac:dyDescent="0.25">
      <c r="A27" s="211" t="s">
        <v>510</v>
      </c>
      <c r="B27" s="212">
        <v>34.4</v>
      </c>
      <c r="C27" s="212">
        <v>7</v>
      </c>
      <c r="D27" s="212">
        <v>7</v>
      </c>
      <c r="E27" s="212">
        <v>7</v>
      </c>
      <c r="F27" s="212">
        <v>7</v>
      </c>
      <c r="G27" s="212">
        <v>7</v>
      </c>
      <c r="H27" s="212">
        <v>7</v>
      </c>
      <c r="I27" s="212">
        <v>7</v>
      </c>
      <c r="J27" s="81">
        <f>(I27-C27)/C27</f>
        <v>0</v>
      </c>
      <c r="O27" s="15" t="s">
        <v>228</v>
      </c>
      <c r="P27" s="67">
        <f>L_100km_to_mpg/C29</f>
        <v>33.602159891632589</v>
      </c>
      <c r="Q27" s="67">
        <f t="shared" ref="Q27:V30" si="21">Q$25/D21</f>
        <v>31.535617184382311</v>
      </c>
      <c r="R27" s="67">
        <f t="shared" si="21"/>
        <v>29.875741650801945</v>
      </c>
      <c r="S27" s="67">
        <f t="shared" si="21"/>
        <v>28.749557642017333</v>
      </c>
      <c r="T27" s="67">
        <f t="shared" si="21"/>
        <v>27.784365578110105</v>
      </c>
      <c r="U27" s="67">
        <f t="shared" si="21"/>
        <v>26.881876093188001</v>
      </c>
      <c r="V27" s="67">
        <f t="shared" si="21"/>
        <v>26.036171311127561</v>
      </c>
      <c r="W27" s="81">
        <f>(V25-P25)/P25</f>
        <v>-0.22516375747587183</v>
      </c>
    </row>
    <row r="28" spans="1:23" x14ac:dyDescent="0.25">
      <c r="A28" s="15" t="s">
        <v>224</v>
      </c>
      <c r="B28" s="67">
        <f t="shared" ref="B28:B29" si="22">$B$27</f>
        <v>34.4</v>
      </c>
      <c r="C28" s="67">
        <f>C27*0.9</f>
        <v>6.3</v>
      </c>
      <c r="D28" s="210">
        <v>0.9</v>
      </c>
      <c r="E28" s="210">
        <v>0.9</v>
      </c>
      <c r="F28" s="210">
        <v>0.9</v>
      </c>
      <c r="G28" s="210">
        <v>0.9</v>
      </c>
      <c r="H28" s="210">
        <v>0.9</v>
      </c>
      <c r="I28" s="210">
        <v>0.9</v>
      </c>
      <c r="O28" s="15" t="s">
        <v>508</v>
      </c>
      <c r="P28" s="67">
        <f>L_100km_to_mpg/(C27*1.21)</f>
        <v>27.770380075729417</v>
      </c>
      <c r="Q28" s="67">
        <f t="shared" si="21"/>
        <v>25.119438716086819</v>
      </c>
      <c r="R28" s="67">
        <f t="shared" si="21"/>
        <v>23.907086418576306</v>
      </c>
      <c r="S28" s="67">
        <f t="shared" si="21"/>
        <v>23.781315172477925</v>
      </c>
      <c r="T28" s="67">
        <f t="shared" si="21"/>
        <v>22.679002781909901</v>
      </c>
      <c r="U28" s="67">
        <f t="shared" si="21"/>
        <v>21.655975974035524</v>
      </c>
      <c r="V28" s="67">
        <f t="shared" si="21"/>
        <v>20.704464465966261</v>
      </c>
      <c r="W28" s="69"/>
    </row>
    <row r="29" spans="1:23" x14ac:dyDescent="0.25">
      <c r="A29" s="15" t="s">
        <v>228</v>
      </c>
      <c r="B29" s="67">
        <f t="shared" si="22"/>
        <v>34.4</v>
      </c>
      <c r="C29" s="67">
        <f>C27</f>
        <v>7</v>
      </c>
      <c r="D29" s="210">
        <v>1</v>
      </c>
      <c r="E29" s="210">
        <v>1</v>
      </c>
      <c r="F29" s="210">
        <v>1</v>
      </c>
      <c r="G29" s="210">
        <v>1</v>
      </c>
      <c r="H29" s="210">
        <v>1</v>
      </c>
      <c r="I29" s="210">
        <v>1</v>
      </c>
      <c r="O29" s="15" t="s">
        <v>230</v>
      </c>
      <c r="P29" s="67">
        <f>L_100km_to_mpg/(C27*2.98)</f>
        <v>11.275892581084763</v>
      </c>
      <c r="Q29" s="67">
        <f t="shared" si="21"/>
        <v>10.011545056348361</v>
      </c>
      <c r="R29" s="67">
        <f t="shared" si="21"/>
        <v>9.0674451543513985</v>
      </c>
      <c r="S29" s="67">
        <f t="shared" si="21"/>
        <v>8.4487207744102566</v>
      </c>
      <c r="T29" s="67">
        <f t="shared" si="21"/>
        <v>8.120725511684622</v>
      </c>
      <c r="U29" s="67">
        <f t="shared" si="21"/>
        <v>7.8145017281163183</v>
      </c>
      <c r="V29" s="67">
        <f t="shared" si="21"/>
        <v>7.5279873901224459</v>
      </c>
    </row>
    <row r="30" spans="1:23" x14ac:dyDescent="0.25">
      <c r="O30" s="15" t="s">
        <v>496</v>
      </c>
      <c r="P30" s="69">
        <f>L_100km_to_mpg/(C27*1.68)</f>
        <v>20.001285649781305</v>
      </c>
      <c r="Q30" s="67">
        <f t="shared" si="21"/>
        <v>18.035576264125158</v>
      </c>
      <c r="R30" s="67">
        <f t="shared" si="21"/>
        <v>16.428052655345091</v>
      </c>
      <c r="S30" s="67">
        <f t="shared" si="21"/>
        <v>15.321391588338653</v>
      </c>
      <c r="T30" s="67">
        <f t="shared" si="21"/>
        <v>14.66050878391351</v>
      </c>
      <c r="U30" s="67">
        <f t="shared" si="21"/>
        <v>14.045337003013476</v>
      </c>
      <c r="V30" s="67">
        <f t="shared" si="21"/>
        <v>13.471483731225831</v>
      </c>
    </row>
    <row r="31" spans="1:23" ht="15.75" x14ac:dyDescent="0.25">
      <c r="A31" s="846" t="s">
        <v>853</v>
      </c>
      <c r="B31" s="846"/>
      <c r="C31" s="846"/>
      <c r="D31" s="846"/>
      <c r="E31" s="846"/>
      <c r="F31" s="846"/>
      <c r="G31" s="846"/>
      <c r="H31" s="846"/>
      <c r="I31" s="846"/>
      <c r="J31" s="846"/>
      <c r="K31" s="846"/>
      <c r="L31" s="846"/>
      <c r="M31" s="846"/>
      <c r="O31" s="73" t="s">
        <v>846</v>
      </c>
    </row>
    <row r="32" spans="1:23" ht="45.75" thickBot="1" x14ac:dyDescent="0.3">
      <c r="A32" s="99" t="s">
        <v>505</v>
      </c>
      <c r="B32" s="99" t="s">
        <v>541</v>
      </c>
      <c r="C32" s="99" t="s">
        <v>552</v>
      </c>
      <c r="D32" s="99" t="s">
        <v>553</v>
      </c>
      <c r="E32" s="99" t="s">
        <v>554</v>
      </c>
      <c r="F32" s="99" t="s">
        <v>555</v>
      </c>
      <c r="G32" s="99" t="s">
        <v>556</v>
      </c>
      <c r="H32" s="99" t="s">
        <v>557</v>
      </c>
      <c r="I32" s="99" t="s">
        <v>558</v>
      </c>
      <c r="J32" s="99" t="s">
        <v>559</v>
      </c>
      <c r="K32" s="99" t="s">
        <v>560</v>
      </c>
      <c r="L32" s="99" t="s">
        <v>561</v>
      </c>
      <c r="M32" s="99" t="s">
        <v>562</v>
      </c>
    </row>
    <row r="33" spans="1:13" ht="15.75" thickTop="1" x14ac:dyDescent="0.25">
      <c r="A33" s="26" t="s">
        <v>539</v>
      </c>
    </row>
    <row r="34" spans="1:13" x14ac:dyDescent="0.25">
      <c r="A34" s="153" t="s">
        <v>563</v>
      </c>
      <c r="B34" s="84">
        <f t="shared" ref="B34:M34" si="23">AVERAGE(B35:B40)</f>
        <v>20.962593088704711</v>
      </c>
      <c r="C34" s="152">
        <f t="shared" si="23"/>
        <v>1.8406130121523389E-6</v>
      </c>
      <c r="D34" s="152">
        <f t="shared" si="23"/>
        <v>3.6110985043659239E-6</v>
      </c>
      <c r="E34" s="152">
        <f t="shared" si="23"/>
        <v>1.4262974925156751</v>
      </c>
      <c r="F34" s="152">
        <f t="shared" si="23"/>
        <v>1.4340029639751772</v>
      </c>
      <c r="G34" s="152">
        <f t="shared" si="23"/>
        <v>6.4280054694787741E-4</v>
      </c>
      <c r="H34" s="152">
        <f t="shared" si="23"/>
        <v>3.6285940864182673E-3</v>
      </c>
      <c r="I34" s="152">
        <f t="shared" si="23"/>
        <v>4.8681733123076528E-3</v>
      </c>
      <c r="J34" s="152">
        <f t="shared" si="23"/>
        <v>6.063364793358006E-5</v>
      </c>
      <c r="K34" s="152">
        <f t="shared" si="23"/>
        <v>6.3518600588230683E-4</v>
      </c>
      <c r="L34" s="152">
        <f t="shared" si="23"/>
        <v>1.9085015241146064E-5</v>
      </c>
      <c r="M34" s="152">
        <f t="shared" si="23"/>
        <v>1.8270053372069723E-5</v>
      </c>
    </row>
    <row r="35" spans="1:13" x14ac:dyDescent="0.25">
      <c r="A35" s="15" t="s">
        <v>542</v>
      </c>
      <c r="B35" s="69">
        <v>14.871962813523968</v>
      </c>
      <c r="C35" s="151">
        <v>1.1340628679880768E-6</v>
      </c>
      <c r="D35" s="151">
        <v>2.2249178395516701E-6</v>
      </c>
      <c r="E35" s="151">
        <v>1.0156783047014437</v>
      </c>
      <c r="F35" s="151">
        <v>1.0173573739760928</v>
      </c>
      <c r="G35" s="151">
        <v>1.1750267782161267E-4</v>
      </c>
      <c r="H35" s="151">
        <v>8.3545165164258025E-4</v>
      </c>
      <c r="I35" s="151">
        <v>3.180569449818278E-3</v>
      </c>
      <c r="J35" s="151">
        <v>3.7405581184527918E-5</v>
      </c>
      <c r="K35" s="151">
        <v>4.5063426166691789E-4</v>
      </c>
      <c r="L35" s="151">
        <v>1.1754987919399263E-5</v>
      </c>
      <c r="M35" s="151">
        <v>1.1288940801765141E-5</v>
      </c>
    </row>
    <row r="36" spans="1:13" x14ac:dyDescent="0.25">
      <c r="A36" s="15" t="s">
        <v>543</v>
      </c>
      <c r="B36" s="69">
        <v>13.637208442956041</v>
      </c>
      <c r="C36" s="151">
        <v>3.9714370718596849E-7</v>
      </c>
      <c r="D36" s="151">
        <v>7.7915620370442821E-7</v>
      </c>
      <c r="E36" s="151">
        <v>0.9319936673054624</v>
      </c>
      <c r="F36" s="151">
        <v>0.93289238491932314</v>
      </c>
      <c r="G36" s="151">
        <v>4.7745374830266195E-5</v>
      </c>
      <c r="H36" s="151">
        <v>4.7721621540711525E-4</v>
      </c>
      <c r="I36" s="151">
        <v>2.5806373018207401E-3</v>
      </c>
      <c r="J36" s="151">
        <v>3.253522946815576E-5</v>
      </c>
      <c r="K36" s="151">
        <v>4.1322005944642218E-4</v>
      </c>
      <c r="L36" s="151">
        <v>1.0195939681760136E-5</v>
      </c>
      <c r="M36" s="151">
        <v>9.8463133532116953E-6</v>
      </c>
    </row>
    <row r="37" spans="1:13" x14ac:dyDescent="0.25">
      <c r="A37" s="15" t="s">
        <v>544</v>
      </c>
      <c r="B37" s="69">
        <v>12.802610939424167</v>
      </c>
      <c r="C37" s="151">
        <v>3.6003170315941283E-7</v>
      </c>
      <c r="D37" s="151">
        <v>7.0634616631497967E-7</v>
      </c>
      <c r="E37" s="151">
        <v>0.87531296239544942</v>
      </c>
      <c r="F37" s="151">
        <v>0.87579938245553768</v>
      </c>
      <c r="G37" s="151">
        <v>2.9036657606276607E-5</v>
      </c>
      <c r="H37" s="151">
        <v>2.5195066731884572E-4</v>
      </c>
      <c r="I37" s="151">
        <v>2.8702591075347741E-3</v>
      </c>
      <c r="J37" s="151">
        <v>2.8212286386145894E-5</v>
      </c>
      <c r="K37" s="151">
        <v>3.8793098129924377E-4</v>
      </c>
      <c r="L37" s="151">
        <v>8.839460379913914E-6</v>
      </c>
      <c r="M37" s="151">
        <v>8.5397086891097469E-6</v>
      </c>
    </row>
    <row r="38" spans="1:13" x14ac:dyDescent="0.25">
      <c r="A38" s="15" t="s">
        <v>545</v>
      </c>
      <c r="B38" s="69">
        <v>14.26355406200129</v>
      </c>
      <c r="C38" s="151">
        <v>6.3882025943789797E-7</v>
      </c>
      <c r="D38" s="151">
        <v>1.2533014100108502E-6</v>
      </c>
      <c r="E38" s="151">
        <v>0.97512188369431119</v>
      </c>
      <c r="F38" s="151">
        <v>0.97573874027182805</v>
      </c>
      <c r="G38" s="151">
        <v>4.6521305872631352E-5</v>
      </c>
      <c r="H38" s="151">
        <v>3.0027783813604852E-4</v>
      </c>
      <c r="I38" s="151">
        <v>2.5633301145168179E-3</v>
      </c>
      <c r="J38" s="151">
        <v>2.9473150008089426E-5</v>
      </c>
      <c r="K38" s="151">
        <v>4.3219891241464607E-4</v>
      </c>
      <c r="L38" s="151">
        <v>9.2476157290991528E-6</v>
      </c>
      <c r="M38" s="151">
        <v>8.9088455548424759E-6</v>
      </c>
    </row>
    <row r="39" spans="1:13" x14ac:dyDescent="0.25">
      <c r="A39" s="15" t="s">
        <v>546</v>
      </c>
      <c r="B39" s="69">
        <v>27.227685426737111</v>
      </c>
      <c r="C39" s="151">
        <v>2.5767515212977595E-6</v>
      </c>
      <c r="D39" s="151">
        <v>5.0553285797975418E-6</v>
      </c>
      <c r="E39" s="151">
        <v>1.8587914408430459</v>
      </c>
      <c r="F39" s="151">
        <v>1.8625830647268018</v>
      </c>
      <c r="G39" s="151">
        <v>1.7203429306633365E-4</v>
      </c>
      <c r="H39" s="151">
        <v>2.0716502144751663E-3</v>
      </c>
      <c r="I39" s="151">
        <v>4.0799683379374773E-3</v>
      </c>
      <c r="J39" s="151">
        <v>5.8490689562685121E-5</v>
      </c>
      <c r="K39" s="151">
        <v>8.2502411235315742E-4</v>
      </c>
      <c r="L39" s="151">
        <v>1.838376200474861E-5</v>
      </c>
      <c r="M39" s="151">
        <v>1.7649888373493343E-5</v>
      </c>
    </row>
    <row r="40" spans="1:13" x14ac:dyDescent="0.25">
      <c r="A40" s="15" t="s">
        <v>547</v>
      </c>
      <c r="B40" s="69">
        <v>42.972536847585708</v>
      </c>
      <c r="C40" s="151">
        <v>5.9368680138449185E-6</v>
      </c>
      <c r="D40" s="151">
        <v>1.1647540826816073E-5</v>
      </c>
      <c r="E40" s="151">
        <v>2.900886696154338</v>
      </c>
      <c r="F40" s="151">
        <v>2.939646837501479</v>
      </c>
      <c r="G40" s="151">
        <v>3.443962972490144E-3</v>
      </c>
      <c r="H40" s="151">
        <v>1.7835017931529848E-2</v>
      </c>
      <c r="I40" s="151">
        <v>1.3934275562217829E-2</v>
      </c>
      <c r="J40" s="151">
        <v>1.7768495099187623E-4</v>
      </c>
      <c r="K40" s="151">
        <v>1.302107708113454E-3</v>
      </c>
      <c r="L40" s="151">
        <v>5.6088325731955307E-5</v>
      </c>
      <c r="M40" s="151">
        <v>5.3386623459995931E-5</v>
      </c>
    </row>
    <row r="41" spans="1:13" x14ac:dyDescent="0.25">
      <c r="A41" s="153" t="s">
        <v>564</v>
      </c>
      <c r="B41" s="84">
        <f>AVERAGE(B42:B45)</f>
        <v>11.460830098204241</v>
      </c>
      <c r="C41" s="152">
        <f t="shared" ref="C41:M41" si="24">AVERAGE(C42:C45)</f>
        <v>7.9643420397165584E-7</v>
      </c>
      <c r="D41" s="152">
        <f t="shared" si="24"/>
        <v>1.5625241937330596E-6</v>
      </c>
      <c r="E41" s="152">
        <f t="shared" si="24"/>
        <v>0.78255602308018846</v>
      </c>
      <c r="F41" s="152">
        <f t="shared" si="24"/>
        <v>0.78400970528165737</v>
      </c>
      <c r="G41" s="152">
        <f t="shared" si="24"/>
        <v>1.3040399006410681E-4</v>
      </c>
      <c r="H41" s="152">
        <f t="shared" si="24"/>
        <v>6.6643591155008124E-4</v>
      </c>
      <c r="I41" s="152">
        <f t="shared" si="24"/>
        <v>2.3788725628760966E-3</v>
      </c>
      <c r="J41" s="152">
        <f t="shared" si="24"/>
        <v>2.8888705297720386E-5</v>
      </c>
      <c r="K41" s="152">
        <f t="shared" si="24"/>
        <v>3.4727377778928669E-4</v>
      </c>
      <c r="L41" s="152">
        <f t="shared" si="24"/>
        <v>9.0888115631164126E-6</v>
      </c>
      <c r="M41" s="152">
        <f t="shared" si="24"/>
        <v>8.7087040916095637E-6</v>
      </c>
    </row>
    <row r="42" spans="1:13" x14ac:dyDescent="0.25">
      <c r="A42" s="15" t="s">
        <v>548</v>
      </c>
      <c r="B42" s="69">
        <v>18.256792005863954</v>
      </c>
      <c r="C42" s="151">
        <v>1.7604181433425327E-6</v>
      </c>
      <c r="D42" s="151">
        <v>3.4537641984010453E-6</v>
      </c>
      <c r="E42" s="151">
        <v>1.245622963150067</v>
      </c>
      <c r="F42" s="151">
        <v>1.2489048785802743</v>
      </c>
      <c r="G42" s="151">
        <v>2.9202656078326783E-4</v>
      </c>
      <c r="H42" s="151">
        <v>1.509305625184488E-3</v>
      </c>
      <c r="I42" s="151">
        <v>2.9413453321237132E-3</v>
      </c>
      <c r="J42" s="151">
        <v>4.1788360458874141E-5</v>
      </c>
      <c r="K42" s="151">
        <v>5.5319772441116935E-4</v>
      </c>
      <c r="L42" s="151">
        <v>1.3200308576073209E-5</v>
      </c>
      <c r="M42" s="151">
        <v>1.2546679322257512E-5</v>
      </c>
    </row>
    <row r="43" spans="1:13" x14ac:dyDescent="0.25">
      <c r="A43" s="15" t="s">
        <v>549</v>
      </c>
      <c r="B43" s="69">
        <v>10.188714162444127</v>
      </c>
      <c r="C43" s="151">
        <v>5.596222775827154E-7</v>
      </c>
      <c r="D43" s="151">
        <v>1.0979228964733296E-6</v>
      </c>
      <c r="E43" s="151">
        <v>0.69574743944298656</v>
      </c>
      <c r="F43" s="151">
        <v>0.69698751283610516</v>
      </c>
      <c r="G43" s="151">
        <v>1.1347140370502054E-4</v>
      </c>
      <c r="H43" s="151">
        <v>5.6408599645447707E-4</v>
      </c>
      <c r="I43" s="151">
        <v>2.7522255606015275E-3</v>
      </c>
      <c r="J43" s="151">
        <v>2.8917217104159694E-5</v>
      </c>
      <c r="K43" s="151">
        <v>3.0872748550400203E-4</v>
      </c>
      <c r="L43" s="151">
        <v>9.0753760531598934E-6</v>
      </c>
      <c r="M43" s="151">
        <v>8.738709109649497E-6</v>
      </c>
    </row>
    <row r="44" spans="1:13" x14ac:dyDescent="0.25">
      <c r="A44" s="15" t="s">
        <v>550</v>
      </c>
      <c r="B44" s="69">
        <v>8.8680428938308538</v>
      </c>
      <c r="C44" s="151">
        <v>6.0612606321067107E-7</v>
      </c>
      <c r="D44" s="151">
        <v>1.1891586693488529E-6</v>
      </c>
      <c r="E44" s="151">
        <v>0.60587179091225996</v>
      </c>
      <c r="F44" s="151">
        <v>0.60664297047690796</v>
      </c>
      <c r="G44" s="151">
        <v>6.4859303050689737E-5</v>
      </c>
      <c r="H44" s="151">
        <v>3.6211301433152751E-4</v>
      </c>
      <c r="I44" s="151">
        <v>1.8779863474285368E-3</v>
      </c>
      <c r="J44" s="151">
        <v>2.1069234043578318E-5</v>
      </c>
      <c r="K44" s="151">
        <v>2.6870992161559201E-4</v>
      </c>
      <c r="L44" s="151">
        <v>6.6261965014930105E-6</v>
      </c>
      <c r="M44" s="151">
        <v>6.3538528358335875E-6</v>
      </c>
    </row>
    <row r="45" spans="1:13" x14ac:dyDescent="0.25">
      <c r="A45" s="15" t="s">
        <v>551</v>
      </c>
      <c r="B45" s="69">
        <v>8.5297713306780292</v>
      </c>
      <c r="C45" s="151">
        <v>2.5957033175070436E-7</v>
      </c>
      <c r="D45" s="151">
        <v>5.0925101070901072E-7</v>
      </c>
      <c r="E45" s="151">
        <v>0.58298189881544005</v>
      </c>
      <c r="F45" s="151">
        <v>0.58350345923334201</v>
      </c>
      <c r="G45" s="151">
        <v>5.1258692717449106E-5</v>
      </c>
      <c r="H45" s="151">
        <v>2.3023901022983236E-4</v>
      </c>
      <c r="I45" s="151">
        <v>1.9439330113506083E-3</v>
      </c>
      <c r="J45" s="151">
        <v>2.3780009584269375E-5</v>
      </c>
      <c r="K45" s="151">
        <v>2.5845997962638348E-4</v>
      </c>
      <c r="L45" s="151">
        <v>7.4533651217395357E-6</v>
      </c>
      <c r="M45" s="151">
        <v>7.1955750986976539E-6</v>
      </c>
    </row>
    <row r="46" spans="1:13" x14ac:dyDescent="0.25">
      <c r="A46" s="26" t="s">
        <v>540</v>
      </c>
    </row>
    <row r="47" spans="1:13" x14ac:dyDescent="0.25">
      <c r="A47" s="153" t="s">
        <v>563</v>
      </c>
      <c r="B47" s="84">
        <f t="shared" ref="B47:M47" si="25">AVERAGE(B48:B53)</f>
        <v>20.899705309438605</v>
      </c>
      <c r="C47" s="152">
        <f t="shared" si="25"/>
        <v>1.8406130121523389E-6</v>
      </c>
      <c r="D47" s="152">
        <f t="shared" si="25"/>
        <v>3.6110985043659239E-6</v>
      </c>
      <c r="E47" s="152">
        <f t="shared" si="25"/>
        <v>1.368589446804787</v>
      </c>
      <c r="F47" s="152">
        <f t="shared" si="25"/>
        <v>1.3761521237964416</v>
      </c>
      <c r="G47" s="152">
        <f t="shared" si="25"/>
        <v>6.4280054694787741E-4</v>
      </c>
      <c r="H47" s="152">
        <f t="shared" si="25"/>
        <v>3.5377248796061842E-3</v>
      </c>
      <c r="I47" s="152">
        <f t="shared" si="25"/>
        <v>4.5286356417330968E-3</v>
      </c>
      <c r="J47" s="152">
        <f t="shared" si="25"/>
        <v>1.450052408232904E-5</v>
      </c>
      <c r="K47" s="152">
        <f t="shared" si="25"/>
        <v>0</v>
      </c>
      <c r="L47" s="152">
        <f t="shared" si="25"/>
        <v>4.5603313584000933E-6</v>
      </c>
      <c r="M47" s="152">
        <f t="shared" si="25"/>
        <v>4.3729544683426451E-6</v>
      </c>
    </row>
    <row r="48" spans="1:13" x14ac:dyDescent="0.25">
      <c r="A48" s="15" t="s">
        <v>542</v>
      </c>
      <c r="B48" s="69">
        <v>14.827346925083397</v>
      </c>
      <c r="C48" s="151">
        <v>1.1340628679880768E-6</v>
      </c>
      <c r="D48" s="151">
        <v>2.2249178395516701E-6</v>
      </c>
      <c r="E48" s="151">
        <v>0.97467184349555436</v>
      </c>
      <c r="F48" s="151">
        <v>0.97631495426071613</v>
      </c>
      <c r="G48" s="151">
        <v>1.1750267782161267E-4</v>
      </c>
      <c r="H48" s="151">
        <v>8.1256896378707429E-4</v>
      </c>
      <c r="I48" s="151">
        <v>2.9162569481672412E-3</v>
      </c>
      <c r="J48" s="151">
        <v>2.9829311468314873E-6</v>
      </c>
      <c r="K48" s="151">
        <v>0</v>
      </c>
      <c r="L48" s="151">
        <v>9.4319655878104245E-7</v>
      </c>
      <c r="M48" s="151">
        <v>8.9471298810372224E-7</v>
      </c>
    </row>
    <row r="49" spans="1:13" x14ac:dyDescent="0.25">
      <c r="A49" s="15" t="s">
        <v>543</v>
      </c>
      <c r="B49" s="69">
        <v>13.596296817627175</v>
      </c>
      <c r="C49" s="151">
        <v>3.9714370718596849E-7</v>
      </c>
      <c r="D49" s="151">
        <v>7.7915620370442821E-7</v>
      </c>
      <c r="E49" s="151">
        <v>0.89437194058477854</v>
      </c>
      <c r="F49" s="151">
        <v>0.89525753875410075</v>
      </c>
      <c r="G49" s="151">
        <v>4.7745374830266195E-5</v>
      </c>
      <c r="H49" s="151">
        <v>4.6886747797350781E-4</v>
      </c>
      <c r="I49" s="151">
        <v>2.3662072556165608E-3</v>
      </c>
      <c r="J49" s="151">
        <v>2.5143689805184258E-6</v>
      </c>
      <c r="K49" s="151">
        <v>0</v>
      </c>
      <c r="L49" s="151">
        <v>7.8951460567645857E-7</v>
      </c>
      <c r="M49" s="151">
        <v>7.5944855809063353E-7</v>
      </c>
    </row>
    <row r="50" spans="1:13" x14ac:dyDescent="0.25">
      <c r="A50" s="15" t="s">
        <v>544</v>
      </c>
      <c r="B50" s="69">
        <v>12.764203106605896</v>
      </c>
      <c r="C50" s="151">
        <v>3.6003170315941283E-7</v>
      </c>
      <c r="D50" s="151">
        <v>7.0634616631497967E-7</v>
      </c>
      <c r="E50" s="151">
        <v>0.83999230688850857</v>
      </c>
      <c r="F50" s="151">
        <v>0.84046778983276027</v>
      </c>
      <c r="G50" s="151">
        <v>2.9036657606276607E-5</v>
      </c>
      <c r="H50" s="151">
        <v>2.4499068451380626E-4</v>
      </c>
      <c r="I50" s="151">
        <v>2.631759549291211E-3</v>
      </c>
      <c r="J50" s="151">
        <v>2.175366727330985E-6</v>
      </c>
      <c r="K50" s="151">
        <v>0</v>
      </c>
      <c r="L50" s="151">
        <v>6.8271782054127988E-7</v>
      </c>
      <c r="M50" s="151">
        <v>6.5738932948957053E-7</v>
      </c>
    </row>
    <row r="51" spans="1:13" x14ac:dyDescent="0.25">
      <c r="A51" s="15" t="s">
        <v>545</v>
      </c>
      <c r="B51" s="69">
        <v>14.220763399815288</v>
      </c>
      <c r="C51" s="151">
        <v>6.3882025943789797E-7</v>
      </c>
      <c r="D51" s="151">
        <v>1.2533014100108502E-6</v>
      </c>
      <c r="E51" s="151">
        <v>0.93577140305281714</v>
      </c>
      <c r="F51" s="151">
        <v>0.93637535698571084</v>
      </c>
      <c r="G51" s="151">
        <v>4.6521305872631352E-5</v>
      </c>
      <c r="H51" s="151">
        <v>2.9206706428498469E-4</v>
      </c>
      <c r="I51" s="151">
        <v>2.3503090539841315E-3</v>
      </c>
      <c r="J51" s="151">
        <v>2.3094415283338573E-6</v>
      </c>
      <c r="K51" s="151">
        <v>0</v>
      </c>
      <c r="L51" s="151">
        <v>7.2742182285339171E-7</v>
      </c>
      <c r="M51" s="151">
        <v>6.9539711968848212E-7</v>
      </c>
    </row>
    <row r="52" spans="1:13" x14ac:dyDescent="0.25">
      <c r="A52" s="15" t="s">
        <v>546</v>
      </c>
      <c r="B52" s="69">
        <v>27.146002370456898</v>
      </c>
      <c r="C52" s="151">
        <v>2.5767515212977595E-6</v>
      </c>
      <c r="D52" s="151">
        <v>5.0553285797975418E-6</v>
      </c>
      <c r="E52" s="151">
        <v>1.7837800099016812</v>
      </c>
      <c r="F52" s="151">
        <v>1.7874423380336044</v>
      </c>
      <c r="G52" s="151">
        <v>1.7203429306633365E-4</v>
      </c>
      <c r="H52" s="151">
        <v>1.9893710996725755E-3</v>
      </c>
      <c r="I52" s="151">
        <v>3.7408952737373242E-3</v>
      </c>
      <c r="J52" s="151">
        <v>4.6717418373489197E-6</v>
      </c>
      <c r="K52" s="151">
        <v>0</v>
      </c>
      <c r="L52" s="151">
        <v>1.4777024163130879E-6</v>
      </c>
      <c r="M52" s="151">
        <v>1.4007770986593075E-6</v>
      </c>
    </row>
    <row r="53" spans="1:13" x14ac:dyDescent="0.25">
      <c r="A53" s="15" t="s">
        <v>547</v>
      </c>
      <c r="B53" s="69">
        <v>42.843619237042972</v>
      </c>
      <c r="C53" s="151">
        <v>5.9368680138449185E-6</v>
      </c>
      <c r="D53" s="151">
        <v>1.1647540826816073E-5</v>
      </c>
      <c r="E53" s="151">
        <v>2.7829491769053818</v>
      </c>
      <c r="F53" s="151">
        <v>2.8210547649117554</v>
      </c>
      <c r="G53" s="151">
        <v>3.443962972490144E-3</v>
      </c>
      <c r="H53" s="151">
        <v>1.7418483987405156E-2</v>
      </c>
      <c r="I53" s="151">
        <v>1.3166385769602112E-2</v>
      </c>
      <c r="J53" s="151">
        <v>7.234929427361056E-5</v>
      </c>
      <c r="K53" s="151">
        <v>0</v>
      </c>
      <c r="L53" s="151">
        <v>2.27414349262353E-5</v>
      </c>
      <c r="M53" s="151">
        <v>2.1830001716024152E-5</v>
      </c>
    </row>
    <row r="54" spans="1:13" x14ac:dyDescent="0.25">
      <c r="A54" s="153" t="s">
        <v>564</v>
      </c>
      <c r="B54" s="84">
        <f t="shared" ref="B54:M54" si="26">AVERAGE(B55:B58)</f>
        <v>11.426447607909628</v>
      </c>
      <c r="C54" s="152">
        <f t="shared" si="26"/>
        <v>7.9643420397165584E-7</v>
      </c>
      <c r="D54" s="152">
        <f t="shared" si="26"/>
        <v>1.5625241937330596E-6</v>
      </c>
      <c r="E54" s="152">
        <f t="shared" si="26"/>
        <v>0.75095471467262886</v>
      </c>
      <c r="F54" s="152">
        <f t="shared" si="26"/>
        <v>0.75238104905953584</v>
      </c>
      <c r="G54" s="152">
        <f t="shared" si="26"/>
        <v>1.3040399006410681E-4</v>
      </c>
      <c r="H54" s="152">
        <f t="shared" si="26"/>
        <v>6.4903275682878824E-4</v>
      </c>
      <c r="I54" s="152">
        <f t="shared" si="26"/>
        <v>2.181182693341182E-3</v>
      </c>
      <c r="J54" s="152">
        <f t="shared" si="26"/>
        <v>2.3327657199536128E-6</v>
      </c>
      <c r="K54" s="152">
        <f t="shared" si="26"/>
        <v>0</v>
      </c>
      <c r="L54" s="152">
        <f t="shared" si="26"/>
        <v>7.3961484241585266E-7</v>
      </c>
      <c r="M54" s="152">
        <f t="shared" si="26"/>
        <v>6.9778924872314493E-7</v>
      </c>
    </row>
    <row r="55" spans="1:13" x14ac:dyDescent="0.25">
      <c r="A55" s="15" t="s">
        <v>548</v>
      </c>
      <c r="B55" s="69">
        <v>18.202021629846364</v>
      </c>
      <c r="C55" s="151">
        <v>1.7604181433425327E-6</v>
      </c>
      <c r="D55" s="151">
        <v>3.4537641984010453E-6</v>
      </c>
      <c r="E55" s="151">
        <v>1.195302026214069</v>
      </c>
      <c r="F55" s="151">
        <v>1.1985212856708287</v>
      </c>
      <c r="G55" s="151">
        <v>2.9202656078326783E-4</v>
      </c>
      <c r="H55" s="151">
        <v>1.4694336420815086E-3</v>
      </c>
      <c r="I55" s="151">
        <v>2.6968898934432222E-3</v>
      </c>
      <c r="J55" s="151">
        <v>3.5237039539158121E-6</v>
      </c>
      <c r="K55" s="151">
        <v>0</v>
      </c>
      <c r="L55" s="151">
        <v>1.1273651655692423E-6</v>
      </c>
      <c r="M55" s="151">
        <v>1.0443229512870576E-6</v>
      </c>
    </row>
    <row r="56" spans="1:13" x14ac:dyDescent="0.25">
      <c r="A56" s="15" t="s">
        <v>549</v>
      </c>
      <c r="B56" s="69">
        <v>10.158148019956792</v>
      </c>
      <c r="C56" s="151">
        <v>5.596222775827154E-7</v>
      </c>
      <c r="D56" s="151">
        <v>1.0979228964733296E-6</v>
      </c>
      <c r="E56" s="151">
        <v>0.66765021928253665</v>
      </c>
      <c r="F56" s="151">
        <v>0.66886953753867007</v>
      </c>
      <c r="G56" s="151">
        <v>1.1347140370502054E-4</v>
      </c>
      <c r="H56" s="151">
        <v>5.5087818200933749E-4</v>
      </c>
      <c r="I56" s="151">
        <v>2.5235270044767066E-3</v>
      </c>
      <c r="J56" s="151">
        <v>2.2720458966407403E-6</v>
      </c>
      <c r="K56" s="151">
        <v>0</v>
      </c>
      <c r="L56" s="151">
        <v>7.1607537292726215E-7</v>
      </c>
      <c r="M56" s="151">
        <v>6.8372378861582092E-7</v>
      </c>
    </row>
    <row r="57" spans="1:13" x14ac:dyDescent="0.25">
      <c r="A57" s="15" t="s">
        <v>550</v>
      </c>
      <c r="B57" s="69">
        <v>8.8414387651493591</v>
      </c>
      <c r="C57" s="151">
        <v>6.0612606321067107E-7</v>
      </c>
      <c r="D57" s="151">
        <v>1.1891586693488529E-6</v>
      </c>
      <c r="E57" s="151">
        <v>0.58141790476136113</v>
      </c>
      <c r="F57" s="151">
        <v>0.58216967511796591</v>
      </c>
      <c r="G57" s="151">
        <v>6.4859303050689737E-5</v>
      </c>
      <c r="H57" s="151">
        <v>3.4976170012223761E-4</v>
      </c>
      <c r="I57" s="151">
        <v>1.7219081270641885E-3</v>
      </c>
      <c r="J57" s="151">
        <v>1.6943264954091397E-6</v>
      </c>
      <c r="K57" s="151">
        <v>0</v>
      </c>
      <c r="L57" s="151">
        <v>5.3671717506267019E-7</v>
      </c>
      <c r="M57" s="151">
        <v>5.072720786426758E-7</v>
      </c>
    </row>
    <row r="58" spans="1:13" x14ac:dyDescent="0.25">
      <c r="A58" s="15" t="s">
        <v>551</v>
      </c>
      <c r="B58" s="69">
        <v>8.5041820166859949</v>
      </c>
      <c r="C58" s="151">
        <v>2.5957033175070436E-7</v>
      </c>
      <c r="D58" s="151">
        <v>5.0925101070901072E-7</v>
      </c>
      <c r="E58" s="151">
        <v>0.5594487084325489</v>
      </c>
      <c r="F58" s="151">
        <v>0.55996369791067868</v>
      </c>
      <c r="G58" s="151">
        <v>5.1258692717449106E-5</v>
      </c>
      <c r="H58" s="151">
        <v>2.2605750310206903E-4</v>
      </c>
      <c r="I58" s="151">
        <v>1.7824057483806104E-3</v>
      </c>
      <c r="J58" s="151">
        <v>1.8409865338487592E-6</v>
      </c>
      <c r="K58" s="151">
        <v>0</v>
      </c>
      <c r="L58" s="151">
        <v>5.7830165610423578E-7</v>
      </c>
      <c r="M58" s="151">
        <v>5.5583817634702541E-7</v>
      </c>
    </row>
    <row r="59" spans="1:13" x14ac:dyDescent="0.25">
      <c r="A59" s="26" t="s">
        <v>854</v>
      </c>
    </row>
    <row r="60" spans="1:13" x14ac:dyDescent="0.25">
      <c r="A60" s="153" t="s">
        <v>563</v>
      </c>
      <c r="B60" s="84">
        <f t="shared" ref="B60:M60" si="27">AVERAGE(B61:B66)</f>
        <v>20.903423300141984</v>
      </c>
      <c r="C60" s="152">
        <f t="shared" si="27"/>
        <v>1.8406130121523389E-6</v>
      </c>
      <c r="D60" s="152">
        <f t="shared" si="27"/>
        <v>3.6110985043659239E-6</v>
      </c>
      <c r="E60" s="152">
        <f t="shared" si="27"/>
        <v>1.3960676953616395</v>
      </c>
      <c r="F60" s="152">
        <f t="shared" si="27"/>
        <v>1.4036731544524474</v>
      </c>
      <c r="G60" s="152">
        <f t="shared" si="27"/>
        <v>6.4280054694787741E-4</v>
      </c>
      <c r="H60" s="152">
        <f t="shared" si="27"/>
        <v>3.5649498517949345E-3</v>
      </c>
      <c r="I60" s="152">
        <f t="shared" si="27"/>
        <v>4.4986520755790063E-3</v>
      </c>
      <c r="J60" s="152">
        <f t="shared" si="27"/>
        <v>5.4101352536147351E-5</v>
      </c>
      <c r="K60" s="152">
        <f t="shared" si="27"/>
        <v>3.2257472681385216E-4</v>
      </c>
      <c r="L60" s="152">
        <f t="shared" si="27"/>
        <v>1.7001068736375124E-5</v>
      </c>
      <c r="M60" s="152">
        <f t="shared" si="27"/>
        <v>1.6328357554449912E-5</v>
      </c>
    </row>
    <row r="61" spans="1:13" x14ac:dyDescent="0.25">
      <c r="A61" s="15" t="s">
        <v>542</v>
      </c>
      <c r="B61" s="69">
        <v>14.849654869303681</v>
      </c>
      <c r="C61" s="151">
        <v>1.1340628679880768E-6</v>
      </c>
      <c r="D61" s="151">
        <v>2.2249178395516701E-6</v>
      </c>
      <c r="E61" s="151">
        <v>0.99551639022499538</v>
      </c>
      <c r="F61" s="151">
        <v>0.99716068353892617</v>
      </c>
      <c r="G61" s="151">
        <v>1.1750267782161267E-4</v>
      </c>
      <c r="H61" s="151">
        <v>8.1332149482188419E-4</v>
      </c>
      <c r="I61" s="151">
        <v>2.9388391730251046E-3</v>
      </c>
      <c r="J61" s="151">
        <v>3.3211356114993232E-5</v>
      </c>
      <c r="K61" s="151">
        <v>2.291549711244229E-4</v>
      </c>
      <c r="L61" s="151">
        <v>1.041235349453906E-5</v>
      </c>
      <c r="M61" s="151">
        <v>1.0046606273654381E-5</v>
      </c>
    </row>
    <row r="62" spans="1:13" x14ac:dyDescent="0.25">
      <c r="A62" s="15" t="s">
        <v>543</v>
      </c>
      <c r="B62" s="69">
        <v>13.596296817627175</v>
      </c>
      <c r="C62" s="151">
        <v>3.9714370718596849E-7</v>
      </c>
      <c r="D62" s="151">
        <v>7.7915620370442821E-7</v>
      </c>
      <c r="E62" s="151">
        <v>0.91211288732367457</v>
      </c>
      <c r="F62" s="151">
        <v>0.91299891694533475</v>
      </c>
      <c r="G62" s="151">
        <v>4.7745374830266195E-5</v>
      </c>
      <c r="H62" s="151">
        <v>4.6914203855222747E-4</v>
      </c>
      <c r="I62" s="151">
        <v>2.3698415337960253E-3</v>
      </c>
      <c r="J62" s="151">
        <v>2.9227417463434366E-5</v>
      </c>
      <c r="K62" s="151">
        <v>2.0981356348442429E-4</v>
      </c>
      <c r="L62" s="151">
        <v>9.1527200280922756E-6</v>
      </c>
      <c r="M62" s="151">
        <v>8.85157083436273E-6</v>
      </c>
    </row>
    <row r="63" spans="1:13" x14ac:dyDescent="0.25">
      <c r="A63" s="15" t="s">
        <v>544</v>
      </c>
      <c r="B63" s="69">
        <v>12.764203106605896</v>
      </c>
      <c r="C63" s="151">
        <v>3.6003170315941283E-7</v>
      </c>
      <c r="D63" s="151">
        <v>7.0634616631497967E-7</v>
      </c>
      <c r="E63" s="151">
        <v>0.85664755260000747</v>
      </c>
      <c r="F63" s="151">
        <v>0.85712339522749004</v>
      </c>
      <c r="G63" s="151">
        <v>2.9036657606276607E-5</v>
      </c>
      <c r="H63" s="151">
        <v>2.4521957384252539E-4</v>
      </c>
      <c r="I63" s="151">
        <v>2.6381566536687298E-3</v>
      </c>
      <c r="J63" s="151">
        <v>2.5364861814960331E-5</v>
      </c>
      <c r="K63" s="151">
        <v>1.9697296806317621E-4</v>
      </c>
      <c r="L63" s="151">
        <v>7.9424976979604653E-6</v>
      </c>
      <c r="M63" s="151">
        <v>7.682403666716339E-6</v>
      </c>
    </row>
    <row r="64" spans="1:13" x14ac:dyDescent="0.25">
      <c r="A64" s="15" t="s">
        <v>545</v>
      </c>
      <c r="B64" s="69">
        <v>14.220763399815288</v>
      </c>
      <c r="C64" s="151">
        <v>6.3882025943789797E-7</v>
      </c>
      <c r="D64" s="151">
        <v>1.2533014100108502E-6</v>
      </c>
      <c r="E64" s="151">
        <v>0.95432720363682089</v>
      </c>
      <c r="F64" s="151">
        <v>0.95493158189226668</v>
      </c>
      <c r="G64" s="151">
        <v>4.6521305872631352E-5</v>
      </c>
      <c r="H64" s="151">
        <v>2.9233708772723709E-4</v>
      </c>
      <c r="I64" s="151">
        <v>2.3699047090907487E-3</v>
      </c>
      <c r="J64" s="151">
        <v>2.6342037796928445E-5</v>
      </c>
      <c r="K64" s="151">
        <v>2.1945012560448346E-4</v>
      </c>
      <c r="L64" s="151">
        <v>8.2532914618222154E-6</v>
      </c>
      <c r="M64" s="151">
        <v>7.9737697602583131E-6</v>
      </c>
    </row>
    <row r="65" spans="1:24" x14ac:dyDescent="0.25">
      <c r="A65" s="15" t="s">
        <v>546</v>
      </c>
      <c r="B65" s="69">
        <v>27.146002370456898</v>
      </c>
      <c r="C65" s="151">
        <v>2.5767515212977595E-6</v>
      </c>
      <c r="D65" s="151">
        <v>5.0553285797975418E-6</v>
      </c>
      <c r="E65" s="151">
        <v>1.8191977187325645</v>
      </c>
      <c r="F65" s="151">
        <v>1.8228642989465218</v>
      </c>
      <c r="G65" s="151">
        <v>1.7203429306633365E-4</v>
      </c>
      <c r="H65" s="151">
        <v>1.9920769700579352E-3</v>
      </c>
      <c r="I65" s="151">
        <v>3.7800170564355039E-3</v>
      </c>
      <c r="J65" s="151">
        <v>5.1900961544667437E-5</v>
      </c>
      <c r="K65" s="151">
        <v>4.1890814595324391E-4</v>
      </c>
      <c r="L65" s="151">
        <v>1.6272852328503585E-5</v>
      </c>
      <c r="M65" s="151">
        <v>1.5699377821457012E-5</v>
      </c>
    </row>
    <row r="66" spans="1:24" x14ac:dyDescent="0.25">
      <c r="A66" s="15" t="s">
        <v>547</v>
      </c>
      <c r="B66" s="69">
        <v>42.843619237042972</v>
      </c>
      <c r="C66" s="151">
        <v>5.9368680138449185E-6</v>
      </c>
      <c r="D66" s="151">
        <v>1.1647540826816073E-5</v>
      </c>
      <c r="E66" s="151">
        <v>2.8386044196517735</v>
      </c>
      <c r="F66" s="151">
        <v>2.8769600501641457</v>
      </c>
      <c r="G66" s="151">
        <v>3.443962972490144E-3</v>
      </c>
      <c r="H66" s="151">
        <v>1.7577601945767796E-2</v>
      </c>
      <c r="I66" s="151">
        <v>1.2895153327457927E-2</v>
      </c>
      <c r="J66" s="151">
        <v>1.5856148048190032E-4</v>
      </c>
      <c r="K66" s="151">
        <v>6.6114858665336257E-4</v>
      </c>
      <c r="L66" s="151">
        <v>4.9972697407333152E-5</v>
      </c>
      <c r="M66" s="151">
        <v>4.7716416970250708E-5</v>
      </c>
    </row>
    <row r="67" spans="1:24" x14ac:dyDescent="0.25">
      <c r="A67" s="153" t="s">
        <v>564</v>
      </c>
      <c r="B67" s="84">
        <f t="shared" ref="B67:M67" si="28">AVERAGE(B68:B71)</f>
        <v>11.426447607909628</v>
      </c>
      <c r="C67" s="152">
        <f t="shared" si="28"/>
        <v>7.9643420397165584E-7</v>
      </c>
      <c r="D67" s="152">
        <f t="shared" si="28"/>
        <v>1.5625241937330596E-6</v>
      </c>
      <c r="E67" s="152">
        <f t="shared" si="28"/>
        <v>0.76586382580535195</v>
      </c>
      <c r="F67" s="152">
        <f t="shared" si="28"/>
        <v>0.76729105956558952</v>
      </c>
      <c r="G67" s="152">
        <f t="shared" si="28"/>
        <v>1.3040399006410681E-4</v>
      </c>
      <c r="H67" s="152">
        <f t="shared" si="28"/>
        <v>6.4960508531196597E-4</v>
      </c>
      <c r="I67" s="152">
        <f t="shared" si="28"/>
        <v>2.198176688029583E-3</v>
      </c>
      <c r="J67" s="152">
        <f t="shared" si="28"/>
        <v>2.5526290664637798E-5</v>
      </c>
      <c r="K67" s="152">
        <f t="shared" si="28"/>
        <v>1.7632916688575155E-4</v>
      </c>
      <c r="L67" s="152">
        <f t="shared" si="28"/>
        <v>8.006783880680016E-6</v>
      </c>
      <c r="M67" s="152">
        <f t="shared" si="28"/>
        <v>7.7181691644101304E-6</v>
      </c>
    </row>
    <row r="68" spans="1:24" ht="15.75" x14ac:dyDescent="0.25">
      <c r="A68" s="15" t="s">
        <v>548</v>
      </c>
      <c r="B68" s="69">
        <v>18.202021629846364</v>
      </c>
      <c r="C68" s="151">
        <v>1.7604181433425327E-6</v>
      </c>
      <c r="D68" s="151">
        <v>3.4537641984010453E-6</v>
      </c>
      <c r="E68" s="151">
        <v>1.2190512086771024</v>
      </c>
      <c r="F68" s="151">
        <v>1.2222725286682203</v>
      </c>
      <c r="G68" s="151">
        <v>2.9202656078326783E-4</v>
      </c>
      <c r="H68" s="151">
        <v>1.4707448912185802E-3</v>
      </c>
      <c r="I68" s="151">
        <v>2.7304085201080601E-3</v>
      </c>
      <c r="J68" s="151">
        <v>3.6290841125587217E-5</v>
      </c>
      <c r="K68" s="151">
        <v>2.8088758814292576E-4</v>
      </c>
      <c r="L68" s="151">
        <v>1.1403109139994489E-5</v>
      </c>
      <c r="M68" s="151">
        <v>1.0954007920819932E-5</v>
      </c>
      <c r="O68" s="230" t="s">
        <v>884</v>
      </c>
      <c r="P68" s="230"/>
      <c r="Q68" s="230"/>
      <c r="R68" s="230"/>
      <c r="S68" s="230"/>
      <c r="T68" s="230"/>
      <c r="U68" s="230"/>
      <c r="V68" s="230"/>
    </row>
    <row r="69" spans="1:24" ht="15.75" thickBot="1" x14ac:dyDescent="0.3">
      <c r="A69" s="15" t="s">
        <v>549</v>
      </c>
      <c r="B69" s="69">
        <v>10.158148019956792</v>
      </c>
      <c r="C69" s="151">
        <v>5.596222775827154E-7</v>
      </c>
      <c r="D69" s="151">
        <v>1.0979228964733296E-6</v>
      </c>
      <c r="E69" s="151">
        <v>0.68090458316025604</v>
      </c>
      <c r="F69" s="151">
        <v>0.68212458397976716</v>
      </c>
      <c r="G69" s="151">
        <v>1.1347140370502054E-4</v>
      </c>
      <c r="H69" s="151">
        <v>5.5131254052240817E-4</v>
      </c>
      <c r="I69" s="151">
        <v>2.5333993273305589E-3</v>
      </c>
      <c r="J69" s="151">
        <v>2.5818992896633238E-5</v>
      </c>
      <c r="K69" s="151">
        <v>1.5675718639109122E-4</v>
      </c>
      <c r="L69" s="151">
        <v>8.0902245727907415E-6</v>
      </c>
      <c r="M69" s="151">
        <v>7.8146697091417603E-6</v>
      </c>
      <c r="O69" s="99" t="s">
        <v>505</v>
      </c>
      <c r="P69" s="99">
        <v>2020</v>
      </c>
      <c r="Q69" s="99">
        <v>2025</v>
      </c>
      <c r="R69" s="99">
        <v>2030</v>
      </c>
      <c r="S69" s="99">
        <v>2035</v>
      </c>
      <c r="T69" s="99">
        <v>2040</v>
      </c>
      <c r="U69" s="99">
        <v>2045</v>
      </c>
      <c r="V69" s="99">
        <v>2050</v>
      </c>
    </row>
    <row r="70" spans="1:24" ht="15.75" thickTop="1" x14ac:dyDescent="0.25">
      <c r="A70" s="15" t="s">
        <v>550</v>
      </c>
      <c r="B70" s="69">
        <v>8.8414387651493591</v>
      </c>
      <c r="C70" s="151">
        <v>6.0612606321067107E-7</v>
      </c>
      <c r="D70" s="151">
        <v>1.1891586693488529E-6</v>
      </c>
      <c r="E70" s="151">
        <v>0.59295418059203853</v>
      </c>
      <c r="F70" s="151">
        <v>0.59370658924915709</v>
      </c>
      <c r="G70" s="151">
        <v>6.4859303050689737E-5</v>
      </c>
      <c r="H70" s="151">
        <v>3.5016789135824413E-4</v>
      </c>
      <c r="I70" s="151">
        <v>1.7425561536897566E-3</v>
      </c>
      <c r="J70" s="151">
        <v>1.8646724843871262E-5</v>
      </c>
      <c r="K70" s="151">
        <v>1.3643816390065093E-4</v>
      </c>
      <c r="L70" s="151">
        <v>5.8479514330888123E-6</v>
      </c>
      <c r="M70" s="151">
        <v>5.6389433621562012E-6</v>
      </c>
      <c r="O70" s="198" t="s">
        <v>852</v>
      </c>
      <c r="P70" s="221">
        <f t="shared" ref="P70:V70" si="29">P71*$M$76 + P72*$M$77 + P73*$M$78</f>
        <v>9.500330277467868E-2</v>
      </c>
      <c r="Q70" s="221">
        <f t="shared" si="29"/>
        <v>9.0252929683823757E-2</v>
      </c>
      <c r="R70" s="221">
        <f t="shared" si="29"/>
        <v>8.5738219100578023E-2</v>
      </c>
      <c r="S70" s="221">
        <f t="shared" si="29"/>
        <v>8.1452662881119048E-2</v>
      </c>
      <c r="T70" s="221">
        <f t="shared" si="29"/>
        <v>7.7379724050243459E-2</v>
      </c>
      <c r="U70" s="221">
        <f t="shared" si="29"/>
        <v>7.3510599911655636E-2</v>
      </c>
      <c r="V70" s="221">
        <f t="shared" si="29"/>
        <v>6.9836439430607522E-2</v>
      </c>
    </row>
    <row r="71" spans="1:24" x14ac:dyDescent="0.25">
      <c r="A71" s="15" t="s">
        <v>551</v>
      </c>
      <c r="B71" s="69">
        <v>8.5041820166859949</v>
      </c>
      <c r="C71" s="151">
        <v>2.5957033175070436E-7</v>
      </c>
      <c r="D71" s="151">
        <v>5.0925101070901072E-7</v>
      </c>
      <c r="E71" s="151">
        <v>0.57054533079201075</v>
      </c>
      <c r="F71" s="151">
        <v>0.5710605363652137</v>
      </c>
      <c r="G71" s="151">
        <v>5.1258692717449106E-5</v>
      </c>
      <c r="H71" s="151">
        <v>2.2619501814863136E-4</v>
      </c>
      <c r="I71" s="151">
        <v>1.7863427509899562E-3</v>
      </c>
      <c r="J71" s="151">
        <v>2.1348603792459478E-5</v>
      </c>
      <c r="K71" s="151">
        <v>1.3123372910833826E-4</v>
      </c>
      <c r="L71" s="151">
        <v>6.6858503768460218E-6</v>
      </c>
      <c r="M71" s="151">
        <v>6.4650556655226258E-6</v>
      </c>
      <c r="O71" s="15" t="s">
        <v>881</v>
      </c>
      <c r="P71" s="57">
        <f>C76/1000000</f>
        <v>9.1467964431526244E-2</v>
      </c>
      <c r="Q71" s="57">
        <f>P71/'OEO &amp; EPAUS9rT Data'!AC$5</f>
        <v>8.6894566209949925E-2</v>
      </c>
      <c r="R71" s="57">
        <f>Q71/'OEO &amp; EPAUS9rT Data'!AD$5</f>
        <v>8.2549837899452402E-2</v>
      </c>
      <c r="S71" s="57">
        <f>R71/'OEO &amp; EPAUS9rT Data'!AE$5</f>
        <v>7.8422346004479865E-2</v>
      </c>
      <c r="T71" s="57">
        <f>S71/'OEO &amp; EPAUS9rT Data'!AF$5</f>
        <v>7.4501228704255795E-2</v>
      </c>
      <c r="U71" s="57">
        <f>T71/'OEO &amp; EPAUS9rT Data'!AG$5</f>
        <v>7.0776167269042983E-2</v>
      </c>
      <c r="V71" s="57">
        <f>U71/'OEO &amp; EPAUS9rT Data'!AH$5</f>
        <v>6.7237358905590891E-2</v>
      </c>
      <c r="W71" s="57"/>
    </row>
    <row r="72" spans="1:24" x14ac:dyDescent="0.25">
      <c r="A72" s="73" t="s">
        <v>565</v>
      </c>
      <c r="O72" s="15" t="s">
        <v>882</v>
      </c>
      <c r="P72" s="57">
        <f>C77/1000000</f>
        <v>4.1610653027499354E-2</v>
      </c>
      <c r="Q72" s="57">
        <f>P72/'OEO &amp; EPAUS9rT Data'!AC$5</f>
        <v>3.9530120376124384E-2</v>
      </c>
      <c r="R72" s="57">
        <f>Q72/'OEO &amp; EPAUS9rT Data'!AD$5</f>
        <v>3.7553614357318153E-2</v>
      </c>
      <c r="S72" s="57">
        <f>R72/'OEO &amp; EPAUS9rT Data'!AE$5</f>
        <v>3.5675933639452283E-2</v>
      </c>
      <c r="T72" s="57">
        <f>S72/'OEO &amp; EPAUS9rT Data'!AF$5</f>
        <v>3.3892136957479634E-2</v>
      </c>
      <c r="U72" s="57">
        <f>T72/'OEO &amp; EPAUS9rT Data'!AG$5</f>
        <v>3.2197530109605639E-2</v>
      </c>
      <c r="V72" s="57">
        <f>U72/'OEO &amp; EPAUS9rT Data'!AH$5</f>
        <v>3.0587653604125385E-2</v>
      </c>
    </row>
    <row r="73" spans="1:24" x14ac:dyDescent="0.25">
      <c r="O73" s="15" t="s">
        <v>976</v>
      </c>
      <c r="P73" s="57">
        <f>C78/1000000</f>
        <v>1.817410753582354</v>
      </c>
      <c r="Q73" s="57">
        <f>1/('OEO &amp; EPAUS9rT Data'!T18*km_mile)</f>
        <v>1.7265149670736504</v>
      </c>
      <c r="R73" s="57">
        <f>1/('OEO &amp; EPAUS9rT Data'!U18*km_mile)</f>
        <v>1.6399386029290226</v>
      </c>
      <c r="S73" s="57">
        <f>1/('OEO &amp; EPAUS9rT Data'!V18*km_mile)</f>
        <v>1.5581061601048314</v>
      </c>
      <c r="T73" s="57">
        <f>1/('OEO &amp; EPAUS9rT Data'!W18*km_mile)</f>
        <v>1.4801637366598539</v>
      </c>
      <c r="U73" s="57">
        <f>1/('OEO &amp; EPAUS9rT Data'!X18*km_mile)</f>
        <v>1.4061388021041112</v>
      </c>
      <c r="V73" s="57">
        <f>1/('OEO &amp; EPAUS9rT Data'!Y18*km_mile)</f>
        <v>1.3359981437321151</v>
      </c>
      <c r="X73" s="221"/>
    </row>
    <row r="74" spans="1:24" ht="30.95" customHeight="1" thickBot="1" x14ac:dyDescent="0.3">
      <c r="A74" s="933" t="s">
        <v>972</v>
      </c>
      <c r="B74" s="933"/>
      <c r="C74" s="933"/>
      <c r="D74" s="933"/>
      <c r="E74" s="933"/>
      <c r="F74" s="933"/>
      <c r="G74" s="933"/>
      <c r="H74" s="154"/>
      <c r="I74" s="932" t="s">
        <v>991</v>
      </c>
      <c r="J74" s="932"/>
      <c r="K74" s="932"/>
      <c r="L74" s="932"/>
      <c r="M74" s="932"/>
      <c r="O74" s="198" t="s">
        <v>851</v>
      </c>
      <c r="P74" s="221">
        <f t="shared" ref="P74:V74" si="30">P75*$M$76 + P76*$M$77 + P77*$M$78</f>
        <v>9.4200579712265711E-2</v>
      </c>
      <c r="Q74" s="221">
        <f t="shared" si="30"/>
        <v>8.9488969435529642E-2</v>
      </c>
      <c r="R74" s="221">
        <f t="shared" si="30"/>
        <v>8.5016304895142586E-2</v>
      </c>
      <c r="S74" s="221">
        <f t="shared" si="30"/>
        <v>8.0765328631261304E-2</v>
      </c>
      <c r="T74" s="221">
        <f t="shared" si="30"/>
        <v>7.6726916883507426E-2</v>
      </c>
      <c r="U74" s="221">
        <f t="shared" si="30"/>
        <v>7.2889390843423912E-2</v>
      </c>
      <c r="V74" s="221">
        <f t="shared" si="30"/>
        <v>6.9246578246157639E-2</v>
      </c>
    </row>
    <row r="75" spans="1:24" ht="60.75" thickBot="1" x14ac:dyDescent="0.3">
      <c r="A75" s="99" t="s">
        <v>856</v>
      </c>
      <c r="B75" s="99" t="s">
        <v>973</v>
      </c>
      <c r="C75" s="99" t="s">
        <v>857</v>
      </c>
      <c r="D75" s="99" t="s">
        <v>858</v>
      </c>
      <c r="E75" s="99" t="s">
        <v>995</v>
      </c>
      <c r="F75" s="99" t="s">
        <v>988</v>
      </c>
      <c r="G75" s="99" t="s">
        <v>989</v>
      </c>
      <c r="I75" s="99" t="s">
        <v>876</v>
      </c>
      <c r="J75" s="99" t="s">
        <v>986</v>
      </c>
      <c r="K75" s="99" t="s">
        <v>987</v>
      </c>
      <c r="L75" s="245" t="s">
        <v>996</v>
      </c>
      <c r="M75" s="248" t="s">
        <v>990</v>
      </c>
      <c r="O75" s="15" t="s">
        <v>881</v>
      </c>
      <c r="P75" s="57">
        <f>D76/1000000</f>
        <v>9.0615019541006023E-2</v>
      </c>
      <c r="Q75" s="57">
        <f>P75/'OEO &amp; EPAUS9rT Data'!AC$5</f>
        <v>8.6084268563955707E-2</v>
      </c>
      <c r="R75" s="57">
        <f>Q75/'OEO &amp; EPAUS9rT Data'!AD$5</f>
        <v>8.1780055135757895E-2</v>
      </c>
      <c r="S75" s="57">
        <f>R75/'OEO &amp; EPAUS9rT Data'!AE$5</f>
        <v>7.7691052378970088E-2</v>
      </c>
      <c r="T75" s="57">
        <f>S75/'OEO &amp; EPAUS9rT Data'!AF$5</f>
        <v>7.3806499760021516E-2</v>
      </c>
      <c r="U75" s="57">
        <f>T75/'OEO &amp; EPAUS9rT Data'!AG$5</f>
        <v>7.0116174772020409E-2</v>
      </c>
      <c r="V75" s="57">
        <f>U75/'OEO &amp; EPAUS9rT Data'!AH$5</f>
        <v>6.6610366033419452E-2</v>
      </c>
    </row>
    <row r="76" spans="1:24" ht="15.75" thickTop="1" x14ac:dyDescent="0.25">
      <c r="A76" t="s">
        <v>855</v>
      </c>
      <c r="B76" s="159">
        <v>27.7</v>
      </c>
      <c r="C76" s="159">
        <v>91467.964431526241</v>
      </c>
      <c r="D76" s="159">
        <v>90615.019541006026</v>
      </c>
      <c r="E76" s="159">
        <v>91566.218125094587</v>
      </c>
      <c r="F76" s="244">
        <f>'Background Data'!AD232*1000 * MDO_MJ_L/0.9139 /1000000000 * 'Background Data'!AD251/'Background Data'!AE251</f>
        <v>2.3694138788762564</v>
      </c>
      <c r="G76" s="244">
        <f>'Background Data'!AF232*1000 * HFO_MJ_L/0.9912 /1000000000 * 'Background Data'!AD251/'Background Data'!AE251</f>
        <v>0.78735704173535226</v>
      </c>
      <c r="I76" t="s">
        <v>983</v>
      </c>
      <c r="J76" s="69">
        <f>F76/(D76/1000000)</f>
        <v>26.148136267895691</v>
      </c>
      <c r="K76" s="69">
        <f>G76/(C76/1000000)</f>
        <v>8.6080087889653978</v>
      </c>
      <c r="L76" s="246">
        <f>SUM(J76:K76)</f>
        <v>34.756145056861087</v>
      </c>
      <c r="M76" s="249">
        <f>L76/$L$79</f>
        <v>0.7775582933722518</v>
      </c>
      <c r="O76" s="15" t="s">
        <v>882</v>
      </c>
      <c r="P76" s="57">
        <f>D77/1000000</f>
        <v>4.122462058864465E-2</v>
      </c>
      <c r="Q76" s="57">
        <f>P76/'OEO &amp; EPAUS9rT Data'!AC$5</f>
        <v>3.9163389559212412E-2</v>
      </c>
      <c r="R76" s="57">
        <f>Q76/'OEO &amp; EPAUS9rT Data'!AD$5</f>
        <v>3.720522008125178E-2</v>
      </c>
      <c r="S76" s="57">
        <f>R76/'OEO &amp; EPAUS9rT Data'!AE$5</f>
        <v>3.5344959077189229E-2</v>
      </c>
      <c r="T76" s="57">
        <f>S76/'OEO &amp; EPAUS9rT Data'!AF$5</f>
        <v>3.3577711123329732E-2</v>
      </c>
      <c r="U76" s="57">
        <f>T76/'OEO &amp; EPAUS9rT Data'!AG$5</f>
        <v>3.1898825567163232E-2</v>
      </c>
      <c r="V76" s="57">
        <f>U76/'OEO &amp; EPAUS9rT Data'!AH$5</f>
        <v>3.0303884288805098E-2</v>
      </c>
    </row>
    <row r="77" spans="1:24" x14ac:dyDescent="0.25">
      <c r="A77" t="s">
        <v>859</v>
      </c>
      <c r="B77" s="159">
        <v>108.6</v>
      </c>
      <c r="C77" s="159">
        <v>41610.653027499357</v>
      </c>
      <c r="D77" s="159">
        <v>41224.620588644648</v>
      </c>
      <c r="E77" s="159">
        <v>41613.896508885497</v>
      </c>
      <c r="F77" s="244">
        <f>('Background Data'!AD234+'Background Data'!AD237)*1000 * MDO_MJ_L/0.9139 /1000000000 * ('Background Data'!AD252+'Background Data'!AD255)/('Background Data'!AE252+'Background Data'!AE255)</f>
        <v>0.39421757629586435</v>
      </c>
      <c r="G77" s="244">
        <f>('Background Data'!AF234+'Background Data'!AF237)*1000 * HFO_MJ_L/0.9312 /1000000000 * ('Background Data'!AD252+'Background Data'!AD255)/('Background Data'!AE252+'Background Data'!AE255)</f>
        <v>5.0437021066881678E-4</v>
      </c>
      <c r="I77" t="s">
        <v>984</v>
      </c>
      <c r="J77" s="69">
        <f>F77/(D77/1000000)</f>
        <v>9.562673243970421</v>
      </c>
      <c r="K77" s="69">
        <f>G77/(C77/1000000)</f>
        <v>1.2121179889570398E-2</v>
      </c>
      <c r="L77" s="246">
        <f t="shared" ref="L77:L79" si="31">SUM(J77:K77)</f>
        <v>9.5747944238599914</v>
      </c>
      <c r="M77" s="249">
        <f>L77/$L$79</f>
        <v>0.21420559729586711</v>
      </c>
      <c r="O77" s="15" t="s">
        <v>976</v>
      </c>
      <c r="P77" s="57">
        <f>1/('OEO &amp; EPAUS9rT Data'!S17*km_mile) * MGO_MDO</f>
        <v>1.8105120617887551</v>
      </c>
      <c r="Q77" s="57">
        <f>1/('OEO &amp; EPAUS9rT Data'!T17*km_mile) * MGO_MDO</f>
        <v>1.719794463782903</v>
      </c>
      <c r="R77" s="57">
        <f>1/('OEO &amp; EPAUS9rT Data'!U17*km_mile) * MGO_MDO</f>
        <v>1.6340213393927225</v>
      </c>
      <c r="S77" s="57">
        <f>1/('OEO &amp; EPAUS9rT Data'!V17*km_mile) * MGO_MDO</f>
        <v>1.5523007220361593</v>
      </c>
      <c r="T77" s="57">
        <f>1/('OEO &amp; EPAUS9rT Data'!W17*km_mile) * MGO_MDO</f>
        <v>1.4746680421434664</v>
      </c>
      <c r="U77" s="57">
        <f>1/('OEO &amp; EPAUS9rT Data'!X17*km_mile) * MGO_MDO</f>
        <v>1.4007913447180109</v>
      </c>
      <c r="V77" s="57">
        <f>1/('OEO &amp; EPAUS9rT Data'!Y17*km_mile) * MGO_MDO</f>
        <v>1.330952958019924</v>
      </c>
    </row>
    <row r="78" spans="1:24" ht="15.75" thickBot="1" x14ac:dyDescent="0.3">
      <c r="A78" t="s">
        <v>974</v>
      </c>
      <c r="B78" s="243" t="s">
        <v>15</v>
      </c>
      <c r="C78" s="243">
        <f>1000000/('OEO &amp; EPAUS9rT Data'!S18*km_mile)</f>
        <v>1817410.7535823539</v>
      </c>
      <c r="D78" s="243">
        <f>1000000/('OEO &amp; EPAUS9rT Data'!S17*km_mile) * MGO_MDO</f>
        <v>1810512.061788755</v>
      </c>
      <c r="E78" t="s">
        <v>15</v>
      </c>
      <c r="F78" s="244">
        <f>'Background Data'!AD233*1000 * MDO_MJ_L/0.9139 /1000000000 * 'Background Data'!AD256/'Background Data'!AE256</f>
        <v>0.66653378677729014</v>
      </c>
      <c r="G78" s="244">
        <v>0</v>
      </c>
      <c r="I78" t="s">
        <v>976</v>
      </c>
      <c r="J78" s="69">
        <f>F78/(D78/1000000)</f>
        <v>0.36814655966377058</v>
      </c>
      <c r="K78" s="69">
        <v>0</v>
      </c>
      <c r="L78" s="246">
        <f t="shared" si="31"/>
        <v>0.36814655966377058</v>
      </c>
      <c r="M78" s="202">
        <f>L78/$L$79</f>
        <v>8.2361093318811165E-3</v>
      </c>
      <c r="O78" s="198" t="s">
        <v>997</v>
      </c>
      <c r="P78" s="221">
        <f>P79*$M$76 + P80*$M$77 + P73*$M$78</f>
        <v>9.5080395520834846E-2</v>
      </c>
      <c r="Q78" s="221">
        <f t="shared" ref="Q78:V78" si="32">Q79*$M$76 + Q80*$M$77 + Q73*$M$78</f>
        <v>9.0326167792672107E-2</v>
      </c>
      <c r="R78" s="221">
        <f t="shared" si="32"/>
        <v>8.5807795303983941E-2</v>
      </c>
      <c r="S78" s="221">
        <f t="shared" si="32"/>
        <v>8.1518760274354674E-2</v>
      </c>
      <c r="T78" s="221">
        <f t="shared" si="32"/>
        <v>7.7442516573817316E-2</v>
      </c>
      <c r="U78" s="221">
        <f t="shared" si="32"/>
        <v>7.3570252809050787E-2</v>
      </c>
      <c r="V78" s="221">
        <f t="shared" si="32"/>
        <v>6.989310968313292E-2</v>
      </c>
    </row>
    <row r="79" spans="1:24" ht="14.45" customHeight="1" x14ac:dyDescent="0.25">
      <c r="A79" s="876" t="s">
        <v>975</v>
      </c>
      <c r="B79" s="876"/>
      <c r="C79" s="876"/>
      <c r="D79" s="876"/>
      <c r="E79" s="876"/>
      <c r="F79" s="876"/>
      <c r="G79" s="876"/>
      <c r="I79" s="26" t="s">
        <v>231</v>
      </c>
      <c r="J79" s="84">
        <f>SUM(J76:J78)</f>
        <v>36.07895607152988</v>
      </c>
      <c r="K79" s="84">
        <f>SUM(K76:K78)</f>
        <v>8.6201299688549682</v>
      </c>
      <c r="L79" s="247">
        <f t="shared" si="31"/>
        <v>44.699086040384849</v>
      </c>
      <c r="O79" s="15" t="s">
        <v>881</v>
      </c>
      <c r="P79" s="57">
        <f>E76/1000000</f>
        <v>9.1566218125094592E-2</v>
      </c>
      <c r="Q79" s="57">
        <f>P79/'OEO &amp; EPAUS9rT Data'!AC$5</f>
        <v>8.6987907218839852E-2</v>
      </c>
      <c r="R79" s="57">
        <f>Q79/'OEO &amp; EPAUS9rT Data'!AD$5</f>
        <v>8.2638511857897834E-2</v>
      </c>
      <c r="S79" s="57">
        <f>R79/'OEO &amp; EPAUS9rT Data'!AE$5</f>
        <v>7.8506586265003023E-2</v>
      </c>
      <c r="T79" s="57">
        <f>S79/'OEO &amp; EPAUS9rT Data'!AF$5</f>
        <v>7.45812569517528E-2</v>
      </c>
      <c r="U79" s="57">
        <f>T79/'OEO &amp; EPAUS9rT Data'!AG$5</f>
        <v>7.0852194104165128E-2</v>
      </c>
      <c r="V79" s="57">
        <f>U79/'OEO &amp; EPAUS9rT Data'!AH$5</f>
        <v>6.7309584398956929E-2</v>
      </c>
    </row>
    <row r="80" spans="1:24" ht="14.45" customHeight="1" x14ac:dyDescent="0.25">
      <c r="A80" s="876"/>
      <c r="B80" s="876"/>
      <c r="C80" s="876"/>
      <c r="D80" s="876"/>
      <c r="E80" s="876"/>
      <c r="F80" s="876"/>
      <c r="G80" s="876"/>
      <c r="I80" s="69"/>
      <c r="O80" s="15" t="s">
        <v>882</v>
      </c>
      <c r="P80" s="57">
        <f>E77/1000000</f>
        <v>4.1613896508885494E-2</v>
      </c>
      <c r="Q80" s="57">
        <f>P80/'OEO &amp; EPAUS9rT Data'!AC$5</f>
        <v>3.953320168344121E-2</v>
      </c>
      <c r="R80" s="57">
        <f>Q80/'OEO &amp; EPAUS9rT Data'!AD$5</f>
        <v>3.7556541599269133E-2</v>
      </c>
      <c r="S80" s="57">
        <f>R80/'OEO &amp; EPAUS9rT Data'!AE$5</f>
        <v>3.5678714519305717E-2</v>
      </c>
      <c r="T80" s="57">
        <f>S80/'OEO &amp; EPAUS9rT Data'!AF$5</f>
        <v>3.3894778793340394E-2</v>
      </c>
      <c r="U80" s="57">
        <f>T80/'OEO &amp; EPAUS9rT Data'!AG$5</f>
        <v>3.2200039853673361E-2</v>
      </c>
      <c r="V80" s="57">
        <f>U80/'OEO &amp; EPAUS9rT Data'!AH$5</f>
        <v>3.0590037860989721E-2</v>
      </c>
    </row>
    <row r="81" spans="1:27" x14ac:dyDescent="0.25">
      <c r="A81" s="876"/>
      <c r="B81" s="876"/>
      <c r="C81" s="876"/>
      <c r="D81" s="876"/>
      <c r="E81" s="876"/>
      <c r="F81" s="876"/>
      <c r="G81" s="876"/>
      <c r="H81" s="26"/>
      <c r="I81" s="84"/>
      <c r="O81" s="58" t="s">
        <v>886</v>
      </c>
    </row>
    <row r="83" spans="1:27" ht="15.75" x14ac:dyDescent="0.25">
      <c r="A83" s="846" t="s">
        <v>864</v>
      </c>
      <c r="B83" s="846"/>
      <c r="C83" s="846"/>
      <c r="D83" s="846"/>
      <c r="E83" s="846"/>
      <c r="F83" s="846"/>
      <c r="G83" s="846"/>
      <c r="H83" s="846"/>
      <c r="I83" s="846"/>
      <c r="J83" s="846"/>
      <c r="K83" s="846"/>
      <c r="O83" s="846" t="s">
        <v>873</v>
      </c>
      <c r="P83" s="846"/>
      <c r="Q83" s="846"/>
      <c r="R83" s="846"/>
      <c r="S83" s="846"/>
      <c r="T83" s="846"/>
      <c r="U83" s="846"/>
      <c r="V83" s="846"/>
      <c r="W83" s="846"/>
      <c r="X83" s="846"/>
      <c r="Y83" s="846"/>
      <c r="Z83" s="846"/>
      <c r="AA83" s="846"/>
    </row>
    <row r="84" spans="1:27" ht="15.75" thickBot="1" x14ac:dyDescent="0.3">
      <c r="A84" s="99" t="s">
        <v>505</v>
      </c>
      <c r="B84" s="99">
        <v>2000</v>
      </c>
      <c r="C84" s="99">
        <v>2005</v>
      </c>
      <c r="D84" s="99">
        <v>2010</v>
      </c>
      <c r="E84" s="99">
        <v>2012</v>
      </c>
      <c r="F84" s="99">
        <v>2015</v>
      </c>
      <c r="G84" s="99">
        <v>2020</v>
      </c>
      <c r="H84" s="99">
        <v>2025</v>
      </c>
      <c r="I84" s="99">
        <v>2030</v>
      </c>
      <c r="J84" s="99">
        <v>2035</v>
      </c>
      <c r="K84" s="99">
        <v>2040</v>
      </c>
      <c r="L84" s="26" t="s">
        <v>865</v>
      </c>
      <c r="O84" s="99" t="s">
        <v>505</v>
      </c>
      <c r="P84" s="99">
        <v>2000</v>
      </c>
      <c r="Q84" s="99">
        <v>2005</v>
      </c>
      <c r="R84" s="99">
        <v>2010</v>
      </c>
      <c r="S84" s="99">
        <v>2012</v>
      </c>
      <c r="T84" s="99">
        <v>2015</v>
      </c>
      <c r="U84" s="99">
        <v>2020</v>
      </c>
      <c r="V84" s="99">
        <v>2025</v>
      </c>
      <c r="W84" s="99">
        <v>2030</v>
      </c>
      <c r="X84" s="99">
        <v>2035</v>
      </c>
      <c r="Y84" s="99">
        <v>2040</v>
      </c>
      <c r="Z84" s="99">
        <v>2045</v>
      </c>
      <c r="AA84" s="99">
        <v>2050</v>
      </c>
    </row>
    <row r="85" spans="1:27" ht="15.75" thickTop="1" x14ac:dyDescent="0.25">
      <c r="A85" s="26" t="s">
        <v>861</v>
      </c>
      <c r="B85" s="67">
        <v>326</v>
      </c>
      <c r="C85" s="67">
        <v>312</v>
      </c>
      <c r="D85" s="67">
        <v>267</v>
      </c>
      <c r="E85" s="67">
        <v>273</v>
      </c>
      <c r="F85" s="67">
        <v>270</v>
      </c>
      <c r="G85" s="67">
        <v>260</v>
      </c>
      <c r="H85" s="67">
        <v>251</v>
      </c>
      <c r="I85" s="67">
        <v>242</v>
      </c>
      <c r="J85" s="67">
        <v>233</v>
      </c>
      <c r="K85" s="67">
        <v>225</v>
      </c>
      <c r="L85" s="81">
        <f>(K85-G85)/G85/4</f>
        <v>-3.3653846153846152E-2</v>
      </c>
      <c r="M85" s="81"/>
      <c r="O85" s="26" t="s">
        <v>529</v>
      </c>
    </row>
    <row r="86" spans="1:27" x14ac:dyDescent="0.25">
      <c r="A86" s="26" t="s">
        <v>862</v>
      </c>
      <c r="B86" s="67">
        <f>SUM(B87:B88)</f>
        <v>3060.5897434517406</v>
      </c>
      <c r="C86" s="67">
        <f t="shared" ref="C86:G86" si="33">SUM(C87:C88)</f>
        <v>2583.985774577216</v>
      </c>
      <c r="D86" s="67">
        <f t="shared" si="33"/>
        <v>2169.6638190031149</v>
      </c>
      <c r="E86" s="67">
        <f t="shared" si="33"/>
        <v>2024.9837211934157</v>
      </c>
      <c r="F86" s="67">
        <f t="shared" si="33"/>
        <v>1548.0061311617801</v>
      </c>
      <c r="G86" s="67">
        <f t="shared" si="33"/>
        <v>1533.3249125032121</v>
      </c>
      <c r="H86" s="67">
        <f t="shared" ref="H86" si="34">SUM(H87:H88)</f>
        <v>1516.9335415123232</v>
      </c>
      <c r="I86" s="67">
        <f t="shared" ref="I86" si="35">SUM(I87:I88)</f>
        <v>1501.9624751860763</v>
      </c>
      <c r="J86" s="67">
        <f t="shared" ref="J86" si="36">SUM(J87:J88)</f>
        <v>1486.9914088598293</v>
      </c>
      <c r="K86" s="67">
        <f t="shared" ref="K86" si="37">SUM(K87:K88)</f>
        <v>1472.3101902012613</v>
      </c>
      <c r="L86" s="81">
        <f>(K86-G86)/G86/4</f>
        <v>-9.948107182701069E-3</v>
      </c>
      <c r="M86" s="81"/>
      <c r="O86" s="15" t="s">
        <v>96</v>
      </c>
      <c r="P86" s="67">
        <f t="shared" ref="P86:Y86" si="38">B85*LHV_to_HHV_Diesel</f>
        <v>348.66391592059165</v>
      </c>
      <c r="Q86" s="67">
        <f t="shared" si="38"/>
        <v>333.69061891786686</v>
      </c>
      <c r="R86" s="67">
        <f t="shared" si="38"/>
        <v>285.56216426625144</v>
      </c>
      <c r="S86" s="67">
        <f t="shared" si="38"/>
        <v>291.97929155313352</v>
      </c>
      <c r="T86" s="67">
        <f t="shared" si="38"/>
        <v>288.77072790969248</v>
      </c>
      <c r="U86" s="67">
        <f t="shared" si="38"/>
        <v>278.07551576488908</v>
      </c>
      <c r="V86" s="67">
        <f t="shared" si="38"/>
        <v>268.44982483456596</v>
      </c>
      <c r="W86" s="67">
        <f t="shared" si="38"/>
        <v>258.8241339042429</v>
      </c>
      <c r="X86" s="67">
        <f t="shared" si="38"/>
        <v>249.19844297391981</v>
      </c>
      <c r="Y86" s="67">
        <f t="shared" si="38"/>
        <v>240.64227325807707</v>
      </c>
      <c r="Z86" s="67">
        <f>Y86*(1+$L85)</f>
        <v>232.54373521573794</v>
      </c>
      <c r="AA86" s="67">
        <f>Z86*(1+$L85)</f>
        <v>224.71774412674677</v>
      </c>
    </row>
    <row r="87" spans="1:27" x14ac:dyDescent="0.25">
      <c r="A87" s="15" t="s">
        <v>96</v>
      </c>
      <c r="B87" s="67">
        <v>2188.4893433799789</v>
      </c>
      <c r="C87" s="67">
        <v>1563.0032800594686</v>
      </c>
      <c r="D87" s="67">
        <v>1269.9743457943923</v>
      </c>
      <c r="E87" s="67">
        <v>1190.4468106995885</v>
      </c>
      <c r="F87" s="67">
        <v>1269.7523701899308</v>
      </c>
      <c r="G87" s="67">
        <v>1257.679780540474</v>
      </c>
      <c r="H87" s="67">
        <v>1244.1868862263752</v>
      </c>
      <c r="I87" s="67">
        <v>1232.1142965769184</v>
      </c>
      <c r="J87" s="67">
        <v>1220.0417069274615</v>
      </c>
      <c r="K87" s="67">
        <v>1207.9691172780047</v>
      </c>
      <c r="L87" s="81">
        <f t="shared" ref="L87:L88" si="39">(K87-G87)/G87/4</f>
        <v>-9.881422924901186E-3</v>
      </c>
      <c r="O87" s="15" t="s">
        <v>868</v>
      </c>
      <c r="P87" s="67"/>
      <c r="Q87" s="67"/>
      <c r="R87" s="67"/>
      <c r="S87" s="67"/>
      <c r="T87" s="67"/>
      <c r="U87" s="67"/>
      <c r="V87" s="67"/>
      <c r="W87" s="67">
        <f t="shared" ref="W87:AA87" si="40">W86*$B$92</f>
        <v>176.51805932269363</v>
      </c>
      <c r="X87" s="67">
        <f t="shared" si="40"/>
        <v>169.9533381082133</v>
      </c>
      <c r="Y87" s="67">
        <f t="shared" si="40"/>
        <v>164.11803036200854</v>
      </c>
      <c r="Z87" s="67">
        <f t="shared" si="40"/>
        <v>158.59482741713327</v>
      </c>
      <c r="AA87" s="67">
        <f t="shared" si="40"/>
        <v>153.25750149444127</v>
      </c>
    </row>
    <row r="88" spans="1:27" x14ac:dyDescent="0.25">
      <c r="A88" s="15" t="s">
        <v>44</v>
      </c>
      <c r="B88" s="67">
        <v>872.10040007176178</v>
      </c>
      <c r="C88" s="67">
        <v>1020.9824945177476</v>
      </c>
      <c r="D88" s="67">
        <v>899.68947320872269</v>
      </c>
      <c r="E88" s="67">
        <v>834.53691049382724</v>
      </c>
      <c r="F88" s="67">
        <v>278.2537609718492</v>
      </c>
      <c r="G88" s="67">
        <v>275.64513196273811</v>
      </c>
      <c r="H88" s="67">
        <v>272.74665528594801</v>
      </c>
      <c r="I88" s="67">
        <v>269.84817860915791</v>
      </c>
      <c r="J88" s="67">
        <v>266.94970193236782</v>
      </c>
      <c r="K88" s="67">
        <v>264.34107292325677</v>
      </c>
      <c r="L88" s="81">
        <f t="shared" si="39"/>
        <v>-1.025236593059933E-2</v>
      </c>
      <c r="O88" s="15" t="s">
        <v>216</v>
      </c>
      <c r="V88" s="67">
        <f>V86*$C$92</f>
        <v>289.92581082133125</v>
      </c>
      <c r="W88" s="67">
        <f t="shared" ref="W88:AA88" si="41">W86*$C$92</f>
        <v>279.53006461658237</v>
      </c>
      <c r="X88" s="67">
        <f t="shared" si="41"/>
        <v>269.13431841183342</v>
      </c>
      <c r="Y88" s="67">
        <f t="shared" si="41"/>
        <v>259.89365511872325</v>
      </c>
      <c r="Z88" s="67">
        <f t="shared" si="41"/>
        <v>251.14723403299701</v>
      </c>
      <c r="AA88" s="67">
        <f t="shared" si="41"/>
        <v>242.69516365688654</v>
      </c>
    </row>
    <row r="89" spans="1:27" x14ac:dyDescent="0.25">
      <c r="B89" s="67"/>
      <c r="C89" s="57"/>
      <c r="D89" s="57"/>
      <c r="E89" s="67"/>
      <c r="O89" s="26" t="s">
        <v>874</v>
      </c>
      <c r="P89" s="67"/>
      <c r="Q89" s="67"/>
      <c r="R89" s="67"/>
      <c r="S89" s="67"/>
      <c r="T89" s="67"/>
      <c r="U89" s="67"/>
      <c r="V89" s="67"/>
      <c r="W89" s="67"/>
      <c r="X89" s="67"/>
      <c r="Y89" s="67"/>
      <c r="Z89" s="67"/>
      <c r="AA89" s="67"/>
    </row>
    <row r="90" spans="1:27" ht="15.75" x14ac:dyDescent="0.25">
      <c r="A90" s="846" t="s">
        <v>866</v>
      </c>
      <c r="B90" s="846"/>
      <c r="C90" s="846"/>
      <c r="D90" s="846"/>
      <c r="E90" s="846"/>
      <c r="F90" s="846"/>
      <c r="G90" s="846"/>
      <c r="H90" s="154"/>
      <c r="I90" s="154"/>
      <c r="J90" s="154"/>
      <c r="K90" s="154"/>
      <c r="O90" s="15" t="s">
        <v>96</v>
      </c>
      <c r="P90" s="67">
        <f t="shared" ref="P90:Y90" si="42">B87*LHV_to_HHV_Diesel + B88</f>
        <v>3212.7361804808043</v>
      </c>
      <c r="Q90" s="67">
        <f t="shared" si="42"/>
        <v>2692.6476608437092</v>
      </c>
      <c r="R90" s="67">
        <f t="shared" si="42"/>
        <v>2257.9539778816197</v>
      </c>
      <c r="S90" s="67">
        <f t="shared" si="42"/>
        <v>2107.7450292475014</v>
      </c>
      <c r="T90" s="67">
        <f t="shared" si="42"/>
        <v>1636.2808580266776</v>
      </c>
      <c r="U90" s="67">
        <f t="shared" si="42"/>
        <v>1620.7603382737566</v>
      </c>
      <c r="V90" s="67">
        <f t="shared" si="42"/>
        <v>1603.4309248832967</v>
      </c>
      <c r="W90" s="67">
        <f t="shared" si="42"/>
        <v>1587.6205574626965</v>
      </c>
      <c r="X90" s="67">
        <f t="shared" si="42"/>
        <v>1571.8101900420966</v>
      </c>
      <c r="Y90" s="67">
        <f t="shared" si="42"/>
        <v>1556.2896702891758</v>
      </c>
      <c r="Z90" s="67">
        <f>Y90*(1+$L86)</f>
        <v>1540.8075338418084</v>
      </c>
      <c r="AA90" s="67">
        <f>Z90*(1+$L86)</f>
        <v>1525.4794153472367</v>
      </c>
    </row>
    <row r="91" spans="1:27" ht="15" customHeight="1" thickBot="1" x14ac:dyDescent="0.3">
      <c r="A91" s="83" t="s">
        <v>867</v>
      </c>
      <c r="B91" s="215" t="s">
        <v>868</v>
      </c>
      <c r="C91" s="215" t="s">
        <v>900</v>
      </c>
      <c r="D91" s="215" t="s">
        <v>992</v>
      </c>
      <c r="E91" s="215" t="s">
        <v>993</v>
      </c>
      <c r="F91" s="215" t="s">
        <v>222</v>
      </c>
      <c r="G91" s="215" t="s">
        <v>994</v>
      </c>
      <c r="O91" s="15" t="s">
        <v>868</v>
      </c>
      <c r="P91" s="67"/>
      <c r="Q91" s="67"/>
      <c r="R91" s="67"/>
      <c r="S91" s="67"/>
      <c r="T91" s="67"/>
      <c r="U91" s="67"/>
      <c r="V91" s="67"/>
      <c r="W91" s="67">
        <f>I87*LHV_to_HHV_Diesel*$B$95 + I88</f>
        <v>911.60332711083117</v>
      </c>
      <c r="X91" s="67">
        <f>J87*LHV_to_HHV_Diesel*$B$95 + J88</f>
        <v>902.4167596418057</v>
      </c>
      <c r="Y91" s="67">
        <f>K87*LHV_to_HHV_Diesel*$B$95 + K88</f>
        <v>893.52003984045928</v>
      </c>
      <c r="Z91" s="67">
        <f>Y91*(1+$L87)</f>
        <v>884.69079043492104</v>
      </c>
      <c r="AA91" s="67">
        <f>Z91*(1+$L87)</f>
        <v>875.94878657686843</v>
      </c>
    </row>
    <row r="92" spans="1:27" ht="15" customHeight="1" thickTop="1" x14ac:dyDescent="0.25">
      <c r="A92" t="s">
        <v>869</v>
      </c>
      <c r="B92" s="81">
        <v>0.68199999999999994</v>
      </c>
      <c r="C92" s="80">
        <v>1.08</v>
      </c>
      <c r="D92" s="80">
        <v>1</v>
      </c>
      <c r="E92" s="80">
        <v>1</v>
      </c>
      <c r="F92" s="80">
        <v>1</v>
      </c>
      <c r="G92" s="80">
        <v>1</v>
      </c>
      <c r="O92" s="876" t="s">
        <v>899</v>
      </c>
      <c r="P92" s="876"/>
      <c r="Q92" s="876"/>
      <c r="R92" s="876"/>
      <c r="S92" s="876"/>
      <c r="T92" s="876"/>
      <c r="U92" s="876"/>
      <c r="V92" s="876"/>
      <c r="W92" s="876"/>
      <c r="X92" s="876"/>
      <c r="Y92" s="876"/>
      <c r="Z92" s="876"/>
      <c r="AA92" s="876"/>
    </row>
    <row r="93" spans="1:27" x14ac:dyDescent="0.25">
      <c r="A93" t="s">
        <v>870</v>
      </c>
      <c r="B93" s="81">
        <v>0.58299999999999996</v>
      </c>
      <c r="C93" s="80">
        <v>1.08</v>
      </c>
      <c r="D93" s="80">
        <v>1</v>
      </c>
      <c r="E93" s="80">
        <v>1</v>
      </c>
      <c r="F93" s="80">
        <v>1</v>
      </c>
      <c r="G93" s="80">
        <v>1</v>
      </c>
      <c r="O93" s="876"/>
      <c r="P93" s="876"/>
      <c r="Q93" s="876"/>
      <c r="R93" s="876"/>
      <c r="S93" s="876"/>
      <c r="T93" s="876"/>
      <c r="U93" s="876"/>
      <c r="V93" s="876"/>
      <c r="W93" s="876"/>
      <c r="X93" s="876"/>
      <c r="Y93" s="876"/>
      <c r="Z93" s="876"/>
      <c r="AA93" s="876"/>
    </row>
    <row r="94" spans="1:27" x14ac:dyDescent="0.25">
      <c r="A94" t="s">
        <v>871</v>
      </c>
      <c r="B94" s="81">
        <v>0.374</v>
      </c>
      <c r="C94" s="80">
        <v>1.08</v>
      </c>
      <c r="D94" s="80">
        <v>1</v>
      </c>
      <c r="E94" s="80">
        <v>1</v>
      </c>
      <c r="F94" s="80">
        <v>1</v>
      </c>
      <c r="G94" s="80">
        <v>1</v>
      </c>
    </row>
    <row r="95" spans="1:27" x14ac:dyDescent="0.25">
      <c r="A95" t="s">
        <v>872</v>
      </c>
      <c r="B95" s="81">
        <v>0.48699999999999999</v>
      </c>
      <c r="C95" s="80">
        <v>1.08</v>
      </c>
      <c r="D95" s="80">
        <v>1</v>
      </c>
      <c r="E95" s="80">
        <v>1</v>
      </c>
      <c r="F95" s="80">
        <v>1</v>
      </c>
      <c r="G95" s="80">
        <v>1</v>
      </c>
    </row>
    <row r="96" spans="1:27" x14ac:dyDescent="0.25">
      <c r="A96" s="58" t="s">
        <v>901</v>
      </c>
      <c r="B96" s="67"/>
      <c r="C96" s="69"/>
      <c r="D96" s="69"/>
      <c r="E96" s="67"/>
    </row>
    <row r="97" spans="1:15" x14ac:dyDescent="0.25">
      <c r="B97" s="67"/>
      <c r="E97" s="67"/>
    </row>
    <row r="98" spans="1:15" ht="15.75" x14ac:dyDescent="0.25">
      <c r="A98" s="846" t="s">
        <v>1073</v>
      </c>
      <c r="B98" s="846"/>
      <c r="C98" s="846"/>
      <c r="D98" s="846"/>
      <c r="E98" s="846"/>
      <c r="F98" s="846"/>
      <c r="G98" s="846"/>
      <c r="H98" s="846"/>
      <c r="I98" s="846"/>
      <c r="J98" s="846"/>
      <c r="K98" s="846"/>
      <c r="L98" s="846"/>
      <c r="M98" s="846"/>
      <c r="N98" s="846"/>
      <c r="O98" s="846"/>
    </row>
    <row r="99" spans="1:15" ht="15.75" thickBot="1" x14ac:dyDescent="0.3">
      <c r="A99" s="83" t="s">
        <v>1042</v>
      </c>
      <c r="B99" s="83" t="s">
        <v>1043</v>
      </c>
      <c r="C99" s="83" t="s">
        <v>97</v>
      </c>
      <c r="D99" s="83" t="s">
        <v>96</v>
      </c>
      <c r="E99" s="83" t="s">
        <v>1067</v>
      </c>
      <c r="F99" s="83" t="s">
        <v>1068</v>
      </c>
      <c r="G99" s="83" t="s">
        <v>1070</v>
      </c>
      <c r="H99" s="83" t="s">
        <v>230</v>
      </c>
      <c r="I99" s="83" t="s">
        <v>496</v>
      </c>
      <c r="J99" s="83" t="s">
        <v>1069</v>
      </c>
      <c r="K99" s="83" t="s">
        <v>228</v>
      </c>
      <c r="L99" s="83" t="s">
        <v>1066</v>
      </c>
      <c r="M99" s="83" t="s">
        <v>223</v>
      </c>
      <c r="N99" s="83" t="s">
        <v>215</v>
      </c>
      <c r="O99" s="83" t="s">
        <v>224</v>
      </c>
    </row>
    <row r="100" spans="1:15" ht="15.75" thickTop="1" x14ac:dyDescent="0.25">
      <c r="A100" s="26" t="s">
        <v>1071</v>
      </c>
    </row>
    <row r="101" spans="1:15" x14ac:dyDescent="0.25">
      <c r="A101" s="268" t="s">
        <v>1044</v>
      </c>
      <c r="B101" t="s">
        <v>1045</v>
      </c>
      <c r="C101" s="188"/>
      <c r="D101" s="188">
        <v>150000</v>
      </c>
      <c r="E101" s="188"/>
      <c r="F101" s="188"/>
      <c r="G101" s="188"/>
      <c r="H101" s="188">
        <v>850000</v>
      </c>
      <c r="I101" s="188">
        <v>400000</v>
      </c>
      <c r="J101" s="188">
        <v>165000</v>
      </c>
      <c r="K101" s="188">
        <v>150000</v>
      </c>
      <c r="L101" s="188">
        <v>150000</v>
      </c>
      <c r="M101" s="188"/>
      <c r="N101" s="188"/>
      <c r="O101" s="188">
        <v>215000</v>
      </c>
    </row>
    <row r="102" spans="1:15" ht="30" x14ac:dyDescent="0.25">
      <c r="A102" s="269" t="s">
        <v>1046</v>
      </c>
      <c r="B102" s="112" t="s">
        <v>1047</v>
      </c>
      <c r="C102" s="270"/>
      <c r="D102" s="270">
        <v>130000</v>
      </c>
      <c r="E102" s="270"/>
      <c r="F102" s="270"/>
      <c r="G102" s="270"/>
      <c r="H102" s="270">
        <v>480000</v>
      </c>
      <c r="I102" s="270">
        <v>360000</v>
      </c>
      <c r="J102" s="270">
        <v>145000</v>
      </c>
      <c r="K102" s="270">
        <v>130000</v>
      </c>
      <c r="L102" s="270">
        <v>130000</v>
      </c>
      <c r="M102" s="270"/>
      <c r="N102" s="270"/>
      <c r="O102" s="270">
        <v>170000</v>
      </c>
    </row>
    <row r="103" spans="1:15" x14ac:dyDescent="0.25">
      <c r="A103" s="268" t="s">
        <v>1048</v>
      </c>
      <c r="B103" t="s">
        <v>1049</v>
      </c>
      <c r="C103" s="188"/>
      <c r="D103" s="188">
        <v>75000</v>
      </c>
      <c r="E103" s="188"/>
      <c r="F103" s="188"/>
      <c r="G103" s="188"/>
      <c r="H103" s="188">
        <v>185000</v>
      </c>
      <c r="I103" s="188"/>
      <c r="J103" s="188">
        <v>90000</v>
      </c>
      <c r="K103" s="188">
        <v>75000</v>
      </c>
      <c r="L103" s="188">
        <v>75000</v>
      </c>
      <c r="M103" s="188"/>
      <c r="N103" s="188">
        <v>89000</v>
      </c>
      <c r="O103" s="188">
        <v>115000</v>
      </c>
    </row>
    <row r="104" spans="1:15" x14ac:dyDescent="0.25">
      <c r="A104" s="268" t="s">
        <v>1050</v>
      </c>
      <c r="B104" t="s">
        <v>1051</v>
      </c>
      <c r="C104" s="188"/>
      <c r="D104" s="188">
        <v>70000</v>
      </c>
      <c r="E104" s="188"/>
      <c r="F104" s="188"/>
      <c r="G104" s="188"/>
      <c r="H104" s="188">
        <v>150000</v>
      </c>
      <c r="I104" s="188"/>
      <c r="J104" s="188">
        <v>85000</v>
      </c>
      <c r="K104" s="188">
        <v>70000</v>
      </c>
      <c r="L104" s="188">
        <v>70000</v>
      </c>
      <c r="M104" s="188"/>
      <c r="N104" s="188">
        <v>78000</v>
      </c>
      <c r="O104" s="188">
        <v>110000</v>
      </c>
    </row>
    <row r="105" spans="1:15" x14ac:dyDescent="0.25">
      <c r="A105" s="268" t="s">
        <v>1052</v>
      </c>
      <c r="C105" s="188"/>
      <c r="D105" s="188">
        <v>170000</v>
      </c>
      <c r="E105" s="188"/>
      <c r="F105" s="188"/>
      <c r="G105" s="188"/>
      <c r="H105" s="188">
        <v>370000</v>
      </c>
      <c r="I105" s="188"/>
      <c r="J105" s="188"/>
      <c r="K105" s="188">
        <v>170000</v>
      </c>
      <c r="L105" s="188">
        <v>170000</v>
      </c>
      <c r="M105" s="188"/>
      <c r="N105" s="188"/>
      <c r="O105" s="188">
        <v>230000</v>
      </c>
    </row>
    <row r="106" spans="1:15" x14ac:dyDescent="0.25">
      <c r="A106" s="268" t="s">
        <v>1053</v>
      </c>
      <c r="C106" s="188"/>
      <c r="D106" s="188">
        <v>165000</v>
      </c>
      <c r="E106" s="188"/>
      <c r="F106" s="188"/>
      <c r="G106" s="188"/>
      <c r="H106" s="188">
        <v>365000</v>
      </c>
      <c r="I106" s="188"/>
      <c r="J106" s="188"/>
      <c r="K106" s="188">
        <v>165000</v>
      </c>
      <c r="L106" s="188">
        <v>165000</v>
      </c>
      <c r="M106" s="188"/>
      <c r="N106" s="188"/>
      <c r="O106" s="188">
        <v>225000</v>
      </c>
    </row>
    <row r="107" spans="1:15" x14ac:dyDescent="0.25">
      <c r="A107" s="268" t="s">
        <v>1054</v>
      </c>
      <c r="C107" s="188"/>
      <c r="D107" s="188">
        <v>100000</v>
      </c>
      <c r="E107" s="188"/>
      <c r="F107" s="188"/>
      <c r="G107" s="188"/>
      <c r="H107" s="188"/>
      <c r="I107" s="188"/>
      <c r="J107" s="188"/>
      <c r="K107" s="188">
        <v>100000</v>
      </c>
      <c r="L107" s="188">
        <v>100000</v>
      </c>
      <c r="M107" s="188"/>
      <c r="N107" s="188"/>
      <c r="O107" s="188">
        <v>170000</v>
      </c>
    </row>
    <row r="108" spans="1:15" x14ac:dyDescent="0.25">
      <c r="A108" s="268" t="s">
        <v>1055</v>
      </c>
      <c r="C108" s="188"/>
      <c r="D108" s="188">
        <v>385000</v>
      </c>
      <c r="E108" s="188"/>
      <c r="F108" s="188"/>
      <c r="G108" s="188"/>
      <c r="H108" s="188"/>
      <c r="I108" s="188"/>
      <c r="J108" s="188"/>
      <c r="K108" s="188">
        <v>385000</v>
      </c>
      <c r="L108" s="188">
        <v>385000</v>
      </c>
      <c r="M108" s="188"/>
      <c r="N108" s="188"/>
      <c r="O108" s="188">
        <v>410000</v>
      </c>
    </row>
    <row r="109" spans="1:15" x14ac:dyDescent="0.25">
      <c r="A109" s="268" t="s">
        <v>1056</v>
      </c>
      <c r="C109" s="188"/>
      <c r="D109" s="188">
        <v>130000</v>
      </c>
      <c r="E109" s="188"/>
      <c r="F109" s="188"/>
      <c r="G109" s="188"/>
      <c r="H109" s="188"/>
      <c r="I109" s="188"/>
      <c r="J109" s="188"/>
      <c r="K109" s="188">
        <v>130000</v>
      </c>
      <c r="L109" s="188">
        <v>130000</v>
      </c>
      <c r="M109" s="188"/>
      <c r="N109" s="188"/>
      <c r="O109" s="188">
        <v>205000</v>
      </c>
    </row>
    <row r="110" spans="1:15" x14ac:dyDescent="0.25">
      <c r="A110" s="268" t="s">
        <v>1057</v>
      </c>
      <c r="C110" s="188"/>
      <c r="D110" s="188">
        <v>650000</v>
      </c>
      <c r="E110" s="188"/>
      <c r="F110" s="188"/>
      <c r="G110" s="188"/>
      <c r="H110" s="188"/>
      <c r="I110" s="188"/>
      <c r="J110" s="188"/>
      <c r="K110" s="188">
        <v>650000</v>
      </c>
      <c r="L110" s="188">
        <v>650000</v>
      </c>
      <c r="M110" s="188"/>
      <c r="N110" s="188"/>
      <c r="O110" s="188">
        <v>710000</v>
      </c>
    </row>
    <row r="111" spans="1:15" x14ac:dyDescent="0.25">
      <c r="A111" s="268" t="s">
        <v>1058</v>
      </c>
      <c r="B111" t="s">
        <v>1058</v>
      </c>
      <c r="C111" s="188"/>
      <c r="D111" s="188">
        <v>300000</v>
      </c>
      <c r="E111" s="188"/>
      <c r="F111" s="188"/>
      <c r="G111" s="188"/>
      <c r="H111" s="188">
        <v>500000</v>
      </c>
      <c r="I111" s="188"/>
      <c r="J111" s="188">
        <v>350000</v>
      </c>
      <c r="K111" s="188">
        <v>300000</v>
      </c>
      <c r="L111" s="188">
        <v>300000</v>
      </c>
      <c r="M111" s="188"/>
      <c r="N111" s="188"/>
      <c r="O111" s="188">
        <v>335000</v>
      </c>
    </row>
    <row r="112" spans="1:15" x14ac:dyDescent="0.25">
      <c r="A112" s="268" t="s">
        <v>226</v>
      </c>
      <c r="B112" t="s">
        <v>226</v>
      </c>
      <c r="C112" s="188"/>
      <c r="D112" s="188">
        <v>500000</v>
      </c>
      <c r="E112" s="188"/>
      <c r="F112" s="188"/>
      <c r="G112" s="188"/>
      <c r="H112" s="188">
        <v>900000</v>
      </c>
      <c r="I112" s="188">
        <v>1125000</v>
      </c>
      <c r="J112" s="188">
        <v>675000</v>
      </c>
      <c r="K112" s="188">
        <v>500000</v>
      </c>
      <c r="L112" s="188">
        <v>500000</v>
      </c>
      <c r="M112" s="188"/>
      <c r="N112" s="188"/>
      <c r="O112" s="188">
        <v>540000</v>
      </c>
    </row>
    <row r="113" spans="1:15" x14ac:dyDescent="0.25">
      <c r="A113" s="268" t="s">
        <v>42</v>
      </c>
      <c r="B113" t="s">
        <v>42</v>
      </c>
      <c r="C113" s="188"/>
      <c r="D113" s="188">
        <v>100000</v>
      </c>
      <c r="E113" s="188"/>
      <c r="F113" s="188"/>
      <c r="G113" s="188"/>
      <c r="H113" s="188">
        <v>300000</v>
      </c>
      <c r="I113" s="188"/>
      <c r="J113" s="188">
        <v>160000</v>
      </c>
      <c r="K113" s="188">
        <v>100000</v>
      </c>
      <c r="L113" s="188">
        <v>100000</v>
      </c>
      <c r="M113" s="188"/>
      <c r="N113" s="188">
        <v>108000</v>
      </c>
      <c r="O113" s="188">
        <v>130000</v>
      </c>
    </row>
    <row r="114" spans="1:15" x14ac:dyDescent="0.25">
      <c r="A114" s="268" t="s">
        <v>1059</v>
      </c>
      <c r="C114" s="188"/>
      <c r="D114" s="188">
        <v>65000</v>
      </c>
      <c r="E114" s="188"/>
      <c r="F114" s="188"/>
      <c r="G114" s="188"/>
      <c r="H114" s="188">
        <v>265000</v>
      </c>
      <c r="I114" s="188"/>
      <c r="J114" s="188">
        <v>120000</v>
      </c>
      <c r="K114" s="188">
        <v>65000</v>
      </c>
      <c r="L114" s="188">
        <v>65000</v>
      </c>
      <c r="M114" s="188"/>
      <c r="N114" s="188">
        <v>73000</v>
      </c>
      <c r="O114" s="188">
        <v>90000</v>
      </c>
    </row>
    <row r="115" spans="1:15" x14ac:dyDescent="0.25">
      <c r="A115" s="268" t="s">
        <v>1060</v>
      </c>
      <c r="B115" t="s">
        <v>1061</v>
      </c>
      <c r="C115" s="188">
        <v>42000</v>
      </c>
      <c r="D115" s="188">
        <v>53000</v>
      </c>
      <c r="E115" s="80"/>
      <c r="F115" s="188"/>
      <c r="G115" s="188">
        <v>62500</v>
      </c>
      <c r="H115" s="188">
        <v>93000</v>
      </c>
      <c r="I115" s="188"/>
      <c r="J115" s="188"/>
      <c r="K115" s="188">
        <v>53000</v>
      </c>
      <c r="L115" s="188">
        <v>53000</v>
      </c>
      <c r="M115" s="188">
        <v>42000</v>
      </c>
      <c r="N115" s="188">
        <v>50000</v>
      </c>
      <c r="O115" s="188">
        <v>50000</v>
      </c>
    </row>
    <row r="116" spans="1:15" x14ac:dyDescent="0.25">
      <c r="A116" s="268" t="s">
        <v>1062</v>
      </c>
      <c r="C116" s="188">
        <v>33000</v>
      </c>
      <c r="D116" s="188">
        <v>38000</v>
      </c>
      <c r="E116" s="80"/>
      <c r="F116" s="188"/>
      <c r="G116" s="188">
        <v>83000</v>
      </c>
      <c r="H116" s="188">
        <v>68000</v>
      </c>
      <c r="I116" s="188"/>
      <c r="J116" s="188"/>
      <c r="K116" s="188">
        <v>38000</v>
      </c>
      <c r="L116" s="188">
        <v>38000</v>
      </c>
      <c r="M116" s="188">
        <v>33000</v>
      </c>
      <c r="N116" s="188">
        <v>41000</v>
      </c>
      <c r="O116" s="188">
        <v>49000</v>
      </c>
    </row>
    <row r="117" spans="1:15" x14ac:dyDescent="0.25">
      <c r="A117" s="268" t="s">
        <v>1063</v>
      </c>
      <c r="C117" s="188">
        <v>38000</v>
      </c>
      <c r="D117" s="188">
        <v>43000</v>
      </c>
      <c r="E117" s="80"/>
      <c r="F117" s="188"/>
      <c r="G117" s="188">
        <v>88000</v>
      </c>
      <c r="H117" s="188"/>
      <c r="I117" s="188"/>
      <c r="J117" s="188"/>
      <c r="K117" s="188">
        <v>43000</v>
      </c>
      <c r="L117" s="188">
        <v>43000</v>
      </c>
      <c r="M117" s="188">
        <v>38000</v>
      </c>
      <c r="N117" s="188">
        <v>44500</v>
      </c>
      <c r="O117" s="188">
        <v>48000</v>
      </c>
    </row>
    <row r="118" spans="1:15" x14ac:dyDescent="0.25">
      <c r="A118" s="268" t="s">
        <v>1064</v>
      </c>
      <c r="C118" s="188">
        <v>132000</v>
      </c>
      <c r="D118" s="188">
        <v>143000</v>
      </c>
      <c r="E118" s="80"/>
      <c r="F118" s="188"/>
      <c r="G118" s="188"/>
      <c r="H118" s="188"/>
      <c r="I118" s="188"/>
      <c r="J118" s="188"/>
      <c r="K118" s="188">
        <v>143000</v>
      </c>
      <c r="L118" s="188">
        <v>143000</v>
      </c>
      <c r="M118" s="188">
        <v>132000</v>
      </c>
      <c r="N118" s="188">
        <v>140000</v>
      </c>
      <c r="O118" s="188">
        <v>148000</v>
      </c>
    </row>
    <row r="119" spans="1:15" x14ac:dyDescent="0.25">
      <c r="A119" s="268" t="s">
        <v>1065</v>
      </c>
      <c r="C119" s="188">
        <v>61000</v>
      </c>
      <c r="D119" s="188">
        <v>72000</v>
      </c>
      <c r="E119" s="80"/>
      <c r="F119" s="188"/>
      <c r="G119" s="188"/>
      <c r="H119" s="188"/>
      <c r="I119" s="188"/>
      <c r="J119" s="188"/>
      <c r="K119" s="188">
        <v>72000</v>
      </c>
      <c r="L119" s="188">
        <v>72000</v>
      </c>
      <c r="M119" s="188">
        <v>61000</v>
      </c>
      <c r="N119" s="188">
        <v>69000</v>
      </c>
      <c r="O119" s="188">
        <v>69000</v>
      </c>
    </row>
    <row r="120" spans="1:15" x14ac:dyDescent="0.25">
      <c r="A120" s="26" t="s">
        <v>1072</v>
      </c>
    </row>
    <row r="121" spans="1:15" x14ac:dyDescent="0.25">
      <c r="A121" s="268" t="s">
        <v>1044</v>
      </c>
      <c r="B121" t="s">
        <v>1045</v>
      </c>
      <c r="C121" s="189"/>
      <c r="D121" s="189">
        <v>0.17899999999999999</v>
      </c>
      <c r="E121" s="189"/>
      <c r="F121" s="189"/>
      <c r="G121" s="189"/>
      <c r="H121" s="189">
        <v>0.15139303482587063</v>
      </c>
      <c r="I121" s="189">
        <v>0.15139303482587063</v>
      </c>
      <c r="J121" s="189">
        <v>0.16207960199004975</v>
      </c>
      <c r="K121" s="189">
        <v>0.17899999999999999</v>
      </c>
      <c r="L121" s="189">
        <v>0.17899999999999999</v>
      </c>
      <c r="M121" s="189"/>
      <c r="N121" s="189"/>
      <c r="O121" s="189">
        <v>0.18523383084577116</v>
      </c>
    </row>
    <row r="122" spans="1:15" ht="30" x14ac:dyDescent="0.25">
      <c r="A122" s="269" t="s">
        <v>1046</v>
      </c>
      <c r="B122" s="112" t="s">
        <v>1047</v>
      </c>
      <c r="C122" s="189"/>
      <c r="D122" s="189">
        <v>0.17899999999999999</v>
      </c>
      <c r="E122" s="189"/>
      <c r="F122" s="189"/>
      <c r="G122" s="189"/>
      <c r="H122" s="189">
        <v>0.15139303482587063</v>
      </c>
      <c r="I122" s="189">
        <v>0.15139303482587063</v>
      </c>
      <c r="J122" s="189">
        <v>0.16207960199004975</v>
      </c>
      <c r="K122" s="189">
        <v>0.17899999999999999</v>
      </c>
      <c r="L122" s="189">
        <v>0.17899999999999999</v>
      </c>
      <c r="M122" s="189"/>
      <c r="N122" s="189"/>
      <c r="O122" s="189">
        <v>0.18523383084577116</v>
      </c>
    </row>
    <row r="123" spans="1:15" x14ac:dyDescent="0.25">
      <c r="A123" s="268" t="s">
        <v>1048</v>
      </c>
      <c r="B123" t="s">
        <v>1049</v>
      </c>
      <c r="C123" s="189">
        <v>0.13210198300283285</v>
      </c>
      <c r="D123" s="189">
        <v>0.20099999999999998</v>
      </c>
      <c r="E123" s="189"/>
      <c r="F123" s="189"/>
      <c r="G123" s="189"/>
      <c r="H123" s="189">
        <v>0.159</v>
      </c>
      <c r="I123" s="189">
        <v>0.159</v>
      </c>
      <c r="J123" s="189">
        <v>0.18099999999999999</v>
      </c>
      <c r="K123" s="189">
        <v>0.20099999999999998</v>
      </c>
      <c r="L123" s="189">
        <v>0.20099999999999998</v>
      </c>
      <c r="M123" s="189">
        <v>0.13210198300283285</v>
      </c>
      <c r="N123" s="189">
        <v>0.13210198300283285</v>
      </c>
      <c r="O123" s="189">
        <v>0.22100000000000003</v>
      </c>
    </row>
    <row r="124" spans="1:15" x14ac:dyDescent="0.25">
      <c r="A124" s="268" t="s">
        <v>1050</v>
      </c>
      <c r="B124" t="s">
        <v>1051</v>
      </c>
      <c r="C124" s="189">
        <v>0.1301303116147309</v>
      </c>
      <c r="D124" s="189">
        <v>0.19800000000000001</v>
      </c>
      <c r="E124" s="81"/>
      <c r="F124" s="189"/>
      <c r="G124" s="189"/>
      <c r="H124" s="189">
        <v>0.13397014925373138</v>
      </c>
      <c r="I124" s="189">
        <v>0.13397014925373138</v>
      </c>
      <c r="J124" s="189">
        <v>0.15268656716417917</v>
      </c>
      <c r="K124" s="189">
        <v>0.19800000000000001</v>
      </c>
      <c r="L124" s="189">
        <v>0.19800000000000001</v>
      </c>
      <c r="M124" s="189">
        <v>0.1301303116147309</v>
      </c>
      <c r="N124" s="189">
        <v>0.1301303116147309</v>
      </c>
      <c r="O124" s="189">
        <v>0.20982089552238811</v>
      </c>
    </row>
    <row r="125" spans="1:15" x14ac:dyDescent="0.25">
      <c r="A125" s="268" t="s">
        <v>1052</v>
      </c>
      <c r="C125" s="189"/>
      <c r="D125" s="189">
        <v>0.19600000000000001</v>
      </c>
      <c r="E125" s="189"/>
      <c r="F125" s="189"/>
      <c r="G125" s="189"/>
      <c r="H125" s="189">
        <v>0.13066666666666671</v>
      </c>
      <c r="I125" s="189">
        <v>0.13066666666666671</v>
      </c>
      <c r="J125" s="189">
        <v>0.14919402985074634</v>
      </c>
      <c r="K125" s="189">
        <v>0.19600000000000001</v>
      </c>
      <c r="L125" s="189">
        <v>0.19600000000000001</v>
      </c>
      <c r="M125" s="189"/>
      <c r="N125" s="189"/>
      <c r="O125" s="189">
        <v>0.20965174129353237</v>
      </c>
    </row>
    <row r="126" spans="1:15" x14ac:dyDescent="0.25">
      <c r="A126" s="268" t="s">
        <v>1053</v>
      </c>
      <c r="C126" s="189"/>
      <c r="D126" s="189">
        <v>0.19600000000000001</v>
      </c>
      <c r="E126" s="189"/>
      <c r="F126" s="189"/>
      <c r="G126" s="189"/>
      <c r="H126" s="189">
        <v>0.13066666666666671</v>
      </c>
      <c r="I126" s="189">
        <v>0.13066666666666671</v>
      </c>
      <c r="J126" s="189">
        <v>0.14919402985074634</v>
      </c>
      <c r="K126" s="189">
        <v>0.19600000000000001</v>
      </c>
      <c r="L126" s="189">
        <v>0.19600000000000001</v>
      </c>
      <c r="M126" s="189"/>
      <c r="N126" s="189"/>
      <c r="O126" s="189">
        <v>0.20965174129353237</v>
      </c>
    </row>
    <row r="127" spans="1:15" x14ac:dyDescent="0.25">
      <c r="A127" s="268" t="s">
        <v>1054</v>
      </c>
      <c r="C127" s="189"/>
      <c r="D127" s="189">
        <v>0.19600000000000001</v>
      </c>
      <c r="E127" s="189"/>
      <c r="F127" s="189"/>
      <c r="G127" s="189"/>
      <c r="H127" s="189">
        <v>0.13066666666666671</v>
      </c>
      <c r="I127" s="189">
        <v>0.13066666666666671</v>
      </c>
      <c r="J127" s="189">
        <v>0.14919402985074634</v>
      </c>
      <c r="K127" s="189">
        <v>0.19600000000000001</v>
      </c>
      <c r="L127" s="189">
        <v>0.19600000000000001</v>
      </c>
      <c r="M127" s="189"/>
      <c r="N127" s="189"/>
      <c r="O127" s="189">
        <v>0.20965174129353237</v>
      </c>
    </row>
    <row r="128" spans="1:15" x14ac:dyDescent="0.25">
      <c r="A128" s="268" t="s">
        <v>1055</v>
      </c>
      <c r="C128" s="189"/>
      <c r="D128" s="189">
        <v>0.19600000000000001</v>
      </c>
      <c r="E128" s="189"/>
      <c r="F128" s="189"/>
      <c r="G128" s="189"/>
      <c r="H128" s="189">
        <v>0.13066666666666671</v>
      </c>
      <c r="I128" s="189">
        <v>0.13066666666666671</v>
      </c>
      <c r="J128" s="189">
        <v>0.14919402985074634</v>
      </c>
      <c r="K128" s="189">
        <v>0.19600000000000001</v>
      </c>
      <c r="L128" s="189">
        <v>0.19600000000000001</v>
      </c>
      <c r="M128" s="189"/>
      <c r="N128" s="189"/>
      <c r="O128" s="189">
        <v>0.20965174129353237</v>
      </c>
    </row>
    <row r="129" spans="1:31" x14ac:dyDescent="0.25">
      <c r="A129" s="268" t="s">
        <v>1056</v>
      </c>
      <c r="C129" s="189"/>
      <c r="D129" s="189">
        <v>0.19600000000000001</v>
      </c>
      <c r="E129" s="189"/>
      <c r="F129" s="189"/>
      <c r="G129" s="189"/>
      <c r="H129" s="189">
        <v>0.13066666666666671</v>
      </c>
      <c r="I129" s="189">
        <v>0.13066666666666671</v>
      </c>
      <c r="J129" s="189">
        <v>0.14919402985074634</v>
      </c>
      <c r="K129" s="189">
        <v>0.19600000000000001</v>
      </c>
      <c r="L129" s="189">
        <v>0.19600000000000001</v>
      </c>
      <c r="M129" s="189"/>
      <c r="N129" s="189"/>
      <c r="O129" s="189">
        <v>0.20965174129353237</v>
      </c>
    </row>
    <row r="130" spans="1:31" x14ac:dyDescent="0.25">
      <c r="A130" s="268" t="s">
        <v>1057</v>
      </c>
      <c r="C130" s="189"/>
      <c r="D130" s="189">
        <v>1.5</v>
      </c>
      <c r="E130" s="189"/>
      <c r="F130" s="189"/>
      <c r="G130" s="189"/>
      <c r="H130" s="189">
        <v>1.0000000000000002</v>
      </c>
      <c r="I130" s="189">
        <v>1.0000000000000002</v>
      </c>
      <c r="J130" s="189">
        <v>1.1417910447761199</v>
      </c>
      <c r="K130" s="189">
        <v>1.5</v>
      </c>
      <c r="L130" s="189">
        <v>1.5</v>
      </c>
      <c r="M130" s="189"/>
      <c r="N130" s="189"/>
      <c r="O130" s="189">
        <v>1.6044776119402986</v>
      </c>
    </row>
    <row r="131" spans="1:31" x14ac:dyDescent="0.25">
      <c r="A131" s="268" t="s">
        <v>1058</v>
      </c>
      <c r="B131" t="s">
        <v>1058</v>
      </c>
      <c r="C131" s="189"/>
      <c r="D131" s="189">
        <v>3.0720000000000001</v>
      </c>
      <c r="E131" s="189"/>
      <c r="F131" s="189"/>
      <c r="G131" s="189"/>
      <c r="H131" s="189">
        <v>2.0480000000000005</v>
      </c>
      <c r="I131" s="189">
        <v>2.0480000000000005</v>
      </c>
      <c r="J131" s="189">
        <v>2.3383880597014937</v>
      </c>
      <c r="K131" s="189">
        <v>3.0720000000000001</v>
      </c>
      <c r="L131" s="189">
        <v>3.0720000000000001</v>
      </c>
      <c r="M131" s="189"/>
      <c r="N131" s="189"/>
      <c r="O131" s="189">
        <v>3.2859701492537319</v>
      </c>
    </row>
    <row r="132" spans="1:31" x14ac:dyDescent="0.25">
      <c r="A132" s="268" t="s">
        <v>226</v>
      </c>
      <c r="B132" t="s">
        <v>226</v>
      </c>
      <c r="C132" s="189"/>
      <c r="D132" s="189">
        <v>1</v>
      </c>
      <c r="E132" s="189"/>
      <c r="F132" s="189"/>
      <c r="G132" s="189"/>
      <c r="H132" s="189">
        <v>0.6</v>
      </c>
      <c r="I132" s="189">
        <v>0.6</v>
      </c>
      <c r="J132" s="189">
        <v>0.87</v>
      </c>
      <c r="K132" s="189">
        <v>1</v>
      </c>
      <c r="L132" s="189">
        <v>1</v>
      </c>
      <c r="M132" s="189"/>
      <c r="N132" s="189"/>
      <c r="O132" s="189">
        <v>1</v>
      </c>
    </row>
    <row r="133" spans="1:31" x14ac:dyDescent="0.25">
      <c r="A133" s="268" t="s">
        <v>42</v>
      </c>
      <c r="B133" t="s">
        <v>42</v>
      </c>
      <c r="C133" s="189">
        <v>0.61443423451336665</v>
      </c>
      <c r="D133" s="189">
        <v>0.93489346889318281</v>
      </c>
      <c r="E133" s="81"/>
      <c r="F133" s="189"/>
      <c r="G133" s="189"/>
      <c r="H133" s="189">
        <v>0.56093608133590966</v>
      </c>
      <c r="I133" s="189">
        <v>0.56093608133590966</v>
      </c>
      <c r="J133" s="189">
        <v>0.813357317937069</v>
      </c>
      <c r="K133" s="189">
        <v>0.93489346889318281</v>
      </c>
      <c r="L133" s="189">
        <v>0.93489346889318281</v>
      </c>
      <c r="M133" s="189">
        <v>0.61443423451336665</v>
      </c>
      <c r="N133" s="189">
        <v>0.61443423451336665</v>
      </c>
      <c r="O133" s="189">
        <v>0.93489346889318281</v>
      </c>
    </row>
    <row r="134" spans="1:31" x14ac:dyDescent="0.25">
      <c r="A134" s="268" t="s">
        <v>1059</v>
      </c>
      <c r="C134" s="189">
        <v>0.65722379603399439</v>
      </c>
      <c r="D134" s="189">
        <v>1</v>
      </c>
      <c r="E134" s="189"/>
      <c r="F134" s="189"/>
      <c r="G134" s="189"/>
      <c r="H134" s="189">
        <v>0.6</v>
      </c>
      <c r="I134" s="189">
        <v>0.6</v>
      </c>
      <c r="J134" s="189">
        <v>0.87</v>
      </c>
      <c r="K134" s="189">
        <v>1</v>
      </c>
      <c r="L134" s="189">
        <v>1</v>
      </c>
      <c r="M134" s="189">
        <v>0.65722379603399439</v>
      </c>
      <c r="N134" s="189">
        <v>0.65722379603399439</v>
      </c>
      <c r="O134" s="189">
        <v>1</v>
      </c>
    </row>
    <row r="135" spans="1:31" x14ac:dyDescent="0.25">
      <c r="A135" s="268" t="s">
        <v>1060</v>
      </c>
      <c r="B135" t="s">
        <v>1061</v>
      </c>
      <c r="C135" s="189">
        <v>0.20599999999999999</v>
      </c>
      <c r="D135" s="189">
        <v>0.313</v>
      </c>
      <c r="E135" s="189">
        <v>0.18832061949764511</v>
      </c>
      <c r="F135" s="189">
        <v>0.17980082991079932</v>
      </c>
      <c r="G135" s="189">
        <v>0.17980082991079932</v>
      </c>
      <c r="H135" s="189">
        <v>0.12987620368159719</v>
      </c>
      <c r="I135" s="189">
        <v>0.12987620368159719</v>
      </c>
      <c r="J135" s="189"/>
      <c r="K135" s="189">
        <v>0.313</v>
      </c>
      <c r="L135" s="189">
        <v>0.313</v>
      </c>
      <c r="M135" s="189">
        <v>0.20599999999999999</v>
      </c>
      <c r="N135" s="189">
        <v>0.20599999999999999</v>
      </c>
      <c r="O135" s="189">
        <v>0.20599999999999999</v>
      </c>
    </row>
    <row r="136" spans="1:31" x14ac:dyDescent="0.25">
      <c r="A136" s="268" t="s">
        <v>1062</v>
      </c>
      <c r="C136" s="189">
        <v>0.23200000000000001</v>
      </c>
      <c r="D136" s="189">
        <v>0.35299999999999998</v>
      </c>
      <c r="E136" s="189">
        <v>0.2120892413759887</v>
      </c>
      <c r="F136" s="189">
        <v>0.2024941385403177</v>
      </c>
      <c r="G136" s="189">
        <v>0.2024941385403177</v>
      </c>
      <c r="H136" s="189">
        <v>0.14626834589383764</v>
      </c>
      <c r="I136" s="189">
        <v>0.14626834589383764</v>
      </c>
      <c r="J136" s="189"/>
      <c r="K136" s="189">
        <v>0.35299999999999998</v>
      </c>
      <c r="L136" s="189">
        <v>0.35299999999999998</v>
      </c>
      <c r="M136" s="189">
        <v>0.23200000000000001</v>
      </c>
      <c r="N136" s="189">
        <v>0.23200000000000001</v>
      </c>
      <c r="O136" s="189">
        <v>0.23200000000000001</v>
      </c>
    </row>
    <row r="137" spans="1:31" x14ac:dyDescent="0.25">
      <c r="A137" s="268" t="s">
        <v>1063</v>
      </c>
      <c r="C137" s="189">
        <v>0.21099999999999999</v>
      </c>
      <c r="D137" s="189">
        <v>0.32104741379310342</v>
      </c>
      <c r="E137" s="189">
        <v>0.1928915083204035</v>
      </c>
      <c r="F137" s="189">
        <v>0.18416492772416823</v>
      </c>
      <c r="G137" s="189">
        <v>0.18416492772416823</v>
      </c>
      <c r="H137" s="189">
        <v>0.13302853872241266</v>
      </c>
      <c r="I137" s="189">
        <v>0.13302853872241266</v>
      </c>
      <c r="J137" s="189"/>
      <c r="K137" s="189">
        <v>0.32104741379310342</v>
      </c>
      <c r="L137" s="189">
        <v>0.32104741379310342</v>
      </c>
      <c r="M137" s="189">
        <v>0.21099999999999999</v>
      </c>
      <c r="N137" s="189">
        <v>0.21099999999999999</v>
      </c>
      <c r="O137" s="189">
        <v>0.21099999999999999</v>
      </c>
    </row>
    <row r="138" spans="1:31" x14ac:dyDescent="0.25">
      <c r="A138" s="268" t="s">
        <v>1064</v>
      </c>
      <c r="C138" s="189">
        <v>0.61187535410764882</v>
      </c>
      <c r="D138" s="189">
        <v>0.93100000000000005</v>
      </c>
      <c r="E138" s="189">
        <v>0.55936284340239517</v>
      </c>
      <c r="F138" s="189">
        <v>0.53405677898310422</v>
      </c>
      <c r="G138" s="189">
        <v>0.53405677898310422</v>
      </c>
      <c r="H138" s="189">
        <v>0.38576722387298257</v>
      </c>
      <c r="I138" s="189">
        <v>0.38576722387298257</v>
      </c>
      <c r="J138" s="189"/>
      <c r="K138" s="189">
        <v>0.93100000000000005</v>
      </c>
      <c r="L138" s="189">
        <v>0.93100000000000005</v>
      </c>
      <c r="M138" s="189">
        <v>0.61187535410764882</v>
      </c>
      <c r="N138" s="189">
        <v>0.61187535410764882</v>
      </c>
      <c r="O138" s="189">
        <v>0.61187535410764882</v>
      </c>
    </row>
    <row r="139" spans="1:31" x14ac:dyDescent="0.25">
      <c r="A139" s="268" t="s">
        <v>1065</v>
      </c>
      <c r="C139" s="189">
        <v>0.20599999999999999</v>
      </c>
      <c r="D139" s="189">
        <v>0.313</v>
      </c>
      <c r="E139" s="189">
        <v>0.18832061949764511</v>
      </c>
      <c r="F139" s="189">
        <v>0.17980082991079932</v>
      </c>
      <c r="G139" s="189">
        <v>0.17980082991079932</v>
      </c>
      <c r="H139" s="189">
        <v>0.12987620368159719</v>
      </c>
      <c r="I139" s="189">
        <v>0.12987620368159719</v>
      </c>
      <c r="J139" s="189"/>
      <c r="K139" s="189">
        <v>0.313</v>
      </c>
      <c r="L139" s="189">
        <v>0.313</v>
      </c>
      <c r="M139" s="189">
        <v>0.20599999999999999</v>
      </c>
      <c r="N139" s="189">
        <v>0.20599999999999999</v>
      </c>
      <c r="O139" s="189">
        <v>0.20599999999999999</v>
      </c>
    </row>
    <row r="141" spans="1:31" ht="15.75" x14ac:dyDescent="0.25">
      <c r="A141" s="523" t="s">
        <v>1428</v>
      </c>
    </row>
    <row r="142" spans="1:31" x14ac:dyDescent="0.25">
      <c r="A142" s="219"/>
      <c r="B142" s="500" t="s">
        <v>1375</v>
      </c>
      <c r="C142" s="501"/>
      <c r="D142" s="502" t="s">
        <v>1376</v>
      </c>
      <c r="E142" s="502"/>
      <c r="F142" s="502"/>
      <c r="G142" s="502"/>
      <c r="H142" s="502"/>
      <c r="I142" s="502"/>
      <c r="J142" s="502"/>
      <c r="K142" s="502"/>
      <c r="L142" s="503"/>
      <c r="M142" s="502"/>
      <c r="N142" s="502"/>
      <c r="O142" s="502"/>
      <c r="P142" s="927" t="s">
        <v>1377</v>
      </c>
      <c r="Q142" s="928"/>
      <c r="R142" s="929"/>
      <c r="S142" s="919" t="s">
        <v>1294</v>
      </c>
      <c r="T142" s="500" t="s">
        <v>1375</v>
      </c>
      <c r="U142" s="500" t="s">
        <v>1376</v>
      </c>
      <c r="V142" s="502"/>
      <c r="W142" s="502"/>
      <c r="X142" s="501"/>
      <c r="Y142" s="919" t="s">
        <v>1378</v>
      </c>
      <c r="Z142" s="927" t="s">
        <v>1379</v>
      </c>
      <c r="AA142" s="928"/>
      <c r="AB142" s="929"/>
      <c r="AC142" s="921" t="s">
        <v>16</v>
      </c>
      <c r="AD142" s="923" t="s">
        <v>1380</v>
      </c>
      <c r="AE142" s="925" t="s">
        <v>1381</v>
      </c>
    </row>
    <row r="143" spans="1:31" ht="64.5" x14ac:dyDescent="0.25">
      <c r="A143" s="51"/>
      <c r="B143" s="504" t="s">
        <v>1268</v>
      </c>
      <c r="C143" s="505" t="s">
        <v>1382</v>
      </c>
      <c r="D143" s="506" t="s">
        <v>1264</v>
      </c>
      <c r="E143" s="506" t="s">
        <v>1383</v>
      </c>
      <c r="F143" s="506" t="s">
        <v>97</v>
      </c>
      <c r="G143" s="506" t="s">
        <v>1384</v>
      </c>
      <c r="H143" s="506" t="s">
        <v>215</v>
      </c>
      <c r="I143" s="506" t="s">
        <v>1269</v>
      </c>
      <c r="J143" s="506" t="s">
        <v>1262</v>
      </c>
      <c r="K143" s="506" t="s">
        <v>1385</v>
      </c>
      <c r="L143" s="506" t="s">
        <v>1386</v>
      </c>
      <c r="M143" s="506" t="s">
        <v>1387</v>
      </c>
      <c r="N143" s="506" t="s">
        <v>1388</v>
      </c>
      <c r="O143" s="506" t="s">
        <v>1261</v>
      </c>
      <c r="P143" s="504" t="s">
        <v>1389</v>
      </c>
      <c r="Q143" s="506" t="s">
        <v>1390</v>
      </c>
      <c r="R143" s="505" t="s">
        <v>1391</v>
      </c>
      <c r="S143" s="920"/>
      <c r="T143" s="504" t="s">
        <v>1392</v>
      </c>
      <c r="U143" s="504" t="s">
        <v>1393</v>
      </c>
      <c r="V143" s="506" t="s">
        <v>1394</v>
      </c>
      <c r="W143" s="506" t="s">
        <v>1395</v>
      </c>
      <c r="X143" s="505" t="s">
        <v>1396</v>
      </c>
      <c r="Y143" s="920"/>
      <c r="Z143" s="507" t="s">
        <v>1397</v>
      </c>
      <c r="AA143" s="508" t="s">
        <v>1320</v>
      </c>
      <c r="AB143" s="509" t="s">
        <v>1398</v>
      </c>
      <c r="AC143" s="922"/>
      <c r="AD143" s="924"/>
      <c r="AE143" s="926"/>
    </row>
    <row r="144" spans="1:31" x14ac:dyDescent="0.25">
      <c r="A144" s="219" t="s">
        <v>1399</v>
      </c>
      <c r="B144" s="510"/>
      <c r="C144" s="511"/>
      <c r="D144" s="512">
        <v>0.86340162433430534</v>
      </c>
      <c r="E144" s="512">
        <v>0.75071004800412944</v>
      </c>
      <c r="F144" s="512">
        <v>0.80583557500656444</v>
      </c>
      <c r="G144" s="512">
        <v>0.70065754585884321</v>
      </c>
      <c r="H144" s="512">
        <v>0.88035087318703953</v>
      </c>
      <c r="I144" s="512">
        <v>0.99919999999999998</v>
      </c>
      <c r="J144" s="512">
        <v>1.0008441227818503</v>
      </c>
      <c r="K144" s="512">
        <v>1.0008439382074072</v>
      </c>
      <c r="L144" s="512">
        <v>0.97824695128556027</v>
      </c>
      <c r="M144" s="512">
        <v>0.98983193205687436</v>
      </c>
      <c r="N144" s="512">
        <v>0.98983193205687436</v>
      </c>
      <c r="O144" s="512">
        <v>1.0257000000000001</v>
      </c>
      <c r="P144" s="510">
        <v>0.85864262887861664</v>
      </c>
      <c r="Q144" s="512">
        <v>0.74837347646900176</v>
      </c>
      <c r="R144" s="511">
        <v>0.63788321791859337</v>
      </c>
      <c r="S144" s="512">
        <v>0.98981492656043646</v>
      </c>
      <c r="T144" s="510"/>
      <c r="U144" s="510">
        <v>0.86340162433430534</v>
      </c>
      <c r="V144" s="512">
        <v>0.88035087318703953</v>
      </c>
      <c r="W144" s="512">
        <v>0.99919999999999998</v>
      </c>
      <c r="X144" s="511">
        <v>1.0008441227818503</v>
      </c>
      <c r="Y144" s="513"/>
      <c r="Z144" s="513">
        <v>0.99919999999999998</v>
      </c>
      <c r="AA144" s="512">
        <v>0.77717633391733132</v>
      </c>
      <c r="AB144" s="511">
        <v>0.86270000000000002</v>
      </c>
      <c r="AC144" s="513">
        <v>0.89570434684854916</v>
      </c>
      <c r="AD144" s="512">
        <v>1.0257250888348834</v>
      </c>
      <c r="AE144" s="511">
        <v>0.91493342973013592</v>
      </c>
    </row>
    <row r="145" spans="1:31" x14ac:dyDescent="0.25">
      <c r="A145" s="51" t="s">
        <v>1400</v>
      </c>
      <c r="B145" s="514">
        <v>62542.194705720562</v>
      </c>
      <c r="C145" s="515">
        <v>44455.689081475713</v>
      </c>
      <c r="D145" s="227">
        <v>173338.03811132806</v>
      </c>
      <c r="E145" s="516">
        <v>182437.4538392174</v>
      </c>
      <c r="F145" s="227">
        <v>220073.31018751892</v>
      </c>
      <c r="G145" s="227">
        <v>228566.03558742889</v>
      </c>
      <c r="H145" s="227">
        <v>141594.60219034684</v>
      </c>
      <c r="I145" s="227">
        <v>66933.212962051228</v>
      </c>
      <c r="J145" s="227">
        <v>118032.43598975567</v>
      </c>
      <c r="K145" s="227">
        <v>118049.24868958435</v>
      </c>
      <c r="L145" s="227">
        <v>192157.51429318966</v>
      </c>
      <c r="M145" s="227">
        <v>90545.921657751998</v>
      </c>
      <c r="N145" s="227">
        <v>106575.30273842989</v>
      </c>
      <c r="O145" s="227">
        <v>87126.967957676898</v>
      </c>
      <c r="P145" s="514">
        <v>249855.0941248223</v>
      </c>
      <c r="Q145" s="227">
        <v>313135.33318033244</v>
      </c>
      <c r="R145" s="515">
        <v>395249.18052444007</v>
      </c>
      <c r="S145" s="227">
        <v>128544.38043066607</v>
      </c>
      <c r="T145" s="514">
        <v>43764.986908334249</v>
      </c>
      <c r="U145" s="514">
        <v>175150.45529842444</v>
      </c>
      <c r="V145" s="227">
        <v>139317.84293533972</v>
      </c>
      <c r="W145" s="227">
        <v>69006.970214048197</v>
      </c>
      <c r="X145" s="515">
        <v>120355.99327211409</v>
      </c>
      <c r="Y145" s="514">
        <v>94744.734714235019</v>
      </c>
      <c r="Z145" s="514">
        <v>62047.358828882454</v>
      </c>
      <c r="AA145" s="227">
        <v>132721.08627450187</v>
      </c>
      <c r="AB145" s="515">
        <v>111724.96806857362</v>
      </c>
      <c r="AC145" s="514">
        <v>133338.68556037793</v>
      </c>
      <c r="AD145" s="227">
        <v>48088.66907125141</v>
      </c>
      <c r="AE145" s="515">
        <v>143018.17257743003</v>
      </c>
    </row>
    <row r="146" spans="1:31" x14ac:dyDescent="0.25">
      <c r="A146" s="51" t="s">
        <v>1401</v>
      </c>
      <c r="B146" s="514">
        <v>58507.798279955925</v>
      </c>
      <c r="C146" s="515">
        <v>42277.22632714572</v>
      </c>
      <c r="D146" s="227">
        <v>170152.42814423327</v>
      </c>
      <c r="E146" s="516">
        <v>178567.03312461477</v>
      </c>
      <c r="F146" s="227">
        <v>195053.06964889166</v>
      </c>
      <c r="G146" s="227">
        <v>202906.64306328839</v>
      </c>
      <c r="H146" s="227">
        <v>138330.39550016614</v>
      </c>
      <c r="I146" s="227">
        <v>65957.798937951578</v>
      </c>
      <c r="J146" s="227">
        <v>116147.82613451817</v>
      </c>
      <c r="K146" s="227">
        <v>116163.54498127842</v>
      </c>
      <c r="L146" s="227">
        <v>188208.90550214806</v>
      </c>
      <c r="M146" s="227">
        <v>88746.703736305964</v>
      </c>
      <c r="N146" s="227">
        <v>105129.90370435061</v>
      </c>
      <c r="O146" s="227">
        <v>86040.565333608407</v>
      </c>
      <c r="P146" s="514">
        <v>225731.66354882097</v>
      </c>
      <c r="Q146" s="227">
        <v>253306.0112656311</v>
      </c>
      <c r="R146" s="515">
        <v>295419.29981092858</v>
      </c>
      <c r="S146" s="227">
        <v>126202.6234972832</v>
      </c>
      <c r="T146" s="514">
        <v>40001.712365089581</v>
      </c>
      <c r="U146" s="514">
        <v>172364.26350856939</v>
      </c>
      <c r="V146" s="227">
        <v>137105.17833008838</v>
      </c>
      <c r="W146" s="227">
        <v>68284.055579869135</v>
      </c>
      <c r="X146" s="515">
        <v>118702.93495336632</v>
      </c>
      <c r="Y146" s="514">
        <v>93856.973849059621</v>
      </c>
      <c r="Z146" s="514">
        <v>61355.793098252499</v>
      </c>
      <c r="AA146" s="227">
        <v>130246.93548776722</v>
      </c>
      <c r="AB146" s="515">
        <v>109888.84593530388</v>
      </c>
      <c r="AC146" s="514">
        <v>130373.63963291426</v>
      </c>
      <c r="AD146" s="227">
        <v>47895.244721983676</v>
      </c>
      <c r="AE146" s="515">
        <v>141154.81324300845</v>
      </c>
    </row>
    <row r="147" spans="1:31" x14ac:dyDescent="0.25">
      <c r="A147" s="51" t="s">
        <v>1275</v>
      </c>
      <c r="B147" s="514">
        <v>5522.0215761373074</v>
      </c>
      <c r="C147" s="515">
        <v>3118.5970341255579</v>
      </c>
      <c r="D147" s="227">
        <v>4514.8956077114335</v>
      </c>
      <c r="E147" s="516">
        <v>5537.9165775506681</v>
      </c>
      <c r="F147" s="227">
        <v>6888.4212162507656</v>
      </c>
      <c r="G147" s="227">
        <v>7843.2337487263512</v>
      </c>
      <c r="H147" s="227">
        <v>4633.6122997303064</v>
      </c>
      <c r="I147" s="227">
        <v>1390.1700602314481</v>
      </c>
      <c r="J147" s="227">
        <v>2692.4822207403568</v>
      </c>
      <c r="K147" s="227">
        <v>2694.047298733743</v>
      </c>
      <c r="L147" s="227">
        <v>5649.265168422864</v>
      </c>
      <c r="M147" s="227">
        <v>2571.347779971723</v>
      </c>
      <c r="N147" s="227">
        <v>2060.0753683559924</v>
      </c>
      <c r="O147" s="227">
        <v>1553.1318994766702</v>
      </c>
      <c r="P147" s="514">
        <v>5623.1808180770304</v>
      </c>
      <c r="Q147" s="227">
        <v>9441.5500518497138</v>
      </c>
      <c r="R147" s="515">
        <v>13907.55286955028</v>
      </c>
      <c r="S147" s="227">
        <v>3346.2945635562519</v>
      </c>
      <c r="T147" s="514">
        <v>5392.156873773617</v>
      </c>
      <c r="U147" s="514">
        <v>3941.4839066663276</v>
      </c>
      <c r="V147" s="227">
        <v>3125.7132626759858</v>
      </c>
      <c r="W147" s="227">
        <v>1027.4550839582048</v>
      </c>
      <c r="X147" s="515">
        <v>2359.735627609231</v>
      </c>
      <c r="Y147" s="514">
        <v>1244.0054732701622</v>
      </c>
      <c r="Z147" s="514">
        <v>984.1672602775958</v>
      </c>
      <c r="AA147" s="227">
        <v>3478.6158292327564</v>
      </c>
      <c r="AB147" s="515">
        <v>2598.1400241819547</v>
      </c>
      <c r="AC147" s="514">
        <v>4210.7606575529617</v>
      </c>
      <c r="AD147" s="227">
        <v>273.32499174937539</v>
      </c>
      <c r="AE147" s="515">
        <v>2631.986081440517</v>
      </c>
    </row>
    <row r="148" spans="1:31" x14ac:dyDescent="0.25">
      <c r="A148" s="51" t="s">
        <v>233</v>
      </c>
      <c r="B148" s="514">
        <v>42426.363096203786</v>
      </c>
      <c r="C148" s="515">
        <v>23603.228397664294</v>
      </c>
      <c r="D148" s="227">
        <v>102033.512318911</v>
      </c>
      <c r="E148" s="516">
        <v>125236.02522421331</v>
      </c>
      <c r="F148" s="227">
        <v>125521.87205698175</v>
      </c>
      <c r="G148" s="227">
        <v>147177.39111285281</v>
      </c>
      <c r="H148" s="227">
        <v>78202.097116159159</v>
      </c>
      <c r="I148" s="227">
        <v>34535.680601656582</v>
      </c>
      <c r="J148" s="227">
        <v>78297.878036634516</v>
      </c>
      <c r="K148" s="227">
        <v>78301.310848870125</v>
      </c>
      <c r="L148" s="227">
        <v>163476.44696726731</v>
      </c>
      <c r="M148" s="227">
        <v>66926.81008250179</v>
      </c>
      <c r="N148" s="227">
        <v>67851.896968710556</v>
      </c>
      <c r="O148" s="227">
        <v>42971.909450768631</v>
      </c>
      <c r="P148" s="514">
        <v>184482.63946048077</v>
      </c>
      <c r="Q148" s="227">
        <v>217670.13748451945</v>
      </c>
      <c r="R148" s="515">
        <v>254404.22798199626</v>
      </c>
      <c r="S148" s="227">
        <v>93120.926256927196</v>
      </c>
      <c r="T148" s="514">
        <v>26590.114561133469</v>
      </c>
      <c r="U148" s="514">
        <v>101333.58170103079</v>
      </c>
      <c r="V148" s="227">
        <v>76006.658205201675</v>
      </c>
      <c r="W148" s="227">
        <v>34159.299998244278</v>
      </c>
      <c r="X148" s="515">
        <v>77941.391001891607</v>
      </c>
      <c r="Y148" s="514">
        <v>82231.1108622592</v>
      </c>
      <c r="Z148" s="514">
        <v>33656.100345715138</v>
      </c>
      <c r="AA148" s="227">
        <v>87024.323665295698</v>
      </c>
      <c r="AB148" s="515">
        <v>67183.117179072273</v>
      </c>
      <c r="AC148" s="514">
        <v>78452.583526313334</v>
      </c>
      <c r="AD148" s="227">
        <v>6693.0027777388386</v>
      </c>
      <c r="AE148" s="515">
        <v>72865.388636153366</v>
      </c>
    </row>
    <row r="149" spans="1:31" x14ac:dyDescent="0.25">
      <c r="A149" s="51" t="s">
        <v>1402</v>
      </c>
      <c r="B149" s="514">
        <v>10559.413607614832</v>
      </c>
      <c r="C149" s="515">
        <v>15555.400895355864</v>
      </c>
      <c r="D149" s="227">
        <v>63604.020217610851</v>
      </c>
      <c r="E149" s="516">
        <v>47793.091322850785</v>
      </c>
      <c r="F149" s="227">
        <v>62642.77637565913</v>
      </c>
      <c r="G149" s="227">
        <v>47886.01820170923</v>
      </c>
      <c r="H149" s="227">
        <v>55494.686084276676</v>
      </c>
      <c r="I149" s="227">
        <v>30031.948276063555</v>
      </c>
      <c r="J149" s="227">
        <v>35157.465877143288</v>
      </c>
      <c r="K149" s="227">
        <v>35168.186833674554</v>
      </c>
      <c r="L149" s="227">
        <v>19083.193366457868</v>
      </c>
      <c r="M149" s="227">
        <v>19248.54587383246</v>
      </c>
      <c r="N149" s="227">
        <v>35217.931367284065</v>
      </c>
      <c r="O149" s="227">
        <v>41515.523983363099</v>
      </c>
      <c r="P149" s="514">
        <v>35625.843270263184</v>
      </c>
      <c r="Q149" s="227">
        <v>26194.323729261934</v>
      </c>
      <c r="R149" s="515">
        <v>27107.518959382025</v>
      </c>
      <c r="S149" s="227">
        <v>29735.40267679976</v>
      </c>
      <c r="T149" s="514">
        <v>8019.4409301824962</v>
      </c>
      <c r="U149" s="514">
        <v>67089.197900872256</v>
      </c>
      <c r="V149" s="227">
        <v>57972.806862210709</v>
      </c>
      <c r="W149" s="227">
        <v>33097.300497666649</v>
      </c>
      <c r="X149" s="515">
        <v>38401.808323865473</v>
      </c>
      <c r="Y149" s="514">
        <v>10381.857513530249</v>
      </c>
      <c r="Z149" s="514">
        <v>26715.525492259767</v>
      </c>
      <c r="AA149" s="227">
        <v>39743.995993238757</v>
      </c>
      <c r="AB149" s="515">
        <v>40107.588732049648</v>
      </c>
      <c r="AC149" s="514">
        <v>47710.295449047968</v>
      </c>
      <c r="AD149" s="227">
        <v>40928.916952495463</v>
      </c>
      <c r="AE149" s="515">
        <v>65657.43852541456</v>
      </c>
    </row>
    <row r="150" spans="1:31" x14ac:dyDescent="0.25">
      <c r="A150" s="51" t="s">
        <v>1403</v>
      </c>
      <c r="B150" s="510">
        <v>18.689131581536152</v>
      </c>
      <c r="C150" s="511">
        <v>20.725598815976237</v>
      </c>
      <c r="D150" s="512">
        <v>11.243441611256399</v>
      </c>
      <c r="E150" s="517">
        <v>14.030821316818789</v>
      </c>
      <c r="F150" s="512">
        <v>37.677384508969354</v>
      </c>
      <c r="G150" s="512">
        <v>40.278919720957546</v>
      </c>
      <c r="H150" s="512">
        <v>9.5840319926163922</v>
      </c>
      <c r="I150" s="512">
        <v>2.7219150854182668</v>
      </c>
      <c r="J150" s="512">
        <v>4.6044025122605055</v>
      </c>
      <c r="K150" s="512">
        <v>4.6050451142199167</v>
      </c>
      <c r="L150" s="512">
        <v>5.5382784409906609</v>
      </c>
      <c r="M150" s="512">
        <v>2.9071465697652497</v>
      </c>
      <c r="N150" s="512">
        <v>3.0916596575223219</v>
      </c>
      <c r="O150" s="512">
        <v>2.7115285544965335</v>
      </c>
      <c r="P150" s="510">
        <v>35.936492553809657</v>
      </c>
      <c r="Q150" s="512">
        <v>79.35345738601184</v>
      </c>
      <c r="R150" s="511">
        <v>127.86701547776102</v>
      </c>
      <c r="S150" s="512">
        <v>3.4737889505839079</v>
      </c>
      <c r="T150" s="510">
        <v>21.202937763756051</v>
      </c>
      <c r="U150" s="510">
        <v>11.151092775776915</v>
      </c>
      <c r="V150" s="512">
        <v>9.2192493435383263</v>
      </c>
      <c r="W150" s="512">
        <v>2.6800460021733246</v>
      </c>
      <c r="X150" s="511">
        <v>4.5734635448133441</v>
      </c>
      <c r="Y150" s="510">
        <v>5.2664683055544694</v>
      </c>
      <c r="Z150" s="510">
        <v>2.5475197142333585</v>
      </c>
      <c r="AA150" s="512">
        <v>11.459403377084751</v>
      </c>
      <c r="AB150" s="511">
        <v>7.344151982525311</v>
      </c>
      <c r="AC150" s="510">
        <v>8.927660598854315</v>
      </c>
      <c r="AD150" s="512">
        <v>2.0443007229797234</v>
      </c>
      <c r="AE150" s="511">
        <v>8.4314452337101429</v>
      </c>
    </row>
    <row r="151" spans="1:31" x14ac:dyDescent="0.25">
      <c r="A151" s="51" t="s">
        <v>237</v>
      </c>
      <c r="B151" s="510">
        <v>3.7140376581436518</v>
      </c>
      <c r="C151" s="511">
        <v>4.480715663049069</v>
      </c>
      <c r="D151" s="512">
        <v>24.092225423277366</v>
      </c>
      <c r="E151" s="512">
        <v>25.247666963327209</v>
      </c>
      <c r="F151" s="512">
        <v>26.525266376289096</v>
      </c>
      <c r="G151" s="512">
        <v>27.603670529779567</v>
      </c>
      <c r="H151" s="512">
        <v>4.9033058189870138</v>
      </c>
      <c r="I151" s="512">
        <v>2.3051182507923889</v>
      </c>
      <c r="J151" s="512">
        <v>3.7614772362757516</v>
      </c>
      <c r="K151" s="512">
        <v>3.7617535910522824</v>
      </c>
      <c r="L151" s="512">
        <v>4.5347089700598406</v>
      </c>
      <c r="M151" s="512">
        <v>22.193564739877779</v>
      </c>
      <c r="N151" s="512">
        <v>22.740127736863851</v>
      </c>
      <c r="O151" s="512">
        <v>2.5246868470398156</v>
      </c>
      <c r="P151" s="510">
        <v>27.490199711157246</v>
      </c>
      <c r="Q151" s="512">
        <v>31.217790517076065</v>
      </c>
      <c r="R151" s="511">
        <v>35.549361519579989</v>
      </c>
      <c r="S151" s="512">
        <v>22.797194683750078</v>
      </c>
      <c r="T151" s="510">
        <v>3.7865259100003907</v>
      </c>
      <c r="U151" s="510">
        <v>24.472760659892455</v>
      </c>
      <c r="V151" s="512">
        <v>5.2236297118524515</v>
      </c>
      <c r="W151" s="512">
        <v>2.589017911863797</v>
      </c>
      <c r="X151" s="511">
        <v>4.1334572763016695</v>
      </c>
      <c r="Y151" s="510">
        <v>8.6349259525860731</v>
      </c>
      <c r="Z151" s="510">
        <v>2.1142460650114661</v>
      </c>
      <c r="AA151" s="512">
        <v>4.0748550151682981</v>
      </c>
      <c r="AB151" s="511">
        <v>2.8445653039281424</v>
      </c>
      <c r="AC151" s="510">
        <v>4.7790785872179944</v>
      </c>
      <c r="AD151" s="512">
        <v>1.775171703668007</v>
      </c>
      <c r="AE151" s="511">
        <v>3.6290528736469532</v>
      </c>
    </row>
    <row r="152" spans="1:31" x14ac:dyDescent="0.25">
      <c r="A152" s="51" t="s">
        <v>234</v>
      </c>
      <c r="B152" s="510">
        <v>7.5372286138659108</v>
      </c>
      <c r="C152" s="511">
        <v>8.4657507189683781</v>
      </c>
      <c r="D152" s="512">
        <v>7.7120023201713561</v>
      </c>
      <c r="E152" s="512">
        <v>9.5366952141985788</v>
      </c>
      <c r="F152" s="512">
        <v>10.068767481478107</v>
      </c>
      <c r="G152" s="512">
        <v>11.77180162691711</v>
      </c>
      <c r="H152" s="512">
        <v>7.0689412113593457</v>
      </c>
      <c r="I152" s="512">
        <v>3.0201188076849794</v>
      </c>
      <c r="J152" s="512">
        <v>4.7228602885841156</v>
      </c>
      <c r="K152" s="512">
        <v>4.7249605302323712</v>
      </c>
      <c r="L152" s="512">
        <v>8.3092661588133705</v>
      </c>
      <c r="M152" s="512">
        <v>4.68824282344168</v>
      </c>
      <c r="N152" s="512">
        <v>5.2055648632277274</v>
      </c>
      <c r="O152" s="512">
        <v>3.3082518379220618</v>
      </c>
      <c r="P152" s="510">
        <v>10.775250072144861</v>
      </c>
      <c r="Q152" s="512">
        <v>14.432673280956749</v>
      </c>
      <c r="R152" s="511">
        <v>18.627893203627348</v>
      </c>
      <c r="S152" s="512">
        <v>5.6385599815905678</v>
      </c>
      <c r="T152" s="510">
        <v>7.3082688295601681</v>
      </c>
      <c r="U152" s="510">
        <v>8.2997279080877711</v>
      </c>
      <c r="V152" s="512">
        <v>7.6576299417147924</v>
      </c>
      <c r="W152" s="512">
        <v>3.5785629921032123</v>
      </c>
      <c r="X152" s="511">
        <v>5.3147213245508702</v>
      </c>
      <c r="Y152" s="510">
        <v>16.442984160125128</v>
      </c>
      <c r="Z152" s="510">
        <v>2.3945511932638399</v>
      </c>
      <c r="AA152" s="512">
        <v>7.6281117095695938</v>
      </c>
      <c r="AB152" s="511">
        <v>4.779199922563234</v>
      </c>
      <c r="AC152" s="510">
        <v>6.8765780759616337</v>
      </c>
      <c r="AD152" s="512">
        <v>1.2034631071081012</v>
      </c>
      <c r="AE152" s="511">
        <v>6.3871242637205263</v>
      </c>
    </row>
    <row r="153" spans="1:31" x14ac:dyDescent="0.25">
      <c r="A153" s="51" t="s">
        <v>1404</v>
      </c>
      <c r="B153" s="510">
        <v>11.493596315358969</v>
      </c>
      <c r="C153" s="511">
        <v>28.636330664445246</v>
      </c>
      <c r="D153" s="512">
        <v>11.429682201193827</v>
      </c>
      <c r="E153" s="512">
        <v>17.380897956260409</v>
      </c>
      <c r="F153" s="512">
        <v>16.56919480691958</v>
      </c>
      <c r="G153" s="512">
        <v>22.12362189485766</v>
      </c>
      <c r="H153" s="512">
        <v>9.5568610825422589</v>
      </c>
      <c r="I153" s="512">
        <v>7.6912178192797249</v>
      </c>
      <c r="J153" s="512">
        <v>6.9399537389913704</v>
      </c>
      <c r="K153" s="512">
        <v>6.9454963639267424</v>
      </c>
      <c r="L153" s="512">
        <v>11.394989290405684</v>
      </c>
      <c r="M153" s="512">
        <v>7.6631159017711719</v>
      </c>
      <c r="N153" s="512">
        <v>13.59871280089089</v>
      </c>
      <c r="O153" s="512">
        <v>4.3749247624378054</v>
      </c>
      <c r="P153" s="510">
        <v>17.066011306956707</v>
      </c>
      <c r="Q153" s="512">
        <v>25.234318191053454</v>
      </c>
      <c r="R153" s="511">
        <v>34.511563457395951</v>
      </c>
      <c r="S153" s="512">
        <v>8.9904313897526489</v>
      </c>
      <c r="T153" s="510">
        <v>11.339780609400105</v>
      </c>
      <c r="U153" s="510">
        <v>20.765098568779699</v>
      </c>
      <c r="V153" s="512">
        <v>18.766994617278669</v>
      </c>
      <c r="W153" s="512">
        <v>14.464513044569397</v>
      </c>
      <c r="X153" s="511">
        <v>16.053426347637256</v>
      </c>
      <c r="Y153" s="510">
        <v>21.997917382867755</v>
      </c>
      <c r="Z153" s="510">
        <v>3.1523914304818832</v>
      </c>
      <c r="AA153" s="512">
        <v>9.5953213093742757</v>
      </c>
      <c r="AB153" s="511">
        <v>6.6307231659577823</v>
      </c>
      <c r="AC153" s="510">
        <v>9.2880983858345214</v>
      </c>
      <c r="AD153" s="512">
        <v>1.5876416851316357</v>
      </c>
      <c r="AE153" s="511">
        <v>7.711184931628468</v>
      </c>
    </row>
    <row r="154" spans="1:31" x14ac:dyDescent="0.25">
      <c r="A154" s="51" t="s">
        <v>235</v>
      </c>
      <c r="B154" s="510">
        <v>0.56490922820746026</v>
      </c>
      <c r="C154" s="511">
        <v>2.1420005616419706</v>
      </c>
      <c r="D154" s="512">
        <v>1.3891425271156181</v>
      </c>
      <c r="E154" s="512">
        <v>1.9787753572299871</v>
      </c>
      <c r="F154" s="512">
        <v>2.362499425563962</v>
      </c>
      <c r="G154" s="512">
        <v>2.9128193430928468</v>
      </c>
      <c r="H154" s="512">
        <v>1.3624080692416309</v>
      </c>
      <c r="I154" s="512">
        <v>0.83626832084615699</v>
      </c>
      <c r="J154" s="512">
        <v>0.72927800226226891</v>
      </c>
      <c r="K154" s="512">
        <v>0.72954925040465635</v>
      </c>
      <c r="L154" s="512">
        <v>1.1076239919529238</v>
      </c>
      <c r="M154" s="512">
        <v>0.74811607721894546</v>
      </c>
      <c r="N154" s="512">
        <v>0.73151928115974174</v>
      </c>
      <c r="O154" s="512">
        <v>0.66680573605472415</v>
      </c>
      <c r="P154" s="510">
        <v>2.2578043340474001</v>
      </c>
      <c r="Q154" s="512">
        <v>3.8136813124093099</v>
      </c>
      <c r="R154" s="511">
        <v>5.592342084591956</v>
      </c>
      <c r="S154" s="512">
        <v>0.8995836570560376</v>
      </c>
      <c r="T154" s="510">
        <v>0.56755465814642037</v>
      </c>
      <c r="U154" s="510">
        <v>2.255827153896369</v>
      </c>
      <c r="V154" s="512">
        <v>2.2309593512068808</v>
      </c>
      <c r="W154" s="512">
        <v>1.4802449802849529</v>
      </c>
      <c r="X154" s="511">
        <v>1.5798891689599657</v>
      </c>
      <c r="Y154" s="510">
        <v>0.50663814227213555</v>
      </c>
      <c r="Z154" s="510">
        <v>0.48792884925008906</v>
      </c>
      <c r="AA154" s="512">
        <v>1.2641396873936506</v>
      </c>
      <c r="AB154" s="511">
        <v>0.87084226432999345</v>
      </c>
      <c r="AC154" s="510">
        <v>1.2951940978134784</v>
      </c>
      <c r="AD154" s="512">
        <v>0.2871427885369815</v>
      </c>
      <c r="AE154" s="511">
        <v>1.3500413332747552</v>
      </c>
    </row>
    <row r="155" spans="1:31" x14ac:dyDescent="0.25">
      <c r="A155" s="51" t="s">
        <v>236</v>
      </c>
      <c r="B155" s="510">
        <v>0.47585912140455749</v>
      </c>
      <c r="C155" s="511">
        <v>1.9404963008120164</v>
      </c>
      <c r="D155" s="512">
        <v>1.1924266677468391</v>
      </c>
      <c r="E155" s="512">
        <v>1.7492987492486598</v>
      </c>
      <c r="F155" s="512">
        <v>1.5044195582364963</v>
      </c>
      <c r="G155" s="512">
        <v>2.0241630024859933</v>
      </c>
      <c r="H155" s="512">
        <v>1.1639843627061279</v>
      </c>
      <c r="I155" s="512">
        <v>0.74265511422225217</v>
      </c>
      <c r="J155" s="512">
        <v>0.61823736352280001</v>
      </c>
      <c r="K155" s="512">
        <v>0.61846051680366831</v>
      </c>
      <c r="L155" s="512">
        <v>0.9720374048406929</v>
      </c>
      <c r="M155" s="512">
        <v>0.65703508446004544</v>
      </c>
      <c r="N155" s="512">
        <v>0.66066186810831384</v>
      </c>
      <c r="O155" s="512">
        <v>0.54159380216830133</v>
      </c>
      <c r="P155" s="510">
        <v>1.5252486449744234</v>
      </c>
      <c r="Q155" s="512">
        <v>1.9928632379357059</v>
      </c>
      <c r="R155" s="511">
        <v>2.5475070784130569</v>
      </c>
      <c r="S155" s="512">
        <v>0.7644226115891688</v>
      </c>
      <c r="T155" s="510">
        <v>0.47694577379123831</v>
      </c>
      <c r="U155" s="510">
        <v>1.994392314240361</v>
      </c>
      <c r="V155" s="512">
        <v>1.9753572936235984</v>
      </c>
      <c r="W155" s="512">
        <v>1.33301451280108</v>
      </c>
      <c r="X155" s="511">
        <v>1.4036782866551203</v>
      </c>
      <c r="Y155" s="510">
        <v>0.47044601818928766</v>
      </c>
      <c r="Z155" s="510">
        <v>0.42377744227141961</v>
      </c>
      <c r="AA155" s="512">
        <v>1.0860839938015285</v>
      </c>
      <c r="AB155" s="511">
        <v>0.74948035723740203</v>
      </c>
      <c r="AC155" s="510">
        <v>1.107319719653721</v>
      </c>
      <c r="AD155" s="512">
        <v>0.23390268502906175</v>
      </c>
      <c r="AE155" s="511">
        <v>1.1672243044257604</v>
      </c>
    </row>
    <row r="156" spans="1:31" x14ac:dyDescent="0.25">
      <c r="A156" s="51" t="s">
        <v>798</v>
      </c>
      <c r="B156" s="510">
        <v>2.6651775385811116</v>
      </c>
      <c r="C156" s="511">
        <v>15.799142958681035</v>
      </c>
      <c r="D156" s="512">
        <v>3.5902951431923356</v>
      </c>
      <c r="E156" s="512">
        <v>7.3004692688797794</v>
      </c>
      <c r="F156" s="512">
        <v>4.768552555257398</v>
      </c>
      <c r="G156" s="512">
        <v>8.2313562096436037</v>
      </c>
      <c r="H156" s="512">
        <v>4.3784162001888269</v>
      </c>
      <c r="I156" s="512">
        <v>3.6349424865010933</v>
      </c>
      <c r="J156" s="512">
        <v>2.0939573390528752</v>
      </c>
      <c r="K156" s="512">
        <v>2.0948771936221009</v>
      </c>
      <c r="L156" s="512">
        <v>3.3298380631934621</v>
      </c>
      <c r="M156" s="512">
        <v>2.8413045315261312</v>
      </c>
      <c r="N156" s="512">
        <v>1.7771770757022574</v>
      </c>
      <c r="O156" s="512">
        <v>1.5397571933034246</v>
      </c>
      <c r="P156" s="510">
        <v>5.0424474454317023</v>
      </c>
      <c r="Q156" s="512">
        <v>6.867941767458059</v>
      </c>
      <c r="R156" s="511">
        <v>8.9742223935503205</v>
      </c>
      <c r="S156" s="512">
        <v>3.2683076242855855</v>
      </c>
      <c r="T156" s="510">
        <v>2.8219042621344084</v>
      </c>
      <c r="U156" s="510">
        <v>10.749504662657596</v>
      </c>
      <c r="V156" s="512">
        <v>11.541235026470714</v>
      </c>
      <c r="W156" s="512">
        <v>8.969055029063977</v>
      </c>
      <c r="X156" s="511">
        <v>9.1080129935403313</v>
      </c>
      <c r="Y156" s="510">
        <v>8.1581101328465415</v>
      </c>
      <c r="Z156" s="510">
        <v>1.1265688485104075</v>
      </c>
      <c r="AA156" s="512">
        <v>4.5738263775505743</v>
      </c>
      <c r="AB156" s="511">
        <v>2.1658324060446037</v>
      </c>
      <c r="AC156" s="510">
        <v>4.2282031233327837</v>
      </c>
      <c r="AD156" s="512">
        <v>0.72126971186551203</v>
      </c>
      <c r="AE156" s="511">
        <v>4.0431870543034254</v>
      </c>
    </row>
    <row r="157" spans="1:31" x14ac:dyDescent="0.25">
      <c r="A157" s="51" t="s">
        <v>799</v>
      </c>
      <c r="B157" s="510">
        <v>8.5929625989135644E-2</v>
      </c>
      <c r="C157" s="511">
        <v>0.31056806714106922</v>
      </c>
      <c r="D157" s="512">
        <v>0.14510257637422158</v>
      </c>
      <c r="E157" s="512">
        <v>0.21108958768678679</v>
      </c>
      <c r="F157" s="512">
        <v>0.18214660536352198</v>
      </c>
      <c r="G157" s="512">
        <v>0.24373402853408185</v>
      </c>
      <c r="H157" s="512">
        <v>0.1007411735680516</v>
      </c>
      <c r="I157" s="512">
        <v>9.3334122512991891E-2</v>
      </c>
      <c r="J157" s="512">
        <v>8.0837425631492668E-2</v>
      </c>
      <c r="K157" s="512">
        <v>8.0868345818885481E-2</v>
      </c>
      <c r="L157" s="512">
        <v>0.14272664638795157</v>
      </c>
      <c r="M157" s="512">
        <v>0.11394084552509905</v>
      </c>
      <c r="N157" s="512">
        <v>0.10760350983216041</v>
      </c>
      <c r="O157" s="512">
        <v>6.9685440154079209E-2</v>
      </c>
      <c r="P157" s="510">
        <v>0.18532511114732511</v>
      </c>
      <c r="Q157" s="512">
        <v>0.24069313324550143</v>
      </c>
      <c r="R157" s="511">
        <v>0.30587891431836495</v>
      </c>
      <c r="S157" s="512">
        <v>0.11802343641154084</v>
      </c>
      <c r="T157" s="510">
        <v>8.8520532415936048E-2</v>
      </c>
      <c r="U157" s="510">
        <v>0.26611361889020535</v>
      </c>
      <c r="V157" s="512">
        <v>0.2250407552427984</v>
      </c>
      <c r="W157" s="512">
        <v>0.18231136336190901</v>
      </c>
      <c r="X157" s="511">
        <v>0.1991620674529469</v>
      </c>
      <c r="Y157" s="510">
        <v>8.5645166331350359E-2</v>
      </c>
      <c r="Z157" s="510">
        <v>4.6033892634064114E-2</v>
      </c>
      <c r="AA157" s="512">
        <v>0.11458168151936002</v>
      </c>
      <c r="AB157" s="511">
        <v>9.0475813051877504E-2</v>
      </c>
      <c r="AC157" s="510">
        <v>9.9004839442854778E-2</v>
      </c>
      <c r="AD157" s="512">
        <v>3.2499249328411153E-2</v>
      </c>
      <c r="AE157" s="511">
        <v>9.1258644162547808E-2</v>
      </c>
    </row>
    <row r="158" spans="1:31" x14ac:dyDescent="0.25">
      <c r="A158" s="51" t="s">
        <v>800</v>
      </c>
      <c r="B158" s="510">
        <v>0.17271074080892998</v>
      </c>
      <c r="C158" s="511">
        <v>0.74282415412591518</v>
      </c>
      <c r="D158" s="512">
        <v>0.21497811849747248</v>
      </c>
      <c r="E158" s="512">
        <v>0.36983745883547647</v>
      </c>
      <c r="F158" s="512">
        <v>0.2701743323769179</v>
      </c>
      <c r="G158" s="512">
        <v>0.41470865111025185</v>
      </c>
      <c r="H158" s="512">
        <v>0.16004839222236572</v>
      </c>
      <c r="I158" s="512">
        <v>0.18550712199064218</v>
      </c>
      <c r="J158" s="512">
        <v>0.12221015845527242</v>
      </c>
      <c r="K158" s="512">
        <v>0.1222949649319806</v>
      </c>
      <c r="L158" s="512">
        <v>0.19898193819507037</v>
      </c>
      <c r="M158" s="512">
        <v>0.17759382049858008</v>
      </c>
      <c r="N158" s="512">
        <v>0.23799542275512586</v>
      </c>
      <c r="O158" s="512">
        <v>9.1188239821542158E-2</v>
      </c>
      <c r="P158" s="510">
        <v>0.27645434865622587</v>
      </c>
      <c r="Q158" s="512">
        <v>0.35971710149598812</v>
      </c>
      <c r="R158" s="511">
        <v>0.45719082831907765</v>
      </c>
      <c r="S158" s="512">
        <v>0.18744593532271653</v>
      </c>
      <c r="T158" s="510">
        <v>0.16883110456604758</v>
      </c>
      <c r="U158" s="510">
        <v>0.52819964168676847</v>
      </c>
      <c r="V158" s="512">
        <v>0.47226707040608495</v>
      </c>
      <c r="W158" s="512">
        <v>0.41499909238294713</v>
      </c>
      <c r="X158" s="511">
        <v>0.42815897542967674</v>
      </c>
      <c r="Y158" s="510">
        <v>0.2071680327757156</v>
      </c>
      <c r="Z158" s="510">
        <v>6.1380698330112671E-2</v>
      </c>
      <c r="AA158" s="512">
        <v>0.16629816040382039</v>
      </c>
      <c r="AB158" s="511">
        <v>0.12663921846278126</v>
      </c>
      <c r="AC158" s="510">
        <v>0.1555730150960524</v>
      </c>
      <c r="AD158" s="512">
        <v>4.1060461033483077E-2</v>
      </c>
      <c r="AE158" s="511">
        <v>0.12947584323480282</v>
      </c>
    </row>
    <row r="159" spans="1:31" x14ac:dyDescent="0.25">
      <c r="A159" s="51" t="s">
        <v>6</v>
      </c>
      <c r="B159" s="510">
        <v>91.247602563329494</v>
      </c>
      <c r="C159" s="511">
        <v>87.93976689455846</v>
      </c>
      <c r="D159" s="512">
        <v>36.358408808834412</v>
      </c>
      <c r="E159" s="512">
        <v>48.851388604895753</v>
      </c>
      <c r="F159" s="512">
        <v>40.317022985993063</v>
      </c>
      <c r="G159" s="512">
        <v>51.977051498525107</v>
      </c>
      <c r="H159" s="512">
        <v>30.006606697210419</v>
      </c>
      <c r="I159" s="512">
        <v>9.244496514861849</v>
      </c>
      <c r="J159" s="512">
        <v>18.195118853517428</v>
      </c>
      <c r="K159" s="512">
        <v>18.19686091474696</v>
      </c>
      <c r="L159" s="512">
        <v>35.408700276396928</v>
      </c>
      <c r="M159" s="512">
        <v>15.674089805965211</v>
      </c>
      <c r="N159" s="512">
        <v>17.215764035868339</v>
      </c>
      <c r="O159" s="512">
        <v>9.8344864125171831</v>
      </c>
      <c r="P159" s="510">
        <v>41.168985927223574</v>
      </c>
      <c r="Q159" s="512">
        <v>47.590212453221362</v>
      </c>
      <c r="R159" s="511">
        <v>54.736879301064633</v>
      </c>
      <c r="S159" s="512">
        <v>21.593525497473458</v>
      </c>
      <c r="T159" s="510">
        <v>88.114027351201415</v>
      </c>
      <c r="U159" s="510">
        <v>36.464580800626486</v>
      </c>
      <c r="V159" s="512">
        <v>29.630838340455519</v>
      </c>
      <c r="W159" s="512">
        <v>9.3964139055328939</v>
      </c>
      <c r="X159" s="511">
        <v>18.376843418663544</v>
      </c>
      <c r="Y159" s="510">
        <v>111.9123186584455</v>
      </c>
      <c r="Z159" s="510">
        <v>8.7488952692489743</v>
      </c>
      <c r="AA159" s="512">
        <v>38.666623173194665</v>
      </c>
      <c r="AB159" s="511">
        <v>23.880107113722051</v>
      </c>
      <c r="AC159" s="510">
        <v>28.112244050061904</v>
      </c>
      <c r="AD159" s="512">
        <v>2.6359285261523304</v>
      </c>
      <c r="AE159" s="511">
        <v>26.762548184170484</v>
      </c>
    </row>
    <row r="160" spans="1:31" x14ac:dyDescent="0.25">
      <c r="A160" s="51" t="s">
        <v>3</v>
      </c>
      <c r="B160" s="510">
        <v>8.1328795833971235E-2</v>
      </c>
      <c r="C160" s="511">
        <v>5.9841444788553799E-2</v>
      </c>
      <c r="D160" s="512">
        <v>0.22288980377229123</v>
      </c>
      <c r="E160" s="512">
        <v>0.26032488858367619</v>
      </c>
      <c r="F160" s="512">
        <v>2.7865700988665258</v>
      </c>
      <c r="G160" s="512">
        <v>2.8215092537675384</v>
      </c>
      <c r="H160" s="512">
        <v>0.17933661744240537</v>
      </c>
      <c r="I160" s="512">
        <v>8.1428332536417555E-2</v>
      </c>
      <c r="J160" s="512">
        <v>0.15258457735577038</v>
      </c>
      <c r="K160" s="512">
        <v>0.15260561939207903</v>
      </c>
      <c r="L160" s="512">
        <v>0.2979951582314474</v>
      </c>
      <c r="M160" s="512">
        <v>0.14547749159848</v>
      </c>
      <c r="N160" s="512">
        <v>0.18334019123780709</v>
      </c>
      <c r="O160" s="512">
        <v>9.8575725105922135E-2</v>
      </c>
      <c r="P160" s="510">
        <v>2.6930020386215867</v>
      </c>
      <c r="Q160" s="512">
        <v>6.8979908296465826</v>
      </c>
      <c r="R160" s="511">
        <v>11.595746774852623</v>
      </c>
      <c r="S160" s="512">
        <v>0.18109258394545502</v>
      </c>
      <c r="T160" s="510">
        <v>5.2976150590869756E-2</v>
      </c>
      <c r="U160" s="510">
        <v>0.22841315112064728</v>
      </c>
      <c r="V160" s="512">
        <v>0.17920481526594484</v>
      </c>
      <c r="W160" s="512">
        <v>8.4935581700989388E-2</v>
      </c>
      <c r="X160" s="511">
        <v>0.15859235821596745</v>
      </c>
      <c r="Y160" s="510">
        <v>0.17421375233966102</v>
      </c>
      <c r="Z160" s="510">
        <v>7.2983540377019956E-2</v>
      </c>
      <c r="AA160" s="512">
        <v>0.18205568092293137</v>
      </c>
      <c r="AB160" s="511">
        <v>0.14454780745413143</v>
      </c>
      <c r="AC160" s="510">
        <v>0.17656408536748389</v>
      </c>
      <c r="AD160" s="512">
        <v>2.7444358280677157E-2</v>
      </c>
      <c r="AE160" s="511">
        <v>0.16661275675519846</v>
      </c>
    </row>
    <row r="161" spans="1:37" x14ac:dyDescent="0.25">
      <c r="A161" s="51" t="s">
        <v>2</v>
      </c>
      <c r="B161" s="514">
        <v>5128.797594074691</v>
      </c>
      <c r="C161" s="515">
        <v>3847.7153421242674</v>
      </c>
      <c r="D161" s="227">
        <v>12392.784198381265</v>
      </c>
      <c r="E161" s="227">
        <v>13445.922801386001</v>
      </c>
      <c r="F161" s="227">
        <v>14492.41564604104</v>
      </c>
      <c r="G161" s="227">
        <v>15475.337762232628</v>
      </c>
      <c r="H161" s="227">
        <v>10752.779789682578</v>
      </c>
      <c r="I161" s="227">
        <v>4546.2430973453111</v>
      </c>
      <c r="J161" s="227">
        <v>7614.8487187101236</v>
      </c>
      <c r="K161" s="227">
        <v>7616.0744793036283</v>
      </c>
      <c r="L161" s="227">
        <v>13442.806424943972</v>
      </c>
      <c r="M161" s="227">
        <v>7077.0732179764991</v>
      </c>
      <c r="N161" s="227">
        <v>8340.030035395288</v>
      </c>
      <c r="O161" s="227">
        <v>4959.1171399752693</v>
      </c>
      <c r="P161" s="514">
        <v>15517.213437746652</v>
      </c>
      <c r="Q161" s="227">
        <v>18400.810913114565</v>
      </c>
      <c r="R161" s="515">
        <v>22069.440248613217</v>
      </c>
      <c r="S161" s="227">
        <v>7605.2048298128075</v>
      </c>
      <c r="T161" s="514">
        <v>3596.1180933954483</v>
      </c>
      <c r="U161" s="514">
        <v>12602.668143743567</v>
      </c>
      <c r="V161" s="227">
        <v>10705.384629297905</v>
      </c>
      <c r="W161" s="227">
        <v>4754.6818753975585</v>
      </c>
      <c r="X161" s="515">
        <v>7852.8947862512105</v>
      </c>
      <c r="Y161" s="514">
        <v>6433.9938362560406</v>
      </c>
      <c r="Z161" s="514">
        <v>4179.8552026015968</v>
      </c>
      <c r="AA161" s="227">
        <v>9680.2795798712996</v>
      </c>
      <c r="AB161" s="515">
        <v>8030.9335424123574</v>
      </c>
      <c r="AC161" s="514">
        <v>10219.193341826691</v>
      </c>
      <c r="AD161" s="227">
        <v>1996.1773844623028</v>
      </c>
      <c r="AE161" s="515">
        <v>10698.512914378576</v>
      </c>
    </row>
    <row r="162" spans="1:37" x14ac:dyDescent="0.25">
      <c r="A162" s="51" t="s">
        <v>1405</v>
      </c>
      <c r="B162" s="514">
        <v>5152.2172278357893</v>
      </c>
      <c r="C162" s="515">
        <v>3874.9835618324828</v>
      </c>
      <c r="D162" s="227">
        <v>12479.990495072652</v>
      </c>
      <c r="E162" s="227">
        <v>13539.597598758301</v>
      </c>
      <c r="F162" s="227">
        <v>14590.90840847994</v>
      </c>
      <c r="G162" s="227">
        <v>15579.867747464168</v>
      </c>
      <c r="H162" s="227">
        <v>10779.170095674366</v>
      </c>
      <c r="I162" s="227">
        <v>4558.1732835437851</v>
      </c>
      <c r="J162" s="227">
        <v>7633.993627026196</v>
      </c>
      <c r="K162" s="227">
        <v>7635.2235493051539</v>
      </c>
      <c r="L162" s="227">
        <v>13469.997019483555</v>
      </c>
      <c r="M162" s="227">
        <v>7153.6104001383364</v>
      </c>
      <c r="N162" s="227">
        <v>8419.0836068650151</v>
      </c>
      <c r="O162" s="227">
        <v>4972.1844287748017</v>
      </c>
      <c r="P162" s="514">
        <v>15619.823762674081</v>
      </c>
      <c r="Q162" s="227">
        <v>18520.78627538191</v>
      </c>
      <c r="R162" s="515">
        <v>22209.508162288275</v>
      </c>
      <c r="S162" s="227">
        <v>7685.1166808339476</v>
      </c>
      <c r="T162" s="514">
        <v>3619.4038549280681</v>
      </c>
      <c r="U162" s="514">
        <v>12691.984010703418</v>
      </c>
      <c r="V162" s="227">
        <v>10733.698360379683</v>
      </c>
      <c r="W162" s="227">
        <v>4768.3744373533154</v>
      </c>
      <c r="X162" s="515">
        <v>7874.129099700931</v>
      </c>
      <c r="Y162" s="227">
        <v>6486.7449972503682</v>
      </c>
      <c r="Z162" s="514">
        <v>4190.2074689983929</v>
      </c>
      <c r="AA162" s="227">
        <v>9704.9665773550405</v>
      </c>
      <c r="AB162" s="515">
        <v>8047.3092755831522</v>
      </c>
      <c r="AC162" s="514">
        <v>10244.894188019078</v>
      </c>
      <c r="AD162" s="227">
        <v>2003.6011592499046</v>
      </c>
      <c r="AE162" s="515">
        <v>10719.860372058718</v>
      </c>
    </row>
    <row r="163" spans="1:37" x14ac:dyDescent="0.25">
      <c r="A163" s="220" t="s">
        <v>797</v>
      </c>
      <c r="B163" s="518">
        <v>7893.5985454856827</v>
      </c>
      <c r="C163" s="519">
        <v>6511.9253297176001</v>
      </c>
      <c r="D163" s="254">
        <v>13624.319994005753</v>
      </c>
      <c r="E163" s="254">
        <v>15066.437673767537</v>
      </c>
      <c r="F163" s="254">
        <v>16553.089330453095</v>
      </c>
      <c r="G163" s="254">
        <v>17899.055908398754</v>
      </c>
      <c r="H163" s="254">
        <v>11722.325871813013</v>
      </c>
      <c r="I163" s="254">
        <v>4855.8892144691099</v>
      </c>
      <c r="J163" s="254">
        <v>8217.8637584791413</v>
      </c>
      <c r="K163" s="254">
        <v>8219.1513386586503</v>
      </c>
      <c r="L163" s="254">
        <v>14606.528965917369</v>
      </c>
      <c r="M163" s="254">
        <v>7660.4136315624846</v>
      </c>
      <c r="N163" s="254">
        <v>8982.1652473418126</v>
      </c>
      <c r="O163" s="254">
        <v>5292.1632968217309</v>
      </c>
      <c r="P163" s="518">
        <v>17581.849099849038</v>
      </c>
      <c r="Q163" s="254">
        <v>21822.126102981423</v>
      </c>
      <c r="R163" s="519">
        <v>27006.306034994766</v>
      </c>
      <c r="S163" s="254">
        <v>8378.0420160757658</v>
      </c>
      <c r="T163" s="518">
        <v>6259.6643591051779</v>
      </c>
      <c r="U163" s="518">
        <v>13840.985308818024</v>
      </c>
      <c r="V163" s="254">
        <v>11665.620257492861</v>
      </c>
      <c r="W163" s="254">
        <v>5071.5749855425656</v>
      </c>
      <c r="X163" s="519">
        <v>8465.0547473700644</v>
      </c>
      <c r="Y163" s="518">
        <v>9869.2924476607714</v>
      </c>
      <c r="Z163" s="518">
        <v>4470.8490545449386</v>
      </c>
      <c r="AA163" s="254">
        <v>10906.933148808203</v>
      </c>
      <c r="AB163" s="519">
        <v>8798.398019007047</v>
      </c>
      <c r="AC163" s="518">
        <v>11130.841056016245</v>
      </c>
      <c r="AD163" s="254">
        <v>2089.6441391398689</v>
      </c>
      <c r="AE163" s="519">
        <v>11562.869590541168</v>
      </c>
    </row>
    <row r="165" spans="1:37" ht="15.75" x14ac:dyDescent="0.25">
      <c r="A165" s="523" t="s">
        <v>1428</v>
      </c>
    </row>
    <row r="166" spans="1:37" ht="55.5" customHeight="1" x14ac:dyDescent="0.25">
      <c r="A166" s="219"/>
      <c r="B166" s="919" t="s">
        <v>1267</v>
      </c>
      <c r="C166" s="919" t="s">
        <v>1406</v>
      </c>
      <c r="D166" s="919" t="s">
        <v>1407</v>
      </c>
      <c r="E166" s="919" t="s">
        <v>1408</v>
      </c>
      <c r="F166" s="915" t="s">
        <v>1266</v>
      </c>
      <c r="G166" s="916"/>
      <c r="H166" s="915" t="s">
        <v>1409</v>
      </c>
      <c r="I166" s="916"/>
      <c r="J166" s="915" t="s">
        <v>1410</v>
      </c>
      <c r="K166" s="916"/>
      <c r="L166" s="915" t="s">
        <v>1411</v>
      </c>
      <c r="M166" s="916"/>
      <c r="N166" s="915" t="s">
        <v>1412</v>
      </c>
      <c r="O166" s="916"/>
      <c r="P166" s="915" t="s">
        <v>1413</v>
      </c>
      <c r="Q166" s="916"/>
      <c r="R166" s="915" t="s">
        <v>1414</v>
      </c>
      <c r="S166" s="916"/>
      <c r="T166" s="915" t="s">
        <v>1415</v>
      </c>
      <c r="U166" s="916"/>
      <c r="V166" s="915" t="s">
        <v>1416</v>
      </c>
      <c r="W166" s="916"/>
      <c r="X166" s="915" t="s">
        <v>1417</v>
      </c>
      <c r="Y166" s="916"/>
      <c r="Z166" s="919" t="s">
        <v>1418</v>
      </c>
      <c r="AA166" s="915" t="s">
        <v>1419</v>
      </c>
      <c r="AB166" s="916"/>
      <c r="AC166" s="915" t="s">
        <v>1420</v>
      </c>
      <c r="AD166" s="916"/>
      <c r="AE166" s="915" t="s">
        <v>1421</v>
      </c>
      <c r="AF166" s="916"/>
      <c r="AG166" s="919" t="s">
        <v>1422</v>
      </c>
      <c r="AH166" s="919" t="s">
        <v>1423</v>
      </c>
      <c r="AI166" s="919" t="s">
        <v>1424</v>
      </c>
      <c r="AJ166" s="919" t="s">
        <v>1425</v>
      </c>
      <c r="AK166" s="919" t="s">
        <v>1426</v>
      </c>
    </row>
    <row r="167" spans="1:37" x14ac:dyDescent="0.25">
      <c r="A167" s="220"/>
      <c r="B167" s="920"/>
      <c r="C167" s="920"/>
      <c r="D167" s="920"/>
      <c r="E167" s="920"/>
      <c r="F167" s="524" t="s">
        <v>1427</v>
      </c>
      <c r="G167" s="525" t="s">
        <v>208</v>
      </c>
      <c r="H167" s="524" t="s">
        <v>1427</v>
      </c>
      <c r="I167" s="525" t="s">
        <v>208</v>
      </c>
      <c r="J167" s="524" t="s">
        <v>1427</v>
      </c>
      <c r="K167" s="525" t="s">
        <v>208</v>
      </c>
      <c r="L167" s="524" t="s">
        <v>1427</v>
      </c>
      <c r="M167" s="525" t="s">
        <v>208</v>
      </c>
      <c r="N167" s="524" t="s">
        <v>1427</v>
      </c>
      <c r="O167" s="525" t="s">
        <v>208</v>
      </c>
      <c r="P167" s="524" t="s">
        <v>1427</v>
      </c>
      <c r="Q167" s="525" t="s">
        <v>208</v>
      </c>
      <c r="R167" s="524" t="s">
        <v>1427</v>
      </c>
      <c r="S167" s="525" t="s">
        <v>208</v>
      </c>
      <c r="T167" s="524" t="s">
        <v>1427</v>
      </c>
      <c r="U167" s="525" t="s">
        <v>208</v>
      </c>
      <c r="V167" s="524" t="s">
        <v>1427</v>
      </c>
      <c r="W167" s="525" t="s">
        <v>208</v>
      </c>
      <c r="X167" s="524" t="s">
        <v>1427</v>
      </c>
      <c r="Y167" s="525" t="s">
        <v>208</v>
      </c>
      <c r="Z167" s="920"/>
      <c r="AA167" s="524" t="s">
        <v>1427</v>
      </c>
      <c r="AB167" s="525" t="s">
        <v>208</v>
      </c>
      <c r="AC167" s="524" t="s">
        <v>1427</v>
      </c>
      <c r="AD167" s="525" t="s">
        <v>208</v>
      </c>
      <c r="AE167" s="524" t="s">
        <v>1427</v>
      </c>
      <c r="AF167" s="526" t="s">
        <v>208</v>
      </c>
      <c r="AG167" s="920"/>
      <c r="AH167" s="920"/>
      <c r="AI167" s="920"/>
      <c r="AJ167" s="920"/>
      <c r="AK167" s="920"/>
    </row>
    <row r="168" spans="1:37" x14ac:dyDescent="0.25">
      <c r="A168" s="51" t="s">
        <v>1399</v>
      </c>
      <c r="B168" s="51"/>
      <c r="C168" s="51"/>
      <c r="D168" s="68"/>
      <c r="E168" s="68"/>
      <c r="F168" s="513"/>
      <c r="G168" s="520">
        <v>1.0166250453537191</v>
      </c>
      <c r="H168" s="513"/>
      <c r="I168" s="520">
        <v>1.0185549389222033</v>
      </c>
      <c r="J168" s="513"/>
      <c r="K168" s="520">
        <v>1.0005158030845158</v>
      </c>
      <c r="L168" s="513"/>
      <c r="M168" s="520">
        <v>1.0143506386738088</v>
      </c>
      <c r="N168" s="513"/>
      <c r="O168" s="520">
        <v>1.0117616240091467</v>
      </c>
      <c r="P168" s="513"/>
      <c r="Q168" s="520">
        <v>1.0061186660290904</v>
      </c>
      <c r="R168" s="513"/>
      <c r="S168" s="520">
        <v>1.0143506386738088</v>
      </c>
      <c r="T168" s="513"/>
      <c r="U168" s="520">
        <v>1.0000577907384296</v>
      </c>
      <c r="V168" s="513"/>
      <c r="W168" s="520">
        <v>0.88035087318703953</v>
      </c>
      <c r="X168" s="513"/>
      <c r="Y168" s="520">
        <v>1</v>
      </c>
      <c r="Z168" s="51">
        <v>1.0069999999999999</v>
      </c>
      <c r="AA168" s="513"/>
      <c r="AB168" s="520">
        <v>1.0000577907384296</v>
      </c>
      <c r="AC168" s="513"/>
      <c r="AD168" s="520">
        <v>0.88035087318703953</v>
      </c>
      <c r="AE168" s="513"/>
      <c r="AF168" s="521">
        <v>1</v>
      </c>
      <c r="AG168" s="51"/>
      <c r="AH168" s="51"/>
      <c r="AI168" s="51"/>
      <c r="AJ168" s="51"/>
      <c r="AK168" s="51"/>
    </row>
    <row r="169" spans="1:37" x14ac:dyDescent="0.25">
      <c r="A169" s="51" t="s">
        <v>1400</v>
      </c>
      <c r="B169" s="527">
        <v>112046.43324002362</v>
      </c>
      <c r="C169" s="527">
        <v>96588.995941935951</v>
      </c>
      <c r="D169" s="528">
        <v>87157.45616416003</v>
      </c>
      <c r="E169" s="529">
        <v>77906.280305658176</v>
      </c>
      <c r="F169" s="529">
        <v>83586.96705688248</v>
      </c>
      <c r="G169" s="530">
        <v>122246.80516929431</v>
      </c>
      <c r="H169" s="529">
        <v>78903.563888471064</v>
      </c>
      <c r="I169" s="530">
        <v>124919.69310101146</v>
      </c>
      <c r="J169" s="529">
        <v>116577.15089907637</v>
      </c>
      <c r="K169" s="530">
        <v>44752.610353172371</v>
      </c>
      <c r="L169" s="529">
        <v>80117.856773669351</v>
      </c>
      <c r="M169" s="530">
        <v>117336.11210925465</v>
      </c>
      <c r="N169" s="529">
        <v>78903.563888471064</v>
      </c>
      <c r="O169" s="530">
        <v>114356.0987071588</v>
      </c>
      <c r="P169" s="529">
        <v>0</v>
      </c>
      <c r="Q169" s="530">
        <v>-814204.85012046306</v>
      </c>
      <c r="R169" s="529">
        <v>80117.856773669351</v>
      </c>
      <c r="S169" s="530">
        <v>117336.11210925465</v>
      </c>
      <c r="T169" s="529">
        <v>80117.856773669366</v>
      </c>
      <c r="U169" s="530">
        <v>49207.051351662383</v>
      </c>
      <c r="V169" s="529">
        <v>62542.194705720562</v>
      </c>
      <c r="W169" s="530">
        <v>141594.60219034684</v>
      </c>
      <c r="X169" s="529">
        <v>76763.472981853469</v>
      </c>
      <c r="Y169" s="530">
        <v>61588.888062001541</v>
      </c>
      <c r="Z169" s="527">
        <v>126505.36045357939</v>
      </c>
      <c r="AA169" s="529">
        <v>80117.856773669366</v>
      </c>
      <c r="AB169" s="530">
        <v>46930.292096655263</v>
      </c>
      <c r="AC169" s="529">
        <v>43764.986908334249</v>
      </c>
      <c r="AD169" s="530">
        <v>139317.84293533972</v>
      </c>
      <c r="AE169" s="529">
        <v>74548.040954577533</v>
      </c>
      <c r="AF169" s="531">
        <v>59312.128806994413</v>
      </c>
      <c r="AG169" s="527">
        <v>116729.51780104049</v>
      </c>
      <c r="AH169" s="527">
        <v>116610.86082829966</v>
      </c>
      <c r="AI169" s="527">
        <v>92446.48545741869</v>
      </c>
      <c r="AJ169" s="527">
        <v>106725.02039969835</v>
      </c>
      <c r="AK169" s="532">
        <v>82651.962312512536</v>
      </c>
    </row>
    <row r="170" spans="1:37" x14ac:dyDescent="0.25">
      <c r="A170" s="51" t="s">
        <v>1401</v>
      </c>
      <c r="B170" s="527">
        <v>111402.68249263524</v>
      </c>
      <c r="C170" s="527">
        <v>96061.92108148885</v>
      </c>
      <c r="D170" s="528">
        <v>86720.556530241258</v>
      </c>
      <c r="E170" s="529">
        <v>77522.436503801684</v>
      </c>
      <c r="F170" s="529">
        <v>83182.317889032158</v>
      </c>
      <c r="G170" s="530">
        <v>121345.27546737017</v>
      </c>
      <c r="H170" s="529">
        <v>78500.721693776853</v>
      </c>
      <c r="I170" s="530">
        <v>29626.410019334748</v>
      </c>
      <c r="J170" s="529">
        <v>115906.27211067961</v>
      </c>
      <c r="K170" s="530">
        <v>34662.064116366892</v>
      </c>
      <c r="L170" s="529">
        <v>79715.10873248188</v>
      </c>
      <c r="M170" s="530">
        <v>116439.56083776147</v>
      </c>
      <c r="N170" s="529">
        <v>78500.721693776853</v>
      </c>
      <c r="O170" s="530">
        <v>20429.472069066986</v>
      </c>
      <c r="P170" s="529">
        <v>0</v>
      </c>
      <c r="Q170" s="530">
        <v>167860.54714816736</v>
      </c>
      <c r="R170" s="529">
        <v>79715.10873248188</v>
      </c>
      <c r="S170" s="530">
        <v>116439.56083776147</v>
      </c>
      <c r="T170" s="529">
        <v>79715.10873248188</v>
      </c>
      <c r="U170" s="530">
        <v>47631.684360788538</v>
      </c>
      <c r="V170" s="529">
        <v>58507.798279955925</v>
      </c>
      <c r="W170" s="530">
        <v>138330.39550016614</v>
      </c>
      <c r="X170" s="529">
        <v>75938.682384127984</v>
      </c>
      <c r="Y170" s="530">
        <v>59787.181729983466</v>
      </c>
      <c r="Z170" s="527">
        <v>125571.41532049498</v>
      </c>
      <c r="AA170" s="529">
        <v>79715.10873248188</v>
      </c>
      <c r="AB170" s="530">
        <v>46406.46719071077</v>
      </c>
      <c r="AC170" s="529">
        <v>40001.712365089581</v>
      </c>
      <c r="AD170" s="530">
        <v>137105.17833008838</v>
      </c>
      <c r="AE170" s="529">
        <v>73755.238717864588</v>
      </c>
      <c r="AF170" s="531">
        <v>58561.964559905704</v>
      </c>
      <c r="AG170" s="527">
        <v>116715.83699267995</v>
      </c>
      <c r="AH170" s="527">
        <v>116597.19951641148</v>
      </c>
      <c r="AI170" s="527">
        <v>92433.126015379326</v>
      </c>
      <c r="AJ170" s="527">
        <v>106121.43676092912</v>
      </c>
      <c r="AK170" s="532">
        <v>82230.087022258391</v>
      </c>
    </row>
    <row r="171" spans="1:37" x14ac:dyDescent="0.25">
      <c r="A171" s="51" t="s">
        <v>1275</v>
      </c>
      <c r="B171" s="527">
        <v>922.61174935503641</v>
      </c>
      <c r="C171" s="527">
        <v>755.37533753322748</v>
      </c>
      <c r="D171" s="529">
        <v>623.67900150804201</v>
      </c>
      <c r="E171" s="529">
        <v>550.08709928176927</v>
      </c>
      <c r="F171" s="529">
        <v>579.86519956446671</v>
      </c>
      <c r="G171" s="530">
        <v>1290.7107316723605</v>
      </c>
      <c r="H171" s="529">
        <v>577.28247763029924</v>
      </c>
      <c r="I171" s="530">
        <v>1301.9520147150861</v>
      </c>
      <c r="J171" s="529">
        <v>961.49540815731257</v>
      </c>
      <c r="K171" s="530">
        <v>13724.001281398881</v>
      </c>
      <c r="L171" s="529">
        <v>577.17252645296264</v>
      </c>
      <c r="M171" s="530">
        <v>1283.5757382952338</v>
      </c>
      <c r="N171" s="529">
        <v>577.28247763029924</v>
      </c>
      <c r="O171" s="530">
        <v>1280.3096745028618</v>
      </c>
      <c r="P171" s="529">
        <v>0</v>
      </c>
      <c r="Q171" s="530">
        <v>63317.872504869134</v>
      </c>
      <c r="R171" s="529">
        <v>577.17252645296264</v>
      </c>
      <c r="S171" s="530">
        <v>1283.5757382952338</v>
      </c>
      <c r="T171" s="529">
        <v>577.17252645296276</v>
      </c>
      <c r="U171" s="530">
        <v>2257.0435428586989</v>
      </c>
      <c r="V171" s="529">
        <v>5522.0215761373074</v>
      </c>
      <c r="W171" s="530">
        <v>4633.6122997303064</v>
      </c>
      <c r="X171" s="529">
        <v>1151.3650388980127</v>
      </c>
      <c r="Y171" s="530">
        <v>2575.5527576971617</v>
      </c>
      <c r="Z171" s="527">
        <v>1292.6167623804499</v>
      </c>
      <c r="AA171" s="529">
        <v>577.17252645296276</v>
      </c>
      <c r="AB171" s="530">
        <v>749.14450580437835</v>
      </c>
      <c r="AC171" s="529">
        <v>5392.156873773617</v>
      </c>
      <c r="AD171" s="530">
        <v>3125.7132626759858</v>
      </c>
      <c r="AE171" s="529">
        <v>1136.0429300981505</v>
      </c>
      <c r="AF171" s="531">
        <v>1067.6537206428411</v>
      </c>
      <c r="AG171" s="527">
        <v>18.986322760071992</v>
      </c>
      <c r="AH171" s="527">
        <v>18.959265417617114</v>
      </c>
      <c r="AI171" s="527">
        <v>18.540328302930625</v>
      </c>
      <c r="AJ171" s="527">
        <v>865.03855839998755</v>
      </c>
      <c r="AK171" s="532">
        <v>604.58840884143262</v>
      </c>
    </row>
    <row r="172" spans="1:37" x14ac:dyDescent="0.25">
      <c r="A172" s="51" t="s">
        <v>233</v>
      </c>
      <c r="B172" s="527">
        <v>110019.97849960628</v>
      </c>
      <c r="C172" s="527">
        <v>94857.471138778405</v>
      </c>
      <c r="D172" s="527">
        <v>76182.562366927479</v>
      </c>
      <c r="E172" s="527">
        <v>76578.687821831089</v>
      </c>
      <c r="F172" s="529">
        <v>82039.793500938729</v>
      </c>
      <c r="G172" s="530">
        <v>114197.16106592127</v>
      </c>
      <c r="H172" s="529">
        <v>77389.196473200005</v>
      </c>
      <c r="I172" s="530">
        <v>21423.390547828629</v>
      </c>
      <c r="J172" s="529">
        <v>114481.76204249656</v>
      </c>
      <c r="K172" s="530">
        <v>20510.02827667374</v>
      </c>
      <c r="L172" s="529">
        <v>78700.60529934433</v>
      </c>
      <c r="M172" s="530">
        <v>109302.1461026841</v>
      </c>
      <c r="N172" s="529">
        <v>77389.196473200005</v>
      </c>
      <c r="O172" s="530">
        <v>13301.347165287691</v>
      </c>
      <c r="P172" s="529">
        <v>0</v>
      </c>
      <c r="Q172" s="530">
        <v>96819.008231133994</v>
      </c>
      <c r="R172" s="529">
        <v>78700.60529934433</v>
      </c>
      <c r="S172" s="530">
        <v>109302.1461026841</v>
      </c>
      <c r="T172" s="529">
        <v>78700.60529934433</v>
      </c>
      <c r="U172" s="530">
        <v>41367.171548121645</v>
      </c>
      <c r="V172" s="529">
        <v>42426.363096203786</v>
      </c>
      <c r="W172" s="530">
        <v>78202.097116159159</v>
      </c>
      <c r="X172" s="529">
        <v>73162.721716180691</v>
      </c>
      <c r="Y172" s="530">
        <v>46303.811057240062</v>
      </c>
      <c r="Z172" s="527">
        <v>123713.80368224913</v>
      </c>
      <c r="AA172" s="529">
        <v>78700.60529934433</v>
      </c>
      <c r="AB172" s="530">
        <v>39113.941898734563</v>
      </c>
      <c r="AC172" s="529">
        <v>26590.114561133469</v>
      </c>
      <c r="AD172" s="530">
        <v>76006.658205201675</v>
      </c>
      <c r="AE172" s="529">
        <v>71294.279263230914</v>
      </c>
      <c r="AF172" s="531">
        <v>44058.326558364177</v>
      </c>
      <c r="AG172" s="527">
        <v>114281.21753985665</v>
      </c>
      <c r="AH172" s="527">
        <v>114166.04963129303</v>
      </c>
      <c r="AI172" s="527">
        <v>90055.696508967943</v>
      </c>
      <c r="AJ172" s="527">
        <v>104800.09891637045</v>
      </c>
      <c r="AK172" s="532">
        <v>81186.357944589225</v>
      </c>
    </row>
    <row r="173" spans="1:37" x14ac:dyDescent="0.25">
      <c r="A173" s="51" t="s">
        <v>1402</v>
      </c>
      <c r="B173" s="527">
        <v>460.09224367393222</v>
      </c>
      <c r="C173" s="527">
        <v>449.07460517722217</v>
      </c>
      <c r="D173" s="529">
        <v>9914.3151618057236</v>
      </c>
      <c r="E173" s="529">
        <v>393.6615826888314</v>
      </c>
      <c r="F173" s="529">
        <v>562.65918852897255</v>
      </c>
      <c r="G173" s="530">
        <v>5857.4036697765432</v>
      </c>
      <c r="H173" s="529">
        <v>534.24274294654515</v>
      </c>
      <c r="I173" s="530">
        <v>6901.067456791031</v>
      </c>
      <c r="J173" s="529">
        <v>463.01466002574978</v>
      </c>
      <c r="K173" s="530">
        <v>428.03455829427128</v>
      </c>
      <c r="L173" s="529">
        <v>437.33090668458038</v>
      </c>
      <c r="M173" s="530">
        <v>5853.8389967821386</v>
      </c>
      <c r="N173" s="529">
        <v>534.24274294654515</v>
      </c>
      <c r="O173" s="530">
        <v>5847.8152292764316</v>
      </c>
      <c r="P173" s="529">
        <v>0</v>
      </c>
      <c r="Q173" s="530">
        <v>7723.6664121642343</v>
      </c>
      <c r="R173" s="529">
        <v>437.33090668458038</v>
      </c>
      <c r="S173" s="530">
        <v>5853.8389967821386</v>
      </c>
      <c r="T173" s="529">
        <v>437.33090668458038</v>
      </c>
      <c r="U173" s="530">
        <v>4007.469269808194</v>
      </c>
      <c r="V173" s="529">
        <v>10559.413607614832</v>
      </c>
      <c r="W173" s="530">
        <v>55494.686084276676</v>
      </c>
      <c r="X173" s="529">
        <v>1624.5956290492827</v>
      </c>
      <c r="Y173" s="530">
        <v>10907.817915046237</v>
      </c>
      <c r="Z173" s="527">
        <v>564.99487586540931</v>
      </c>
      <c r="AA173" s="529">
        <v>437.33090668458038</v>
      </c>
      <c r="AB173" s="530">
        <v>6543.3807861718296</v>
      </c>
      <c r="AC173" s="529">
        <v>8019.4409301824962</v>
      </c>
      <c r="AD173" s="530">
        <v>57972.806862210709</v>
      </c>
      <c r="AE173" s="529">
        <v>1324.9165245355289</v>
      </c>
      <c r="AF173" s="531">
        <v>13435.984280898687</v>
      </c>
      <c r="AG173" s="527">
        <v>2415.6331300632241</v>
      </c>
      <c r="AH173" s="527">
        <v>2412.1906197008216</v>
      </c>
      <c r="AI173" s="527">
        <v>2358.8891781084553</v>
      </c>
      <c r="AJ173" s="527">
        <v>456.29928615867141</v>
      </c>
      <c r="AK173" s="532">
        <v>439.14066882772954</v>
      </c>
    </row>
    <row r="174" spans="1:37" x14ac:dyDescent="0.25">
      <c r="A174" s="51" t="s">
        <v>1403</v>
      </c>
      <c r="B174" s="533">
        <v>3.4572658186714413</v>
      </c>
      <c r="C174" s="533">
        <v>3.3687181417952123</v>
      </c>
      <c r="D174" s="534">
        <v>3.8879096275650387</v>
      </c>
      <c r="E174" s="534">
        <v>3.6803380071516987</v>
      </c>
      <c r="F174" s="534">
        <v>2.1076081597926817</v>
      </c>
      <c r="G174" s="535">
        <v>0.65313506480134675</v>
      </c>
      <c r="H174" s="534">
        <v>0.1735126902796702</v>
      </c>
      <c r="I174" s="535">
        <v>0.48298392832726506</v>
      </c>
      <c r="J174" s="534">
        <v>3.4805978858540252</v>
      </c>
      <c r="K174" s="535">
        <v>3.7267688490255431</v>
      </c>
      <c r="L174" s="534">
        <v>3.2743992150139252</v>
      </c>
      <c r="M174" s="535">
        <v>0.75538534778969435</v>
      </c>
      <c r="N174" s="534">
        <v>0.1735126902796702</v>
      </c>
      <c r="O174" s="535">
        <v>0.46812449426786606</v>
      </c>
      <c r="P174" s="534">
        <v>0</v>
      </c>
      <c r="Q174" s="535">
        <v>17.31271917298838</v>
      </c>
      <c r="R174" s="534">
        <v>3.2743992150139252</v>
      </c>
      <c r="S174" s="535">
        <v>0.75538534778969435</v>
      </c>
      <c r="T174" s="534">
        <v>3.2743992150139252</v>
      </c>
      <c r="U174" s="535">
        <v>0.80048141197474798</v>
      </c>
      <c r="V174" s="534">
        <v>18.689131581536152</v>
      </c>
      <c r="W174" s="535">
        <v>9.5840319926163922</v>
      </c>
      <c r="X174" s="534">
        <v>5.0407664161516959</v>
      </c>
      <c r="Y174" s="535">
        <v>1.9776582939164113</v>
      </c>
      <c r="Z174" s="533">
        <v>3.7101845250913423</v>
      </c>
      <c r="AA174" s="534">
        <v>3.2743992150139252</v>
      </c>
      <c r="AB174" s="535">
        <v>0.43569876289668108</v>
      </c>
      <c r="AC174" s="534">
        <v>21.202937763756051</v>
      </c>
      <c r="AD174" s="535">
        <v>9.2192493435383263</v>
      </c>
      <c r="AE174" s="534">
        <v>5.3373582623168865</v>
      </c>
      <c r="AF174" s="522">
        <v>1.6128756448383446</v>
      </c>
      <c r="AG174" s="533">
        <v>2.070163706333326</v>
      </c>
      <c r="AH174" s="533">
        <v>2.0672135232437538</v>
      </c>
      <c r="AI174" s="533">
        <v>2.0215349355035395</v>
      </c>
      <c r="AJ174" s="533">
        <v>3.4267821922058546</v>
      </c>
      <c r="AK174" s="532">
        <v>3.28888007248058</v>
      </c>
    </row>
    <row r="175" spans="1:37" x14ac:dyDescent="0.25">
      <c r="A175" s="51" t="s">
        <v>237</v>
      </c>
      <c r="B175" s="533">
        <v>11.107381326465033</v>
      </c>
      <c r="C175" s="533">
        <v>9.3463620243254972</v>
      </c>
      <c r="D175" s="534">
        <v>7.4331684383066827</v>
      </c>
      <c r="E175" s="534">
        <v>7.2975544593894064</v>
      </c>
      <c r="F175" s="534">
        <v>7.7005820946249752</v>
      </c>
      <c r="G175" s="535">
        <v>1.8946257954241748</v>
      </c>
      <c r="H175" s="534">
        <v>7.3830287190739812</v>
      </c>
      <c r="I175" s="535">
        <v>-0.74351421633745707</v>
      </c>
      <c r="J175" s="534">
        <v>11.518095296888333</v>
      </c>
      <c r="K175" s="535">
        <v>0.31809209110922526</v>
      </c>
      <c r="L175" s="534">
        <v>7.4698594341442055</v>
      </c>
      <c r="M175" s="535">
        <v>0.99479512128384806</v>
      </c>
      <c r="N175" s="534">
        <v>7.3830287190739812</v>
      </c>
      <c r="O175" s="535">
        <v>-1.775179226589134</v>
      </c>
      <c r="P175" s="534">
        <v>0</v>
      </c>
      <c r="Q175" s="535">
        <v>-22.640517889175666</v>
      </c>
      <c r="R175" s="534">
        <v>7.4698594341442055</v>
      </c>
      <c r="S175" s="535">
        <v>0.99479512128384806</v>
      </c>
      <c r="T175" s="534">
        <v>7.4698594341442046</v>
      </c>
      <c r="U175" s="535">
        <v>6.2193725668359034</v>
      </c>
      <c r="V175" s="534">
        <v>3.7140376581436518</v>
      </c>
      <c r="W175" s="535">
        <v>4.9033058189870138</v>
      </c>
      <c r="X175" s="534">
        <v>6.9073194449324653</v>
      </c>
      <c r="Y175" s="535">
        <v>6.0429924872272895</v>
      </c>
      <c r="Z175" s="533">
        <v>12.39880788724491</v>
      </c>
      <c r="AA175" s="534">
        <v>7.4698594341442046</v>
      </c>
      <c r="AB175" s="535">
        <v>6.5396964597013412</v>
      </c>
      <c r="AC175" s="534">
        <v>3.7865259100003907</v>
      </c>
      <c r="AD175" s="535">
        <v>5.2236297118524515</v>
      </c>
      <c r="AE175" s="534">
        <v>6.9158719835472331</v>
      </c>
      <c r="AF175" s="522">
        <v>6.3633163800927273</v>
      </c>
      <c r="AG175" s="533">
        <v>7.2660661285297756</v>
      </c>
      <c r="AH175" s="533">
        <v>7.2620696371802484</v>
      </c>
      <c r="AI175" s="533">
        <v>4.2236213234719111</v>
      </c>
      <c r="AJ175" s="533">
        <v>10.501128779826832</v>
      </c>
      <c r="AK175" s="536">
        <v>7.7585577355111601</v>
      </c>
    </row>
    <row r="176" spans="1:37" x14ac:dyDescent="0.25">
      <c r="A176" s="51" t="s">
        <v>234</v>
      </c>
      <c r="B176" s="533">
        <v>35.005840229372538</v>
      </c>
      <c r="C176" s="533">
        <v>26.006701581327356</v>
      </c>
      <c r="D176" s="534">
        <v>15.113440391308629</v>
      </c>
      <c r="E176" s="534">
        <v>15.550054378684774</v>
      </c>
      <c r="F176" s="534">
        <v>17.569485518384575</v>
      </c>
      <c r="G176" s="535">
        <v>7.3533299352103363</v>
      </c>
      <c r="H176" s="534">
        <v>16.016790544774445</v>
      </c>
      <c r="I176" s="535">
        <v>-21.579112005265252</v>
      </c>
      <c r="J176" s="534">
        <v>37.084816705919188</v>
      </c>
      <c r="K176" s="535">
        <v>1.1313615553190528</v>
      </c>
      <c r="L176" s="534">
        <v>16.417422462923184</v>
      </c>
      <c r="M176" s="535">
        <v>6.3263705917885655</v>
      </c>
      <c r="N176" s="534">
        <v>16.016790544774445</v>
      </c>
      <c r="O176" s="535">
        <v>-22.424873516220309</v>
      </c>
      <c r="P176" s="534">
        <v>0</v>
      </c>
      <c r="Q176" s="535">
        <v>-36.439882163036003</v>
      </c>
      <c r="R176" s="534">
        <v>16.417422462923184</v>
      </c>
      <c r="S176" s="535">
        <v>6.3263705917885655</v>
      </c>
      <c r="T176" s="534">
        <v>16.417422462923184</v>
      </c>
      <c r="U176" s="535">
        <v>3.5635958214518855</v>
      </c>
      <c r="V176" s="534">
        <v>7.5372286138659108</v>
      </c>
      <c r="W176" s="535">
        <v>7.0689412113593457</v>
      </c>
      <c r="X176" s="534">
        <v>15.107252157463396</v>
      </c>
      <c r="Y176" s="535">
        <v>4.0333843788621637</v>
      </c>
      <c r="Z176" s="533">
        <v>41.556307321518482</v>
      </c>
      <c r="AA176" s="534">
        <v>16.417422462923184</v>
      </c>
      <c r="AB176" s="535">
        <v>4.1522845518073321</v>
      </c>
      <c r="AC176" s="534">
        <v>7.3082688295601681</v>
      </c>
      <c r="AD176" s="535">
        <v>7.6576299417147924</v>
      </c>
      <c r="AE176" s="534">
        <v>15.080238298715999</v>
      </c>
      <c r="AF176" s="522">
        <v>4.6220731092176104</v>
      </c>
      <c r="AG176" s="533">
        <v>39.376232671967159</v>
      </c>
      <c r="AH176" s="533">
        <v>39.353789268814531</v>
      </c>
      <c r="AI176" s="533">
        <v>23.243463238715975</v>
      </c>
      <c r="AJ176" s="533">
        <v>31.907776104635673</v>
      </c>
      <c r="AK176" s="536">
        <v>17.892724111778421</v>
      </c>
    </row>
    <row r="177" spans="1:84" x14ac:dyDescent="0.25">
      <c r="A177" s="51" t="s">
        <v>1404</v>
      </c>
      <c r="B177" s="533">
        <v>41.189734674967468</v>
      </c>
      <c r="C177" s="533">
        <v>30.56622529825912</v>
      </c>
      <c r="D177" s="534">
        <v>21.016247114582619</v>
      </c>
      <c r="E177" s="534">
        <v>18.233828834320118</v>
      </c>
      <c r="F177" s="534">
        <v>20.569114826658559</v>
      </c>
      <c r="G177" s="535">
        <v>30.185541926107792</v>
      </c>
      <c r="H177" s="534">
        <v>18.773425139775338</v>
      </c>
      <c r="I177" s="535">
        <v>-20.182162023342666</v>
      </c>
      <c r="J177" s="534">
        <v>43.643850563107463</v>
      </c>
      <c r="K177" s="535">
        <v>2.0038896354767584</v>
      </c>
      <c r="L177" s="534">
        <v>19.246054437067919</v>
      </c>
      <c r="M177" s="535">
        <v>8.2091968516103258</v>
      </c>
      <c r="N177" s="534">
        <v>18.773425139775338</v>
      </c>
      <c r="O177" s="535">
        <v>-45.829999319229564</v>
      </c>
      <c r="P177" s="534">
        <v>0</v>
      </c>
      <c r="Q177" s="535">
        <v>-4.0941119037641043</v>
      </c>
      <c r="R177" s="534">
        <v>19.246054437067919</v>
      </c>
      <c r="S177" s="535">
        <v>8.2091968516103258</v>
      </c>
      <c r="T177" s="534">
        <v>19.246054437067919</v>
      </c>
      <c r="U177" s="535">
        <v>5.1113774210522118</v>
      </c>
      <c r="V177" s="534">
        <v>11.493596315358969</v>
      </c>
      <c r="W177" s="535">
        <v>9.5568610825422589</v>
      </c>
      <c r="X177" s="534">
        <v>18.023723395505478</v>
      </c>
      <c r="Y177" s="535">
        <v>5.7071638911488156</v>
      </c>
      <c r="Z177" s="533">
        <v>48.947078335151431</v>
      </c>
      <c r="AA177" s="534">
        <v>19.246054437067919</v>
      </c>
      <c r="AB177" s="535">
        <v>14.321510955788622</v>
      </c>
      <c r="AC177" s="534">
        <v>11.339780609400105</v>
      </c>
      <c r="AD177" s="535">
        <v>18.766994617278669</v>
      </c>
      <c r="AE177" s="534">
        <v>18.005575423508983</v>
      </c>
      <c r="AF177" s="522">
        <v>14.917297425885225</v>
      </c>
      <c r="AG177" s="533">
        <v>45.934450129409761</v>
      </c>
      <c r="AH177" s="533">
        <v>45.908715797737472</v>
      </c>
      <c r="AI177" s="533">
        <v>26.912799738857245</v>
      </c>
      <c r="AJ177" s="533">
        <v>37.53246095511706</v>
      </c>
      <c r="AK177" s="536">
        <v>20.987651270079461</v>
      </c>
    </row>
    <row r="178" spans="1:84" x14ac:dyDescent="0.25">
      <c r="A178" s="51" t="s">
        <v>235</v>
      </c>
      <c r="B178" s="533">
        <v>0.40605482857651448</v>
      </c>
      <c r="C178" s="533">
        <v>0.38284755101355183</v>
      </c>
      <c r="D178" s="534">
        <v>0.42169058564290418</v>
      </c>
      <c r="E178" s="534">
        <v>0.34958017998566171</v>
      </c>
      <c r="F178" s="534">
        <v>0.37846529309092009</v>
      </c>
      <c r="G178" s="535">
        <v>1.5256707648317054</v>
      </c>
      <c r="H178" s="534">
        <v>0.35328549238007295</v>
      </c>
      <c r="I178" s="535">
        <v>-2.4135316251092043</v>
      </c>
      <c r="J178" s="534">
        <v>0.4117037865701324</v>
      </c>
      <c r="K178" s="535">
        <v>0.28996858376815926</v>
      </c>
      <c r="L178" s="534">
        <v>0.35811790160344453</v>
      </c>
      <c r="M178" s="535">
        <v>0.45778029279436661</v>
      </c>
      <c r="N178" s="534">
        <v>0.35328549238007295</v>
      </c>
      <c r="O178" s="535">
        <v>-3.6278120238045677</v>
      </c>
      <c r="P178" s="534">
        <v>0</v>
      </c>
      <c r="Q178" s="535">
        <v>-3.7668310159150513</v>
      </c>
      <c r="R178" s="534">
        <v>0.35811790160344453</v>
      </c>
      <c r="S178" s="535">
        <v>0.45778029279436661</v>
      </c>
      <c r="T178" s="534">
        <v>0.35811790160344448</v>
      </c>
      <c r="U178" s="535">
        <v>0.24951674122347106</v>
      </c>
      <c r="V178" s="534">
        <v>0.56490922820746026</v>
      </c>
      <c r="W178" s="535">
        <v>1.3624080692416309</v>
      </c>
      <c r="X178" s="534">
        <v>0.37679155165288286</v>
      </c>
      <c r="Y178" s="535">
        <v>0.39866712539085325</v>
      </c>
      <c r="Z178" s="533">
        <v>0.42974011527820305</v>
      </c>
      <c r="AA178" s="534">
        <v>0.35811790160344448</v>
      </c>
      <c r="AB178" s="535">
        <v>1.118068023188721</v>
      </c>
      <c r="AC178" s="534">
        <v>0.56755465814642037</v>
      </c>
      <c r="AD178" s="535">
        <v>2.2309593512068808</v>
      </c>
      <c r="AE178" s="534">
        <v>0.37710367315017501</v>
      </c>
      <c r="AF178" s="522">
        <v>1.2672184073561032</v>
      </c>
      <c r="AG178" s="533">
        <v>0.43981360591875573</v>
      </c>
      <c r="AH178" s="533">
        <v>0.43924406170834412</v>
      </c>
      <c r="AI178" s="533">
        <v>0.40363302660436584</v>
      </c>
      <c r="AJ178" s="533">
        <v>0.39806543794008475</v>
      </c>
      <c r="AK178" s="536">
        <v>0.36192295648956907</v>
      </c>
    </row>
    <row r="179" spans="1:84" x14ac:dyDescent="0.25">
      <c r="A179" s="51" t="s">
        <v>236</v>
      </c>
      <c r="B179" s="533">
        <v>0.38388137538982076</v>
      </c>
      <c r="C179" s="533">
        <v>0.36239585056465357</v>
      </c>
      <c r="D179" s="534">
        <v>0.39989444201317192</v>
      </c>
      <c r="E179" s="534">
        <v>0.33145125584264234</v>
      </c>
      <c r="F179" s="534">
        <v>0.35915286437925015</v>
      </c>
      <c r="G179" s="535">
        <v>1.4222047749265685</v>
      </c>
      <c r="H179" s="534">
        <v>0.33418883026468443</v>
      </c>
      <c r="I179" s="535">
        <v>-2.5334654795095335</v>
      </c>
      <c r="J179" s="534">
        <v>0.38911846800284366</v>
      </c>
      <c r="K179" s="535">
        <v>0.1637882532658059</v>
      </c>
      <c r="L179" s="534">
        <v>0.33950087564139664</v>
      </c>
      <c r="M179" s="535">
        <v>0.43465610396675158</v>
      </c>
      <c r="N179" s="534">
        <v>0.33418883026468443</v>
      </c>
      <c r="O179" s="535">
        <v>-3.6509213252241755</v>
      </c>
      <c r="P179" s="534">
        <v>0</v>
      </c>
      <c r="Q179" s="535">
        <v>-4.3590331311918904</v>
      </c>
      <c r="R179" s="534">
        <v>0.33950087564139664</v>
      </c>
      <c r="S179" s="535">
        <v>0.43465610396675158</v>
      </c>
      <c r="T179" s="534">
        <v>0.33950087564139664</v>
      </c>
      <c r="U179" s="535">
        <v>0.20795714343287205</v>
      </c>
      <c r="V179" s="534">
        <v>0.47585912140455749</v>
      </c>
      <c r="W179" s="535">
        <v>1.1639843627061279</v>
      </c>
      <c r="X179" s="534">
        <v>0.35016206746349837</v>
      </c>
      <c r="Y179" s="535">
        <v>0.33608450271691664</v>
      </c>
      <c r="Z179" s="533">
        <v>0.4037799362757174</v>
      </c>
      <c r="AA179" s="534">
        <v>0.33950087564139664</v>
      </c>
      <c r="AB179" s="535">
        <v>1.0193300743503424</v>
      </c>
      <c r="AC179" s="534">
        <v>0.47694577379123831</v>
      </c>
      <c r="AD179" s="535">
        <v>1.9753572936235984</v>
      </c>
      <c r="AE179" s="534">
        <v>0.3502902763285195</v>
      </c>
      <c r="AF179" s="522">
        <v>1.147457433634387</v>
      </c>
      <c r="AG179" s="533">
        <v>0.42438999903639729</v>
      </c>
      <c r="AH179" s="533">
        <v>0.42384243495444862</v>
      </c>
      <c r="AI179" s="533">
        <v>0.38857172490693376</v>
      </c>
      <c r="AJ179" s="533">
        <v>0.37648471930246807</v>
      </c>
      <c r="AK179" s="536">
        <v>0.34302365605015855</v>
      </c>
    </row>
    <row r="180" spans="1:84" x14ac:dyDescent="0.25">
      <c r="A180" s="51" t="s">
        <v>798</v>
      </c>
      <c r="B180" s="533">
        <v>11.210812387758168</v>
      </c>
      <c r="C180" s="533">
        <v>11.03785216522204</v>
      </c>
      <c r="D180" s="534">
        <v>10.861518923854215</v>
      </c>
      <c r="E180" s="534">
        <v>10.828695368028763</v>
      </c>
      <c r="F180" s="534">
        <v>10.888853022319676</v>
      </c>
      <c r="G180" s="535">
        <v>9.289963285082651</v>
      </c>
      <c r="H180" s="534">
        <v>10.840809348260812</v>
      </c>
      <c r="I180" s="535">
        <v>10.458498629898086</v>
      </c>
      <c r="J180" s="534">
        <v>11.260384283882365</v>
      </c>
      <c r="K180" s="535">
        <v>1.677247649143929</v>
      </c>
      <c r="L180" s="534">
        <v>10.853549276946806</v>
      </c>
      <c r="M180" s="535">
        <v>1.5940698572489589</v>
      </c>
      <c r="N180" s="534">
        <v>10.840809348260812</v>
      </c>
      <c r="O180" s="535">
        <v>1.2923920318669766</v>
      </c>
      <c r="P180" s="534">
        <v>0</v>
      </c>
      <c r="Q180" s="535">
        <v>7.8784082129494593</v>
      </c>
      <c r="R180" s="534">
        <v>10.853549276946806</v>
      </c>
      <c r="S180" s="535">
        <v>1.5940698572489589</v>
      </c>
      <c r="T180" s="534">
        <v>10.853549276946804</v>
      </c>
      <c r="U180" s="535">
        <v>10.915420901904868</v>
      </c>
      <c r="V180" s="534">
        <v>2.6651775385811116</v>
      </c>
      <c r="W180" s="535">
        <v>4.3784162001888269</v>
      </c>
      <c r="X180" s="534">
        <v>9.7139444827316836</v>
      </c>
      <c r="Y180" s="535">
        <v>10.039327488272821</v>
      </c>
      <c r="Z180" s="533">
        <v>11.414727202584137</v>
      </c>
      <c r="AA180" s="534">
        <v>10.853549276946804</v>
      </c>
      <c r="AB180" s="535">
        <v>18.078239728186755</v>
      </c>
      <c r="AC180" s="534">
        <v>2.8219042621344084</v>
      </c>
      <c r="AD180" s="535">
        <v>11.541235026470714</v>
      </c>
      <c r="AE180" s="534">
        <v>9.7324359116297714</v>
      </c>
      <c r="AF180" s="522">
        <v>17.202146314554707</v>
      </c>
      <c r="AG180" s="533">
        <v>4.2322596906303994E-2</v>
      </c>
      <c r="AH180" s="533">
        <v>4.2275092050778534E-2</v>
      </c>
      <c r="AI180" s="533">
        <v>3.5543248835732767E-2</v>
      </c>
      <c r="AJ180" s="533">
        <v>11.151268704589992</v>
      </c>
      <c r="AK180" s="536">
        <v>10.881904423591102</v>
      </c>
    </row>
    <row r="181" spans="1:84" x14ac:dyDescent="0.25">
      <c r="A181" s="51" t="s">
        <v>799</v>
      </c>
      <c r="B181" s="533">
        <v>7.7172463109279985E-2</v>
      </c>
      <c r="C181" s="533">
        <v>7.3141095510730544E-2</v>
      </c>
      <c r="D181" s="534">
        <v>7.3267003712288531E-2</v>
      </c>
      <c r="E181" s="534">
        <v>6.70838916149257E-2</v>
      </c>
      <c r="F181" s="534">
        <v>7.3352468315627917E-2</v>
      </c>
      <c r="G181" s="535">
        <v>0.17361742243551381</v>
      </c>
      <c r="H181" s="534">
        <v>6.845724333026966E-2</v>
      </c>
      <c r="I181" s="535">
        <v>-3.7345938829313856</v>
      </c>
      <c r="J181" s="534">
        <v>7.8159778193786222E-2</v>
      </c>
      <c r="K181" s="535">
        <v>8.7299399912684466E-3</v>
      </c>
      <c r="L181" s="534">
        <v>6.8845246761923357E-2</v>
      </c>
      <c r="M181" s="535">
        <v>2.4207132526646396E-2</v>
      </c>
      <c r="N181" s="534">
        <v>6.845724333026966E-2</v>
      </c>
      <c r="O181" s="535">
        <v>-3.8556706179360352</v>
      </c>
      <c r="P181" s="534">
        <v>0</v>
      </c>
      <c r="Q181" s="535">
        <v>-4.8668650255087602</v>
      </c>
      <c r="R181" s="534">
        <v>6.8845246761923357E-2</v>
      </c>
      <c r="S181" s="535">
        <v>2.4207132526646396E-2</v>
      </c>
      <c r="T181" s="534">
        <v>6.8845246761923357E-2</v>
      </c>
      <c r="U181" s="535">
        <v>2.1878171228958319E-2</v>
      </c>
      <c r="V181" s="534">
        <v>8.5929625989135644E-2</v>
      </c>
      <c r="W181" s="535">
        <v>0.1007411735680516</v>
      </c>
      <c r="X181" s="534">
        <v>6.9760431014661839E-2</v>
      </c>
      <c r="Y181" s="535">
        <v>3.244743958368216E-2</v>
      </c>
      <c r="Z181" s="533">
        <v>8.0604780069554044E-2</v>
      </c>
      <c r="AA181" s="534">
        <v>6.8845246761923357E-2</v>
      </c>
      <c r="AB181" s="535">
        <v>0.14617775290370513</v>
      </c>
      <c r="AC181" s="534">
        <v>8.8520532415936048E-2</v>
      </c>
      <c r="AD181" s="535">
        <v>0.2250407552427984</v>
      </c>
      <c r="AE181" s="534">
        <v>7.0066119546180763E-2</v>
      </c>
      <c r="AF181" s="522">
        <v>0.15674702125842899</v>
      </c>
      <c r="AG181" s="533">
        <v>7.9326193257224412E-2</v>
      </c>
      <c r="AH181" s="533">
        <v>7.9224592301017735E-2</v>
      </c>
      <c r="AI181" s="533">
        <v>7.2292952044316988E-2</v>
      </c>
      <c r="AJ181" s="533">
        <v>7.5784615247484283E-2</v>
      </c>
      <c r="AK181" s="536">
        <v>6.9506255872694142E-2</v>
      </c>
    </row>
    <row r="182" spans="1:84" x14ac:dyDescent="0.25">
      <c r="A182" s="51" t="s">
        <v>800</v>
      </c>
      <c r="B182" s="533">
        <v>0.16201613933777509</v>
      </c>
      <c r="C182" s="533">
        <v>0.15312674504446805</v>
      </c>
      <c r="D182" s="534">
        <v>0.1958796603660265</v>
      </c>
      <c r="E182" s="534">
        <v>0.14040122084276974</v>
      </c>
      <c r="F182" s="534">
        <v>0.15163722093681445</v>
      </c>
      <c r="G182" s="535">
        <v>0.65006661591823212</v>
      </c>
      <c r="H182" s="534">
        <v>0.14104974101817494</v>
      </c>
      <c r="I182" s="535">
        <v>0.51618439706258124</v>
      </c>
      <c r="J182" s="534">
        <v>0.16418584196515135</v>
      </c>
      <c r="K182" s="535">
        <v>4.5665334576295236E-2</v>
      </c>
      <c r="L182" s="534">
        <v>0.14365421085757782</v>
      </c>
      <c r="M182" s="535">
        <v>0.27226595953288457</v>
      </c>
      <c r="N182" s="534">
        <v>0.14104974101817494</v>
      </c>
      <c r="O182" s="535">
        <v>6.7132416206449469E-2</v>
      </c>
      <c r="P182" s="534">
        <v>0</v>
      </c>
      <c r="Q182" s="535">
        <v>-1.7463967915191919E-2</v>
      </c>
      <c r="R182" s="534">
        <v>0.14365421085757782</v>
      </c>
      <c r="S182" s="535">
        <v>0.27226595953288457</v>
      </c>
      <c r="T182" s="534">
        <v>0.14365421085757779</v>
      </c>
      <c r="U182" s="535">
        <v>9.942297804387025E-2</v>
      </c>
      <c r="V182" s="534">
        <v>0.17271074080892998</v>
      </c>
      <c r="W182" s="535">
        <v>0.16004839222236572</v>
      </c>
      <c r="X182" s="534">
        <v>0.14478607978805294</v>
      </c>
      <c r="Y182" s="535">
        <v>0.10754803355232841</v>
      </c>
      <c r="Z182" s="533">
        <v>0.16894364585701435</v>
      </c>
      <c r="AA182" s="534">
        <v>0.14365421085757779</v>
      </c>
      <c r="AB182" s="535">
        <v>0.41164165622758941</v>
      </c>
      <c r="AC182" s="534">
        <v>0.16883110456604758</v>
      </c>
      <c r="AD182" s="535">
        <v>0.47226707040608495</v>
      </c>
      <c r="AE182" s="534">
        <v>0.14432834025194052</v>
      </c>
      <c r="AF182" s="522">
        <v>0.41976671173604757</v>
      </c>
      <c r="AG182" s="533">
        <v>0.1915501790228569</v>
      </c>
      <c r="AH182" s="533">
        <v>0.19130169709447273</v>
      </c>
      <c r="AI182" s="533">
        <v>0.17598713921725648</v>
      </c>
      <c r="AJ182" s="533">
        <v>0.15895585605647267</v>
      </c>
      <c r="AK182" s="536">
        <v>0.14511171740296172</v>
      </c>
    </row>
    <row r="183" spans="1:84" x14ac:dyDescent="0.25">
      <c r="A183" s="51" t="s">
        <v>6</v>
      </c>
      <c r="B183" s="533">
        <v>210.79004569261718</v>
      </c>
      <c r="C183" s="533">
        <v>173.20166913844463</v>
      </c>
      <c r="D183" s="534">
        <v>127.97875343893483</v>
      </c>
      <c r="E183" s="534">
        <v>127.87716281325562</v>
      </c>
      <c r="F183" s="534">
        <v>133.34613262092981</v>
      </c>
      <c r="G183" s="535">
        <v>105.50192991273221</v>
      </c>
      <c r="H183" s="534">
        <v>131.94894726312907</v>
      </c>
      <c r="I183" s="535">
        <v>59.912563566535781</v>
      </c>
      <c r="J183" s="534">
        <v>238.3525213425558</v>
      </c>
      <c r="K183" s="535">
        <v>16.716989527760699</v>
      </c>
      <c r="L183" s="534">
        <v>133.14847534210864</v>
      </c>
      <c r="M183" s="535">
        <v>138.5835105694434</v>
      </c>
      <c r="N183" s="534">
        <v>131.94894726312907</v>
      </c>
      <c r="O183" s="535">
        <v>28.30609139071278</v>
      </c>
      <c r="P183" s="534">
        <v>0</v>
      </c>
      <c r="Q183" s="535">
        <v>445.23054014393512</v>
      </c>
      <c r="R183" s="534">
        <v>133.14847534210864</v>
      </c>
      <c r="S183" s="535">
        <v>138.5835105694434</v>
      </c>
      <c r="T183" s="534">
        <v>133.14847534210864</v>
      </c>
      <c r="U183" s="535">
        <v>12.197133265122478</v>
      </c>
      <c r="V183" s="534">
        <v>91.247602563329494</v>
      </c>
      <c r="W183" s="535">
        <v>30.006606697210419</v>
      </c>
      <c r="X183" s="534">
        <v>126.07636158078243</v>
      </c>
      <c r="Y183" s="535">
        <v>14.583969910660036</v>
      </c>
      <c r="Z183" s="533">
        <v>297.81440611075652</v>
      </c>
      <c r="AA183" s="534">
        <v>133.14847534210864</v>
      </c>
      <c r="AB183" s="535">
        <v>11.821364908367576</v>
      </c>
      <c r="AC183" s="534">
        <v>88.114027351201415</v>
      </c>
      <c r="AD183" s="535">
        <v>29.630838340455519</v>
      </c>
      <c r="AE183" s="534">
        <v>125.70664618114816</v>
      </c>
      <c r="AF183" s="522">
        <v>14.208201553905134</v>
      </c>
      <c r="AG183" s="533">
        <v>112.25269180354553</v>
      </c>
      <c r="AH183" s="533">
        <v>81.738462520519093</v>
      </c>
      <c r="AI183" s="533">
        <v>58.639015982563834</v>
      </c>
      <c r="AJ183" s="533">
        <v>197.84978491167251</v>
      </c>
      <c r="AK183" s="536">
        <v>139.31050995025623</v>
      </c>
    </row>
    <row r="184" spans="1:84" x14ac:dyDescent="0.25">
      <c r="A184" s="51" t="s">
        <v>3</v>
      </c>
      <c r="B184" s="533">
        <v>1.4169238405315723</v>
      </c>
      <c r="C184" s="533">
        <v>0.79418566498971732</v>
      </c>
      <c r="D184" s="534">
        <v>4.9755728210094829E-2</v>
      </c>
      <c r="E184" s="534">
        <v>9.7491404372125279E-2</v>
      </c>
      <c r="F184" s="534">
        <v>0.13153144531865973</v>
      </c>
      <c r="G184" s="535">
        <v>5.2294019143000109E-2</v>
      </c>
      <c r="H184" s="534">
        <v>0.13038963004257598</v>
      </c>
      <c r="I184" s="535">
        <v>-1.1748158915503462</v>
      </c>
      <c r="J184" s="534">
        <v>1.5598733556135576</v>
      </c>
      <c r="K184" s="535">
        <v>5.2459892075118982E-2</v>
      </c>
      <c r="L184" s="534">
        <v>0.13061217290212784</v>
      </c>
      <c r="M184" s="535">
        <v>3.8834910429875094E-2</v>
      </c>
      <c r="N184" s="534">
        <v>0.13038963004257598</v>
      </c>
      <c r="O184" s="535">
        <v>-1.17544068474788</v>
      </c>
      <c r="P184" s="534">
        <v>0</v>
      </c>
      <c r="Q184" s="535">
        <v>-0.87421763321104662</v>
      </c>
      <c r="R184" s="534">
        <v>0.13061217290212784</v>
      </c>
      <c r="S184" s="535">
        <v>3.8834910429875094E-2</v>
      </c>
      <c r="T184" s="534">
        <v>0.13061217290212784</v>
      </c>
      <c r="U184" s="535">
        <v>3.3817382326108016E-2</v>
      </c>
      <c r="V184" s="534">
        <v>8.1328795833971235E-2</v>
      </c>
      <c r="W184" s="535">
        <v>0.17933661744240537</v>
      </c>
      <c r="X184" s="534">
        <v>0.12270957694791694</v>
      </c>
      <c r="Y184" s="535">
        <v>5.331996022829219E-2</v>
      </c>
      <c r="Z184" s="533">
        <v>1.8672797577385896</v>
      </c>
      <c r="AA184" s="534">
        <v>0.13061217290212784</v>
      </c>
      <c r="AB184" s="535">
        <v>3.3685580149647495E-2</v>
      </c>
      <c r="AC184" s="534">
        <v>5.2976150590869756E-2</v>
      </c>
      <c r="AD184" s="535">
        <v>0.17920481526594484</v>
      </c>
      <c r="AE184" s="534">
        <v>0.11936438531946283</v>
      </c>
      <c r="AF184" s="522">
        <v>5.318815805183167E-2</v>
      </c>
      <c r="AG184" s="533">
        <v>1.7009406937389593</v>
      </c>
      <c r="AH184" s="533">
        <v>1.700901381910223</v>
      </c>
      <c r="AI184" s="533">
        <v>0.58393404760763368</v>
      </c>
      <c r="AJ184" s="533">
        <v>1.2025385669843764</v>
      </c>
      <c r="AK184" s="536">
        <v>0.23270042474706107</v>
      </c>
    </row>
    <row r="185" spans="1:84" x14ac:dyDescent="0.25">
      <c r="A185" s="51" t="s">
        <v>2</v>
      </c>
      <c r="B185" s="527">
        <v>6624.4991337110332</v>
      </c>
      <c r="C185" s="527">
        <v>5824.0937384570261</v>
      </c>
      <c r="D185" s="529">
        <v>5595.9198353608153</v>
      </c>
      <c r="E185" s="529">
        <v>4854.6185152074113</v>
      </c>
      <c r="F185" s="529">
        <v>5178.7085171435074</v>
      </c>
      <c r="G185" s="530">
        <v>7175.8666825847013</v>
      </c>
      <c r="H185" s="529">
        <v>4904.7650833168791</v>
      </c>
      <c r="I185" s="530">
        <v>-58987.248237330103</v>
      </c>
      <c r="J185" s="529">
        <v>6812.6088544769318</v>
      </c>
      <c r="K185" s="530">
        <v>2628.706945949637</v>
      </c>
      <c r="L185" s="529">
        <v>4971.1967882868557</v>
      </c>
      <c r="M185" s="530">
        <v>6765.3887352791244</v>
      </c>
      <c r="N185" s="529">
        <v>4904.7650833168791</v>
      </c>
      <c r="O185" s="530">
        <v>-58633.981128495623</v>
      </c>
      <c r="P185" s="529">
        <v>0</v>
      </c>
      <c r="Q185" s="530">
        <v>12953.705354911479</v>
      </c>
      <c r="R185" s="529">
        <v>4971.1967882868557</v>
      </c>
      <c r="S185" s="530">
        <v>6765.3887352791244</v>
      </c>
      <c r="T185" s="529">
        <v>4971.1967882868566</v>
      </c>
      <c r="U185" s="530">
        <v>3465.8109811050372</v>
      </c>
      <c r="V185" s="529">
        <v>5128.797594074691</v>
      </c>
      <c r="W185" s="530">
        <v>10752.779789682578</v>
      </c>
      <c r="X185" s="529">
        <v>4910.3247549252901</v>
      </c>
      <c r="Y185" s="530">
        <v>4442.4150482339855</v>
      </c>
      <c r="Z185" s="527">
        <v>7227.8207115932873</v>
      </c>
      <c r="AA185" s="529">
        <v>4971.1967882868566</v>
      </c>
      <c r="AB185" s="530">
        <v>3418.4158207203654</v>
      </c>
      <c r="AC185" s="529">
        <v>3596.1180933954483</v>
      </c>
      <c r="AD185" s="530">
        <v>10705.384629297905</v>
      </c>
      <c r="AE185" s="529">
        <v>4729.4913056716305</v>
      </c>
      <c r="AF185" s="531">
        <v>4395.0198878493138</v>
      </c>
      <c r="AG185" s="527">
        <v>7910.5532189866717</v>
      </c>
      <c r="AH185" s="527">
        <v>7901.9752287625188</v>
      </c>
      <c r="AI185" s="527">
        <v>6507.3893326932921</v>
      </c>
      <c r="AJ185" s="527">
        <v>6348.9497353448996</v>
      </c>
      <c r="AK185" s="536">
        <v>5102.4167427361999</v>
      </c>
    </row>
    <row r="186" spans="1:84" x14ac:dyDescent="0.25">
      <c r="A186" s="51" t="s">
        <v>1405</v>
      </c>
      <c r="B186" s="527">
        <v>6714.1263163484819</v>
      </c>
      <c r="C186" s="527">
        <v>5894.0909073463554</v>
      </c>
      <c r="D186" s="527">
        <v>5642.8362357036895</v>
      </c>
      <c r="E186" s="527">
        <v>4901.7983596771082</v>
      </c>
      <c r="F186" s="529">
        <v>5230.3178562006451</v>
      </c>
      <c r="G186" s="530">
        <v>7193.3268324024375</v>
      </c>
      <c r="H186" s="529">
        <v>4952.9447651093051</v>
      </c>
      <c r="I186" s="530">
        <v>-59023.475556455487</v>
      </c>
      <c r="J186" s="529">
        <v>6906.7830586901073</v>
      </c>
      <c r="K186" s="530">
        <v>2631.4761868395717</v>
      </c>
      <c r="L186" s="529">
        <v>5020.2766569173891</v>
      </c>
      <c r="M186" s="530">
        <v>6778.4306195751742</v>
      </c>
      <c r="N186" s="529">
        <v>4952.9447651093051</v>
      </c>
      <c r="O186" s="530">
        <v>-58674.75285737255</v>
      </c>
      <c r="P186" s="529">
        <v>0</v>
      </c>
      <c r="Q186" s="530">
        <v>12825.879735519731</v>
      </c>
      <c r="R186" s="529">
        <v>5020.2766569173891</v>
      </c>
      <c r="S186" s="530">
        <v>6778.4306195751742</v>
      </c>
      <c r="T186" s="529">
        <v>5020.27665691739</v>
      </c>
      <c r="U186" s="530">
        <v>3490.7946285625285</v>
      </c>
      <c r="V186" s="529">
        <v>5152.2172278357893</v>
      </c>
      <c r="W186" s="530">
        <v>10779.170095674366</v>
      </c>
      <c r="X186" s="529">
        <v>4955.5925348713436</v>
      </c>
      <c r="Y186" s="530">
        <v>4467.587216938342</v>
      </c>
      <c r="Z186" s="527">
        <v>7331.7664314899675</v>
      </c>
      <c r="AA186" s="529">
        <v>5020.27665691739</v>
      </c>
      <c r="AB186" s="530">
        <v>3445.3228932678462</v>
      </c>
      <c r="AC186" s="529">
        <v>3619.4038549280681</v>
      </c>
      <c r="AD186" s="530">
        <v>10733.698360379683</v>
      </c>
      <c r="AE186" s="529">
        <v>4774.7432906802396</v>
      </c>
      <c r="AF186" s="531">
        <v>4422.1154816436583</v>
      </c>
      <c r="AG186" s="527">
        <v>7995.0760621432046</v>
      </c>
      <c r="AH186" s="527">
        <v>7986.4503479827245</v>
      </c>
      <c r="AI186" s="527">
        <v>6557.0783947170476</v>
      </c>
      <c r="AJ186" s="527">
        <v>6431.8190443969306</v>
      </c>
      <c r="AK186" s="532">
        <v>5154.7147189018133</v>
      </c>
    </row>
    <row r="187" spans="1:84" x14ac:dyDescent="0.25">
      <c r="A187" s="220" t="s">
        <v>797</v>
      </c>
      <c r="B187" s="537">
        <v>13382.489886453593</v>
      </c>
      <c r="C187" s="537">
        <v>11272.313334214199</v>
      </c>
      <c r="D187" s="538">
        <v>9470.1864019853037</v>
      </c>
      <c r="E187" s="538">
        <v>8739.1529649057156</v>
      </c>
      <c r="F187" s="538">
        <v>9239.9406928763474</v>
      </c>
      <c r="G187" s="539">
        <v>10351.560611027897</v>
      </c>
      <c r="H187" s="538">
        <v>8920.6197625521745</v>
      </c>
      <c r="I187" s="539">
        <v>-57558.805900565967</v>
      </c>
      <c r="J187" s="538">
        <v>14435.53362078077</v>
      </c>
      <c r="K187" s="539">
        <v>3143.9640253033481</v>
      </c>
      <c r="L187" s="538">
        <v>9023.7583453145089</v>
      </c>
      <c r="M187" s="539">
        <v>10918.821165091944</v>
      </c>
      <c r="N187" s="538">
        <v>8920.6197625521745</v>
      </c>
      <c r="O187" s="539">
        <v>-58152.126640865477</v>
      </c>
      <c r="P187" s="538">
        <v>0</v>
      </c>
      <c r="Q187" s="539">
        <v>25855.088417942381</v>
      </c>
      <c r="R187" s="538">
        <v>9023.7583453145089</v>
      </c>
      <c r="S187" s="539">
        <v>10918.821165091944</v>
      </c>
      <c r="T187" s="538">
        <v>9023.7583453145089</v>
      </c>
      <c r="U187" s="539">
        <v>3863.5013452382059</v>
      </c>
      <c r="V187" s="538">
        <v>7893.5985454856827</v>
      </c>
      <c r="W187" s="539">
        <v>11722.325871813013</v>
      </c>
      <c r="X187" s="538">
        <v>8746.1678244854411</v>
      </c>
      <c r="Y187" s="539">
        <v>4916.7458694183351</v>
      </c>
      <c r="Z187" s="537">
        <v>16716.403107453145</v>
      </c>
      <c r="AA187" s="538">
        <v>9023.7583453145089</v>
      </c>
      <c r="AB187" s="539">
        <v>3806.7957309180538</v>
      </c>
      <c r="AC187" s="538">
        <v>6259.6643591051779</v>
      </c>
      <c r="AD187" s="539">
        <v>11665.620257492861</v>
      </c>
      <c r="AE187" s="538">
        <v>8553.387824070669</v>
      </c>
      <c r="AF187" s="540">
        <v>4860.0402550981817</v>
      </c>
      <c r="AG187" s="537">
        <v>11804.563087279597</v>
      </c>
      <c r="AH187" s="537">
        <v>10886.602608355684</v>
      </c>
      <c r="AI187" s="537">
        <v>8463.9350659943339</v>
      </c>
      <c r="AJ187" s="537">
        <v>12656.035663551505</v>
      </c>
      <c r="AK187" s="541">
        <v>9369.6951313753962</v>
      </c>
    </row>
    <row r="189" spans="1:84" ht="15.75" x14ac:dyDescent="0.25">
      <c r="A189" s="523" t="s">
        <v>1428</v>
      </c>
    </row>
    <row r="190" spans="1:84" ht="64.5" x14ac:dyDescent="0.25">
      <c r="A190" s="475"/>
      <c r="B190" s="542" t="str">
        <f>"Dry Milling Corn Ethanol w/o Corn Oil Extraction "&amp;IF($C$196=2, "with CCS", "")</f>
        <v xml:space="preserve">Dry Milling Corn Ethanol w/o Corn Oil Extraction </v>
      </c>
      <c r="C190" s="543"/>
      <c r="D190" s="542" t="str">
        <f>"Dry Milling Corn Ethanol w/ Corn Oil Extraction "&amp;IF($C$196=2, "with CCS", "")</f>
        <v xml:space="preserve">Dry Milling Corn Ethanol w/ Corn Oil Extraction </v>
      </c>
      <c r="E190" s="543"/>
      <c r="F190" s="542" t="str">
        <f>"Wet Milling Corn Ethanol "&amp;IF($C$196=2, "with CCS", "")</f>
        <v xml:space="preserve">Wet Milling Corn Ethanol </v>
      </c>
      <c r="G190" s="543"/>
      <c r="H190" s="542" t="s">
        <v>1263</v>
      </c>
      <c r="I190" s="543"/>
      <c r="J190" s="542" t="s">
        <v>1429</v>
      </c>
      <c r="K190" s="543"/>
      <c r="L190" s="542" t="s">
        <v>1430</v>
      </c>
      <c r="M190" s="543"/>
      <c r="N190" s="542" t="s">
        <v>1431</v>
      </c>
      <c r="O190" s="543"/>
      <c r="P190" s="542" t="s">
        <v>1432</v>
      </c>
      <c r="Q190" s="543"/>
      <c r="R190" s="542" t="s">
        <v>1433</v>
      </c>
      <c r="S190" s="543"/>
      <c r="T190" s="542" t="s">
        <v>1434</v>
      </c>
      <c r="U190" s="543"/>
      <c r="V190" s="542" t="s">
        <v>1435</v>
      </c>
      <c r="W190" s="543"/>
      <c r="X190" s="542" t="s">
        <v>1436</v>
      </c>
      <c r="Y190" s="543"/>
      <c r="Z190" s="542" t="s">
        <v>1437</v>
      </c>
      <c r="AA190" s="543"/>
      <c r="AB190" s="542" t="s">
        <v>1438</v>
      </c>
      <c r="AC190" s="543"/>
      <c r="AD190" s="542" t="s">
        <v>1439</v>
      </c>
      <c r="AE190" s="543"/>
      <c r="AF190" s="542" t="s">
        <v>1440</v>
      </c>
      <c r="AG190" s="543"/>
      <c r="AH190" s="542" t="s">
        <v>1441</v>
      </c>
      <c r="AI190" s="543"/>
      <c r="AJ190" s="542" t="s">
        <v>1442</v>
      </c>
      <c r="AK190" s="543"/>
      <c r="AL190" s="542" t="s">
        <v>1443</v>
      </c>
      <c r="AM190" s="543"/>
      <c r="AN190" s="542" t="s">
        <v>1444</v>
      </c>
      <c r="AO190" s="543"/>
      <c r="AP190" s="542" t="s">
        <v>1445</v>
      </c>
      <c r="AQ190" s="543"/>
      <c r="AR190" s="542" t="s">
        <v>1446</v>
      </c>
      <c r="AS190" s="543"/>
      <c r="AT190" s="542" t="s">
        <v>1447</v>
      </c>
      <c r="AU190" s="543"/>
      <c r="AV190" s="542" t="s">
        <v>1448</v>
      </c>
      <c r="AW190" s="543"/>
      <c r="AX190" s="542" t="s">
        <v>1449</v>
      </c>
      <c r="AY190" s="543"/>
      <c r="AZ190" s="542" t="s">
        <v>1450</v>
      </c>
      <c r="BA190" s="543"/>
      <c r="BB190" s="542" t="s">
        <v>1451</v>
      </c>
      <c r="BC190" s="543"/>
      <c r="BD190" s="542" t="s">
        <v>1452</v>
      </c>
      <c r="BE190" s="543"/>
      <c r="BF190" s="542" t="s">
        <v>1453</v>
      </c>
      <c r="BG190" s="543"/>
      <c r="BH190" s="542" t="s">
        <v>1454</v>
      </c>
      <c r="BI190" s="543"/>
      <c r="BJ190" s="542" t="s">
        <v>1455</v>
      </c>
      <c r="BK190" s="543"/>
      <c r="BL190" s="542" t="s">
        <v>1456</v>
      </c>
      <c r="BM190" s="543"/>
      <c r="BN190" s="542" t="s">
        <v>1457</v>
      </c>
      <c r="BO190" s="543"/>
      <c r="BP190" s="542" t="s">
        <v>1458</v>
      </c>
      <c r="BQ190" s="543"/>
      <c r="BR190" s="542" t="s">
        <v>1459</v>
      </c>
      <c r="BS190" s="542" t="s">
        <v>1460</v>
      </c>
      <c r="BT190" s="543"/>
      <c r="BU190" s="542" t="s">
        <v>1461</v>
      </c>
      <c r="BV190" s="543"/>
      <c r="BW190" s="544" t="s">
        <v>1462</v>
      </c>
      <c r="BX190" s="544"/>
      <c r="BY190" s="544" t="s">
        <v>1463</v>
      </c>
      <c r="BZ190" s="544"/>
      <c r="CA190" s="544" t="s">
        <v>1464</v>
      </c>
      <c r="CB190" s="544"/>
      <c r="CC190" s="543" t="s">
        <v>1465</v>
      </c>
      <c r="CD190" s="545" t="s">
        <v>1466</v>
      </c>
      <c r="CE190" s="544" t="s">
        <v>1467</v>
      </c>
      <c r="CF190" s="544" t="s">
        <v>1468</v>
      </c>
    </row>
    <row r="191" spans="1:84" x14ac:dyDescent="0.25">
      <c r="A191" s="51"/>
      <c r="B191" s="546" t="s">
        <v>1469</v>
      </c>
      <c r="C191" s="547" t="s">
        <v>14</v>
      </c>
      <c r="D191" s="546" t="s">
        <v>1469</v>
      </c>
      <c r="E191" s="547" t="s">
        <v>14</v>
      </c>
      <c r="F191" s="546" t="s">
        <v>1469</v>
      </c>
      <c r="G191" s="547" t="s">
        <v>14</v>
      </c>
      <c r="H191" s="546" t="s">
        <v>1469</v>
      </c>
      <c r="I191" s="547" t="s">
        <v>14</v>
      </c>
      <c r="J191" s="546" t="s">
        <v>1469</v>
      </c>
      <c r="K191" s="547" t="s">
        <v>14</v>
      </c>
      <c r="L191" s="546" t="s">
        <v>1469</v>
      </c>
      <c r="M191" s="547" t="s">
        <v>14</v>
      </c>
      <c r="N191" s="546" t="s">
        <v>1470</v>
      </c>
      <c r="O191" s="547" t="s">
        <v>14</v>
      </c>
      <c r="P191" s="546" t="str">
        <f>IF($C$183=1,J191,IF($C$183=2,L191,N191))</f>
        <v>Stover</v>
      </c>
      <c r="Q191" s="547" t="s">
        <v>14</v>
      </c>
      <c r="R191" s="546" t="s">
        <v>1469</v>
      </c>
      <c r="S191" s="547" t="s">
        <v>14</v>
      </c>
      <c r="T191" s="546" t="s">
        <v>1469</v>
      </c>
      <c r="U191" s="547" t="s">
        <v>14</v>
      </c>
      <c r="V191" s="546" t="s">
        <v>1278</v>
      </c>
      <c r="W191" s="547" t="s">
        <v>14</v>
      </c>
      <c r="X191" s="546" t="s">
        <v>1278</v>
      </c>
      <c r="Y191" s="547" t="s">
        <v>14</v>
      </c>
      <c r="Z191" s="546" t="s">
        <v>1278</v>
      </c>
      <c r="AA191" s="547" t="s">
        <v>14</v>
      </c>
      <c r="AB191" s="546" t="s">
        <v>1471</v>
      </c>
      <c r="AC191" s="547" t="s">
        <v>14</v>
      </c>
      <c r="AD191" s="546" t="s">
        <v>1471</v>
      </c>
      <c r="AE191" s="547" t="s">
        <v>14</v>
      </c>
      <c r="AF191" s="546" t="s">
        <v>1471</v>
      </c>
      <c r="AG191" s="547" t="s">
        <v>14</v>
      </c>
      <c r="AH191" s="546" t="s">
        <v>1472</v>
      </c>
      <c r="AI191" s="547" t="s">
        <v>14</v>
      </c>
      <c r="AJ191" s="548" t="s">
        <v>1472</v>
      </c>
      <c r="AK191" s="549" t="s">
        <v>14</v>
      </c>
      <c r="AL191" s="546" t="s">
        <v>1472</v>
      </c>
      <c r="AM191" s="547" t="s">
        <v>14</v>
      </c>
      <c r="AN191" s="546" t="s">
        <v>1473</v>
      </c>
      <c r="AO191" s="547" t="s">
        <v>14</v>
      </c>
      <c r="AP191" s="548" t="s">
        <v>1473</v>
      </c>
      <c r="AQ191" s="549" t="s">
        <v>14</v>
      </c>
      <c r="AR191" s="546" t="s">
        <v>1473</v>
      </c>
      <c r="AS191" s="547" t="s">
        <v>14</v>
      </c>
      <c r="AT191" s="546" t="s">
        <v>1474</v>
      </c>
      <c r="AU191" s="547" t="s">
        <v>14</v>
      </c>
      <c r="AV191" s="548" t="s">
        <v>1474</v>
      </c>
      <c r="AW191" s="549" t="s">
        <v>14</v>
      </c>
      <c r="AX191" s="546" t="s">
        <v>1474</v>
      </c>
      <c r="AY191" s="547" t="s">
        <v>14</v>
      </c>
      <c r="AZ191" s="546" t="s">
        <v>1475</v>
      </c>
      <c r="BA191" s="547" t="s">
        <v>14</v>
      </c>
      <c r="BB191" s="546" t="s">
        <v>1475</v>
      </c>
      <c r="BC191" s="547" t="s">
        <v>14</v>
      </c>
      <c r="BD191" s="546" t="s">
        <v>1475</v>
      </c>
      <c r="BE191" s="547" t="s">
        <v>14</v>
      </c>
      <c r="BF191" s="546" t="s">
        <v>1476</v>
      </c>
      <c r="BG191" s="547" t="s">
        <v>14</v>
      </c>
      <c r="BH191" s="546" t="s">
        <v>1476</v>
      </c>
      <c r="BI191" s="547" t="s">
        <v>14</v>
      </c>
      <c r="BJ191" s="546" t="s">
        <v>1476</v>
      </c>
      <c r="BK191" s="547" t="s">
        <v>14</v>
      </c>
      <c r="BL191" s="546" t="s">
        <v>1476</v>
      </c>
      <c r="BM191" s="547" t="s">
        <v>14</v>
      </c>
      <c r="BN191" s="546" t="s">
        <v>1476</v>
      </c>
      <c r="BO191" s="547" t="s">
        <v>14</v>
      </c>
      <c r="BP191" s="546" t="s">
        <v>1477</v>
      </c>
      <c r="BQ191" s="547" t="s">
        <v>14</v>
      </c>
      <c r="BR191" s="550"/>
      <c r="BS191" s="546" t="s">
        <v>1427</v>
      </c>
      <c r="BT191" s="547" t="s">
        <v>208</v>
      </c>
      <c r="BU191" s="546" t="s">
        <v>1427</v>
      </c>
      <c r="BV191" s="547" t="s">
        <v>208</v>
      </c>
      <c r="BW191" s="546" t="s">
        <v>1427</v>
      </c>
      <c r="BX191" s="547" t="s">
        <v>208</v>
      </c>
      <c r="BY191" s="546" t="s">
        <v>1427</v>
      </c>
      <c r="BZ191" s="547" t="s">
        <v>208</v>
      </c>
      <c r="CA191" s="546" t="s">
        <v>1477</v>
      </c>
      <c r="CB191" s="547" t="s">
        <v>14</v>
      </c>
      <c r="CC191" s="550" t="s">
        <v>1478</v>
      </c>
      <c r="CD191" s="551" t="s">
        <v>1479</v>
      </c>
      <c r="CE191" s="51" t="s">
        <v>1480</v>
      </c>
      <c r="CF191" s="51" t="s">
        <v>1480</v>
      </c>
    </row>
    <row r="192" spans="1:84" x14ac:dyDescent="0.25">
      <c r="A192" s="51" t="s">
        <v>1399</v>
      </c>
      <c r="B192" s="510"/>
      <c r="C192" s="511">
        <v>1.0005044983835341</v>
      </c>
      <c r="D192" s="510"/>
      <c r="E192" s="511">
        <v>1.0005044983835341</v>
      </c>
      <c r="F192" s="510"/>
      <c r="G192" s="511">
        <v>1.0005044983835341</v>
      </c>
      <c r="H192" s="510"/>
      <c r="I192" s="511">
        <v>1.0005044983835341</v>
      </c>
      <c r="J192" s="510"/>
      <c r="K192" s="511">
        <v>1.0005044983835341</v>
      </c>
      <c r="L192" s="510"/>
      <c r="M192" s="511">
        <v>1.0005044983835341</v>
      </c>
      <c r="N192" s="510"/>
      <c r="O192" s="511">
        <v>1.0005044983835341</v>
      </c>
      <c r="P192" s="510"/>
      <c r="Q192" s="511">
        <v>1.0005044983835341</v>
      </c>
      <c r="R192" s="510"/>
      <c r="S192" s="511"/>
      <c r="T192" s="512"/>
      <c r="U192" s="512"/>
      <c r="V192" s="510"/>
      <c r="W192" s="511">
        <v>1.0005044983835341</v>
      </c>
      <c r="X192" s="510"/>
      <c r="Y192" s="511">
        <v>1.0005044983835341</v>
      </c>
      <c r="Z192" s="510"/>
      <c r="AA192" s="511">
        <v>1.0005044983835341</v>
      </c>
      <c r="AB192" s="510"/>
      <c r="AC192" s="511">
        <v>1.0005044983835341</v>
      </c>
      <c r="AD192" s="510"/>
      <c r="AE192" s="511">
        <v>1.0005044983835341</v>
      </c>
      <c r="AF192" s="510"/>
      <c r="AG192" s="511">
        <v>1.0005044983835341</v>
      </c>
      <c r="AH192" s="510"/>
      <c r="AI192" s="511">
        <v>1.0005044983835341</v>
      </c>
      <c r="AJ192" s="552"/>
      <c r="AK192" s="553">
        <v>1.0005044983835341</v>
      </c>
      <c r="AL192" s="510"/>
      <c r="AM192" s="511">
        <v>1.0005044983835341</v>
      </c>
      <c r="AN192" s="510"/>
      <c r="AO192" s="511">
        <v>1.0005044983835341</v>
      </c>
      <c r="AP192" s="552"/>
      <c r="AQ192" s="553">
        <v>1.0005044983835341</v>
      </c>
      <c r="AR192" s="510"/>
      <c r="AS192" s="511">
        <v>1.0005044983835341</v>
      </c>
      <c r="AT192" s="510"/>
      <c r="AU192" s="511">
        <v>1.0005044983835341</v>
      </c>
      <c r="AV192" s="552"/>
      <c r="AW192" s="553">
        <v>1.0005044983835341</v>
      </c>
      <c r="AX192" s="510"/>
      <c r="AY192" s="511">
        <v>1.0005044983835341</v>
      </c>
      <c r="AZ192" s="510"/>
      <c r="BA192" s="511">
        <v>1.0005044983835341</v>
      </c>
      <c r="BB192" s="510"/>
      <c r="BC192" s="511">
        <v>1.0005044983835341</v>
      </c>
      <c r="BD192" s="510"/>
      <c r="BE192" s="511">
        <v>1.0005044983835341</v>
      </c>
      <c r="BF192" s="510"/>
      <c r="BG192" s="511">
        <v>1.0005044983835341</v>
      </c>
      <c r="BH192" s="510"/>
      <c r="BI192" s="511">
        <v>1.0005044983835341</v>
      </c>
      <c r="BJ192" s="510"/>
      <c r="BK192" s="511">
        <v>1.0005044983835341</v>
      </c>
      <c r="BL192" s="510"/>
      <c r="BM192" s="511">
        <v>1.0005044983835341</v>
      </c>
      <c r="BN192" s="510"/>
      <c r="BO192" s="511">
        <v>1.0005044983835341</v>
      </c>
      <c r="BP192" s="510"/>
      <c r="BQ192" s="511">
        <v>1.0005044983835341</v>
      </c>
      <c r="BR192" s="554">
        <v>1.0005044983835341</v>
      </c>
      <c r="BS192" s="510"/>
      <c r="BT192" s="511">
        <v>1.0005044983835341</v>
      </c>
      <c r="BU192" s="510"/>
      <c r="BV192" s="511">
        <v>1.0005044983835341</v>
      </c>
      <c r="BW192" s="510"/>
      <c r="BX192" s="511">
        <v>1.0006432890417618</v>
      </c>
      <c r="BY192" s="555" t="s">
        <v>1478</v>
      </c>
      <c r="BZ192" s="511"/>
      <c r="CA192" s="510"/>
      <c r="CB192" s="511">
        <v>1.0005044983835341</v>
      </c>
      <c r="CC192" s="554"/>
      <c r="CD192" s="554"/>
      <c r="CE192" s="51"/>
      <c r="CF192" s="51"/>
    </row>
    <row r="193" spans="1:84" x14ac:dyDescent="0.25">
      <c r="A193" s="51" t="s">
        <v>1400</v>
      </c>
      <c r="B193" s="529">
        <v>-341647.49640121748</v>
      </c>
      <c r="C193" s="530">
        <v>1190061.1426813744</v>
      </c>
      <c r="D193" s="529">
        <v>-316683.95543785207</v>
      </c>
      <c r="E193" s="530">
        <v>1226239.3287043895</v>
      </c>
      <c r="F193" s="529">
        <v>-955146.56392969319</v>
      </c>
      <c r="G193" s="530">
        <v>1541535.1212294255</v>
      </c>
      <c r="H193" s="529">
        <v>-381653.57563038758</v>
      </c>
      <c r="I193" s="530">
        <v>1256140.8895858575</v>
      </c>
      <c r="J193" s="531">
        <v>-200253.08878640996</v>
      </c>
      <c r="K193" s="530">
        <v>1080903.8824268098</v>
      </c>
      <c r="L193" s="529">
        <v>-436930.59190532408</v>
      </c>
      <c r="M193" s="530">
        <v>1092678.2483774244</v>
      </c>
      <c r="N193" s="529">
        <v>450610.04479060357</v>
      </c>
      <c r="O193" s="530">
        <v>1097553.0331978651</v>
      </c>
      <c r="P193" s="529">
        <v>-200253.08878640996</v>
      </c>
      <c r="Q193" s="530">
        <v>1080903.8824268098</v>
      </c>
      <c r="R193" s="556">
        <v>-314823.24438847764</v>
      </c>
      <c r="S193" s="557">
        <v>1153200.9982179648</v>
      </c>
      <c r="T193" s="516">
        <v>0</v>
      </c>
      <c r="U193" s="516">
        <v>0</v>
      </c>
      <c r="V193" s="529">
        <v>76958.939552532043</v>
      </c>
      <c r="W193" s="530">
        <v>1629016.7667795506</v>
      </c>
      <c r="X193" s="529">
        <v>74266.769170115353</v>
      </c>
      <c r="Y193" s="530">
        <v>1465718.2793923065</v>
      </c>
      <c r="Z193" s="529">
        <v>76958.939552532043</v>
      </c>
      <c r="AA193" s="530">
        <v>1629016.7667795506</v>
      </c>
      <c r="AB193" s="529">
        <v>99965.964113978785</v>
      </c>
      <c r="AC193" s="530">
        <v>1716346.2731398323</v>
      </c>
      <c r="AD193" s="529">
        <v>96468.964163067591</v>
      </c>
      <c r="AE193" s="530">
        <v>1549992.8331778613</v>
      </c>
      <c r="AF193" s="529">
        <v>99965.964113978785</v>
      </c>
      <c r="AG193" s="530">
        <v>1716346.2731398323</v>
      </c>
      <c r="AH193" s="529">
        <v>704918.54346182337</v>
      </c>
      <c r="AI193" s="530">
        <v>1575726.9879944238</v>
      </c>
      <c r="AJ193" s="558">
        <v>616322.22379175818</v>
      </c>
      <c r="AK193" s="559">
        <v>1030326.1533878035</v>
      </c>
      <c r="AL193" s="529">
        <v>704918.54346182337</v>
      </c>
      <c r="AM193" s="530">
        <v>1575726.9879944238</v>
      </c>
      <c r="AN193" s="529">
        <v>725638.74344382039</v>
      </c>
      <c r="AO193" s="530">
        <v>1722368.4667795124</v>
      </c>
      <c r="AP193" s="558">
        <v>634438.24563394138</v>
      </c>
      <c r="AQ193" s="559">
        <v>2159041.7807637644</v>
      </c>
      <c r="AR193" s="529">
        <v>725638.74344382039</v>
      </c>
      <c r="AS193" s="530">
        <v>1722368.4667795124</v>
      </c>
      <c r="AT193" s="529">
        <v>450610.04479060357</v>
      </c>
      <c r="AU193" s="530">
        <v>1619801.3542437968</v>
      </c>
      <c r="AV193" s="558">
        <v>393975.99544533645</v>
      </c>
      <c r="AW193" s="559">
        <v>1120713.7648952918</v>
      </c>
      <c r="AX193" s="529">
        <v>450610.04479060357</v>
      </c>
      <c r="AY193" s="530">
        <v>1619801.3542437968</v>
      </c>
      <c r="AZ193" s="529">
        <v>69110.800805201725</v>
      </c>
      <c r="BA193" s="530">
        <v>2041375.1250974638</v>
      </c>
      <c r="BB193" s="529">
        <v>66693.173274018554</v>
      </c>
      <c r="BC193" s="530">
        <v>1765027.341898978</v>
      </c>
      <c r="BD193" s="529">
        <v>69110.800805201725</v>
      </c>
      <c r="BE193" s="530">
        <v>2041375.1250974638</v>
      </c>
      <c r="BF193" s="529">
        <v>202635.07107376496</v>
      </c>
      <c r="BG193" s="530">
        <v>1747773.7997718151</v>
      </c>
      <c r="BH193" s="529">
        <v>507340.88788964285</v>
      </c>
      <c r="BI193" s="530">
        <v>4001132.7460263977</v>
      </c>
      <c r="BJ193" s="529">
        <v>262762.38970898872</v>
      </c>
      <c r="BK193" s="530">
        <v>2354679.0487582814</v>
      </c>
      <c r="BL193" s="529">
        <v>251924.55320599087</v>
      </c>
      <c r="BM193" s="530">
        <v>2138023.9077124069</v>
      </c>
      <c r="BN193" s="529">
        <v>202635.07107376496</v>
      </c>
      <c r="BO193" s="530">
        <v>1747773.7997718151</v>
      </c>
      <c r="BP193" s="529">
        <v>194783.07776750144</v>
      </c>
      <c r="BQ193" s="530">
        <v>2569878.4185074726</v>
      </c>
      <c r="BR193" s="527">
        <v>1685993.0995587239</v>
      </c>
      <c r="BS193" s="529">
        <v>-381653.57563038758</v>
      </c>
      <c r="BT193" s="530">
        <v>1256140.8895858575</v>
      </c>
      <c r="BU193" s="529">
        <v>-381653.57563038758</v>
      </c>
      <c r="BV193" s="530">
        <v>1254266.3855488764</v>
      </c>
      <c r="BW193" s="529">
        <v>112547.33797783064</v>
      </c>
      <c r="BX193" s="530">
        <v>593454.14206081501</v>
      </c>
      <c r="BY193" s="529">
        <v>1380.0663813415379</v>
      </c>
      <c r="BZ193" s="530">
        <v>7036.2075143436878</v>
      </c>
      <c r="CA193" s="529">
        <v>194783.07776750144</v>
      </c>
      <c r="CB193" s="530">
        <v>2539878.2391222268</v>
      </c>
      <c r="CC193" s="527">
        <v>16434.704986692755</v>
      </c>
      <c r="CD193" s="533">
        <v>2.3060639659304596</v>
      </c>
      <c r="CE193" s="527">
        <v>560.72823752505087</v>
      </c>
      <c r="CF193" s="536">
        <v>1633.1481433727242</v>
      </c>
    </row>
    <row r="194" spans="1:84" x14ac:dyDescent="0.25">
      <c r="A194" s="51" t="s">
        <v>1401</v>
      </c>
      <c r="B194" s="529">
        <v>104830.71107207253</v>
      </c>
      <c r="C194" s="530">
        <v>414175.86985127715</v>
      </c>
      <c r="D194" s="529">
        <v>107412.55832663104</v>
      </c>
      <c r="E194" s="530">
        <v>407182.15651341848</v>
      </c>
      <c r="F194" s="529">
        <v>90051.602411727683</v>
      </c>
      <c r="G194" s="530">
        <v>712313.10516027373</v>
      </c>
      <c r="H194" s="529">
        <v>105560.27960868557</v>
      </c>
      <c r="I194" s="530">
        <v>438009.96847830765</v>
      </c>
      <c r="J194" s="531">
        <v>106325.79683152579</v>
      </c>
      <c r="K194" s="530">
        <v>261191.85439859558</v>
      </c>
      <c r="L194" s="529">
        <v>102049.94781124308</v>
      </c>
      <c r="M194" s="530">
        <v>333847.44634141889</v>
      </c>
      <c r="N194" s="529">
        <v>118084.38163730329</v>
      </c>
      <c r="O194" s="530">
        <v>107568.6030639196</v>
      </c>
      <c r="P194" s="529">
        <v>106325.79683152579</v>
      </c>
      <c r="Q194" s="530">
        <v>261191.85439859558</v>
      </c>
      <c r="R194" s="556">
        <v>107005.59316567832</v>
      </c>
      <c r="S194" s="557">
        <v>387359.60848665272</v>
      </c>
      <c r="T194" s="516">
        <v>0</v>
      </c>
      <c r="U194" s="516">
        <v>0</v>
      </c>
      <c r="V194" s="529">
        <v>76135.372448139373</v>
      </c>
      <c r="W194" s="530">
        <v>-14823.070003833323</v>
      </c>
      <c r="X194" s="529">
        <v>73472.012012679741</v>
      </c>
      <c r="Y194" s="530">
        <v>29010.927707997533</v>
      </c>
      <c r="Z194" s="529">
        <v>76135.372448139373</v>
      </c>
      <c r="AA194" s="530">
        <v>-14823.070003833323</v>
      </c>
      <c r="AB194" s="529">
        <v>98846.008321520712</v>
      </c>
      <c r="AC194" s="530">
        <v>-14823.070003833323</v>
      </c>
      <c r="AD194" s="529">
        <v>95388.186558765447</v>
      </c>
      <c r="AE194" s="530">
        <v>29010.927707997533</v>
      </c>
      <c r="AF194" s="529">
        <v>98846.008321520712</v>
      </c>
      <c r="AG194" s="530">
        <v>-14823.070003833323</v>
      </c>
      <c r="AH194" s="529">
        <v>90499.952450697267</v>
      </c>
      <c r="AI194" s="530">
        <v>6767.3835048457404</v>
      </c>
      <c r="AJ194" s="558">
        <v>79125.641486948443</v>
      </c>
      <c r="AK194" s="559">
        <v>-28085.084678929063</v>
      </c>
      <c r="AL194" s="529">
        <v>90499.952450697267</v>
      </c>
      <c r="AM194" s="530">
        <v>6767.3835048457404</v>
      </c>
      <c r="AN194" s="529">
        <v>73834.628772359429</v>
      </c>
      <c r="AO194" s="530">
        <v>6767.3835048457404</v>
      </c>
      <c r="AP194" s="558">
        <v>64554.866686215908</v>
      </c>
      <c r="AQ194" s="559">
        <v>-28085.084678929063</v>
      </c>
      <c r="AR194" s="529">
        <v>73834.628772359429</v>
      </c>
      <c r="AS194" s="530">
        <v>6767.3835048457404</v>
      </c>
      <c r="AT194" s="529">
        <v>118084.38163730329</v>
      </c>
      <c r="AU194" s="530">
        <v>6767.3835048457404</v>
      </c>
      <c r="AV194" s="558">
        <v>103243.17520201381</v>
      </c>
      <c r="AW194" s="559">
        <v>12544.424272800758</v>
      </c>
      <c r="AX194" s="529">
        <v>118084.38163730329</v>
      </c>
      <c r="AY194" s="530">
        <v>6767.3835048457404</v>
      </c>
      <c r="AZ194" s="529">
        <v>68764.118512075423</v>
      </c>
      <c r="BA194" s="530">
        <v>6767.3835048457404</v>
      </c>
      <c r="BB194" s="529">
        <v>66358.618588251324</v>
      </c>
      <c r="BC194" s="530">
        <v>29010.927707997533</v>
      </c>
      <c r="BD194" s="529">
        <v>68764.118512075423</v>
      </c>
      <c r="BE194" s="530">
        <v>6767.3835048457404</v>
      </c>
      <c r="BF194" s="529">
        <v>196597.45280838813</v>
      </c>
      <c r="BG194" s="530">
        <v>251627.66006300368</v>
      </c>
      <c r="BH194" s="529">
        <v>328013.33829303988</v>
      </c>
      <c r="BI194" s="530">
        <v>-1458639.4394013416</v>
      </c>
      <c r="BJ194" s="529">
        <v>169884.92487727522</v>
      </c>
      <c r="BK194" s="530">
        <v>-71495.088177285565</v>
      </c>
      <c r="BL194" s="529">
        <v>163039.32660765454</v>
      </c>
      <c r="BM194" s="530">
        <v>-195081.91134641276</v>
      </c>
      <c r="BN194" s="529">
        <v>196597.45280838813</v>
      </c>
      <c r="BO194" s="530">
        <v>251627.66006300368</v>
      </c>
      <c r="BP194" s="529">
        <v>171740.13070785423</v>
      </c>
      <c r="BQ194" s="530">
        <v>69152.355904594006</v>
      </c>
      <c r="BR194" s="527">
        <v>139487.10755311849</v>
      </c>
      <c r="BS194" s="529">
        <v>105560.27960868557</v>
      </c>
      <c r="BT194" s="530">
        <v>438009.96847830765</v>
      </c>
      <c r="BU194" s="529">
        <v>105560.27960868557</v>
      </c>
      <c r="BV194" s="530">
        <v>436144.86756428919</v>
      </c>
      <c r="BW194" s="529">
        <v>108568.14746089967</v>
      </c>
      <c r="BX194" s="530">
        <v>560602.3875007364</v>
      </c>
      <c r="BY194" s="529">
        <v>1331.2731610305323</v>
      </c>
      <c r="BZ194" s="530">
        <v>6900.8772288173013</v>
      </c>
      <c r="CA194" s="529">
        <v>171740.13070785423</v>
      </c>
      <c r="CB194" s="530">
        <v>39808.164544719199</v>
      </c>
      <c r="CC194" s="527">
        <v>360.97787828806167</v>
      </c>
      <c r="CD194" s="533">
        <v>2.2844325291775895</v>
      </c>
      <c r="CE194" s="527">
        <v>551.11645924063077</v>
      </c>
      <c r="CF194" s="536">
        <v>1523.3429235268186</v>
      </c>
    </row>
    <row r="195" spans="1:84" x14ac:dyDescent="0.25">
      <c r="A195" s="51" t="s">
        <v>1275</v>
      </c>
      <c r="B195" s="529">
        <v>1786.9364152076698</v>
      </c>
      <c r="C195" s="530">
        <v>22958.115683504948</v>
      </c>
      <c r="D195" s="529">
        <v>2107.1896427010879</v>
      </c>
      <c r="E195" s="530">
        <v>22670.50695086602</v>
      </c>
      <c r="F195" s="529">
        <v>2490.8522920134033</v>
      </c>
      <c r="G195" s="530">
        <v>175654.87060447069</v>
      </c>
      <c r="H195" s="529">
        <v>2131.1445123951153</v>
      </c>
      <c r="I195" s="530">
        <v>37981.885709195238</v>
      </c>
      <c r="J195" s="531">
        <v>1913.8331557198128</v>
      </c>
      <c r="K195" s="530">
        <v>-1491.5415492753534</v>
      </c>
      <c r="L195" s="529">
        <v>1027.772693374859</v>
      </c>
      <c r="M195" s="530">
        <v>-1542.8637875392012</v>
      </c>
      <c r="N195" s="529">
        <v>4350.4994271684309</v>
      </c>
      <c r="O195" s="530">
        <v>6322.1572429829412</v>
      </c>
      <c r="P195" s="529">
        <v>1913.8331557198128</v>
      </c>
      <c r="Q195" s="530">
        <v>-1491.5415492753534</v>
      </c>
      <c r="R195" s="556">
        <v>2250.3486888603493</v>
      </c>
      <c r="S195" s="557">
        <v>25573.658059219266</v>
      </c>
      <c r="T195" s="516">
        <v>0</v>
      </c>
      <c r="U195" s="516">
        <v>0</v>
      </c>
      <c r="V195" s="529">
        <v>1166.2871809020007</v>
      </c>
      <c r="W195" s="530">
        <v>-35701.82319402579</v>
      </c>
      <c r="X195" s="529">
        <v>1125.4882324747891</v>
      </c>
      <c r="Y195" s="530">
        <v>2399.8078149308858</v>
      </c>
      <c r="Z195" s="529">
        <v>1166.2871809020007</v>
      </c>
      <c r="AA195" s="530">
        <v>-35701.82319402579</v>
      </c>
      <c r="AB195" s="529">
        <v>1601.6856411271995</v>
      </c>
      <c r="AC195" s="530">
        <v>-35701.82319402579</v>
      </c>
      <c r="AD195" s="529">
        <v>1545.655624730711</v>
      </c>
      <c r="AE195" s="530">
        <v>2399.8078149308858</v>
      </c>
      <c r="AF195" s="529">
        <v>1601.6856411271995</v>
      </c>
      <c r="AG195" s="530">
        <v>-35701.82319402579</v>
      </c>
      <c r="AH195" s="529">
        <v>3300.4368845874505</v>
      </c>
      <c r="AI195" s="530">
        <v>-34666.771114038413</v>
      </c>
      <c r="AJ195" s="558">
        <v>2885.6278772349292</v>
      </c>
      <c r="AK195" s="559">
        <v>-15998.99281700239</v>
      </c>
      <c r="AL195" s="529">
        <v>3300.4368845874505</v>
      </c>
      <c r="AM195" s="530">
        <v>-34666.771114038413</v>
      </c>
      <c r="AN195" s="529">
        <v>2535.2175104793955</v>
      </c>
      <c r="AO195" s="530">
        <v>-34666.771114038413</v>
      </c>
      <c r="AP195" s="558">
        <v>2216.58361571969</v>
      </c>
      <c r="AQ195" s="559">
        <v>-15998.99281700239</v>
      </c>
      <c r="AR195" s="529">
        <v>2535.2175104793955</v>
      </c>
      <c r="AS195" s="530">
        <v>-34666.771114038413</v>
      </c>
      <c r="AT195" s="529">
        <v>4350.4994271684309</v>
      </c>
      <c r="AU195" s="530">
        <v>-34666.771114038413</v>
      </c>
      <c r="AV195" s="558">
        <v>3803.7153461581902</v>
      </c>
      <c r="AW195" s="559">
        <v>87.741978830429744</v>
      </c>
      <c r="AX195" s="529">
        <v>4350.4994271684309</v>
      </c>
      <c r="AY195" s="530">
        <v>-34666.771114038413</v>
      </c>
      <c r="AZ195" s="529">
        <v>481.12814236011184</v>
      </c>
      <c r="BA195" s="530">
        <v>-34666.771114038413</v>
      </c>
      <c r="BB195" s="529">
        <v>464.29736295306321</v>
      </c>
      <c r="BC195" s="530">
        <v>2399.8078149308858</v>
      </c>
      <c r="BD195" s="529">
        <v>481.12814236011184</v>
      </c>
      <c r="BE195" s="530">
        <v>-34666.771114038413</v>
      </c>
      <c r="BF195" s="529">
        <v>8872.7800418388488</v>
      </c>
      <c r="BG195" s="530">
        <v>45254.994878646001</v>
      </c>
      <c r="BH195" s="529">
        <v>27269.76696934145</v>
      </c>
      <c r="BI195" s="530">
        <v>-893622.63075706491</v>
      </c>
      <c r="BJ195" s="529">
        <v>14123.579050522032</v>
      </c>
      <c r="BK195" s="530">
        <v>-48681.768535554955</v>
      </c>
      <c r="BL195" s="529">
        <v>10463.55970403265</v>
      </c>
      <c r="BM195" s="530">
        <v>-159783.34924762684</v>
      </c>
      <c r="BN195" s="529">
        <v>8872.7800418388488</v>
      </c>
      <c r="BO195" s="530">
        <v>45254.994878646001</v>
      </c>
      <c r="BP195" s="529">
        <v>1540.9223250153666</v>
      </c>
      <c r="BQ195" s="530">
        <v>-1561.1612274993904</v>
      </c>
      <c r="BR195" s="527">
        <v>-15387.219429121707</v>
      </c>
      <c r="BS195" s="529">
        <v>2131.1445123951153</v>
      </c>
      <c r="BT195" s="530">
        <v>37981.885709195238</v>
      </c>
      <c r="BU195" s="529">
        <v>2131.1445123951153</v>
      </c>
      <c r="BV195" s="530">
        <v>37968.835988534331</v>
      </c>
      <c r="BW195" s="529">
        <v>5710.4764556425807</v>
      </c>
      <c r="BX195" s="530">
        <v>15550.765528457956</v>
      </c>
      <c r="BY195" s="529">
        <v>70.022416517990493</v>
      </c>
      <c r="BZ195" s="530">
        <v>193.54580193708196</v>
      </c>
      <c r="CA195" s="529">
        <v>1540.9223250153666</v>
      </c>
      <c r="CB195" s="530">
        <v>-1771.6160045833285</v>
      </c>
      <c r="CC195" s="527">
        <v>115.5205512206564</v>
      </c>
      <c r="CD195" s="533">
        <v>3.0687506587891326E-2</v>
      </c>
      <c r="CE195" s="527">
        <v>13.673225219513537</v>
      </c>
      <c r="CF195" s="536">
        <v>157.14478333462804</v>
      </c>
    </row>
    <row r="196" spans="1:84" x14ac:dyDescent="0.25">
      <c r="A196" s="51" t="s">
        <v>233</v>
      </c>
      <c r="B196" s="529">
        <v>66597.23861996585</v>
      </c>
      <c r="C196" s="530">
        <v>378638.91817093582</v>
      </c>
      <c r="D196" s="529">
        <v>68372.3023694164</v>
      </c>
      <c r="E196" s="530">
        <v>371948.48979740439</v>
      </c>
      <c r="F196" s="531">
        <v>55857.372011811924</v>
      </c>
      <c r="G196" s="530">
        <v>521930.83446379594</v>
      </c>
      <c r="H196" s="531">
        <v>67040.931464930676</v>
      </c>
      <c r="I196" s="530">
        <v>387247.79354085249</v>
      </c>
      <c r="J196" s="531">
        <v>60623.083302146544</v>
      </c>
      <c r="K196" s="530">
        <v>248219.1050718558</v>
      </c>
      <c r="L196" s="529">
        <v>65485.738298966549</v>
      </c>
      <c r="M196" s="530">
        <v>323586.35938555427</v>
      </c>
      <c r="N196" s="529">
        <v>47250.782060891557</v>
      </c>
      <c r="O196" s="530">
        <v>77899.196844190272</v>
      </c>
      <c r="P196" s="529">
        <v>60623.083302146537</v>
      </c>
      <c r="Q196" s="530">
        <v>248219.10507185577</v>
      </c>
      <c r="R196" s="556">
        <v>69148.953580741974</v>
      </c>
      <c r="S196" s="557">
        <v>349066.23196456465</v>
      </c>
      <c r="T196" s="516">
        <v>0</v>
      </c>
      <c r="U196" s="557">
        <v>0</v>
      </c>
      <c r="V196" s="529">
        <v>19988.985105458567</v>
      </c>
      <c r="W196" s="530">
        <v>-2799.4587238493914</v>
      </c>
      <c r="X196" s="529">
        <v>19289.732309248328</v>
      </c>
      <c r="Y196" s="530">
        <v>9682.8391363826559</v>
      </c>
      <c r="Z196" s="529">
        <v>19988.985105458567</v>
      </c>
      <c r="AA196" s="530">
        <v>-2799.4587238493914</v>
      </c>
      <c r="AB196" s="529">
        <v>26696.304754102952</v>
      </c>
      <c r="AC196" s="530">
        <v>-2799.4587238493914</v>
      </c>
      <c r="AD196" s="529">
        <v>25762.417133030569</v>
      </c>
      <c r="AE196" s="530">
        <v>9682.8391363826559</v>
      </c>
      <c r="AF196" s="529">
        <v>26696.304754102952</v>
      </c>
      <c r="AG196" s="530">
        <v>-2799.4587238493914</v>
      </c>
      <c r="AH196" s="529">
        <v>53588.479196816945</v>
      </c>
      <c r="AI196" s="530">
        <v>16898.648832934818</v>
      </c>
      <c r="AJ196" s="558">
        <v>46853.315144758002</v>
      </c>
      <c r="AK196" s="559">
        <v>-22751.514128341383</v>
      </c>
      <c r="AL196" s="529">
        <v>53588.479196816945</v>
      </c>
      <c r="AM196" s="530">
        <v>16898.648832934818</v>
      </c>
      <c r="AN196" s="529">
        <v>46767.564546445596</v>
      </c>
      <c r="AO196" s="530">
        <v>16898.648832934818</v>
      </c>
      <c r="AP196" s="558">
        <v>40889.673920389614</v>
      </c>
      <c r="AQ196" s="559">
        <v>-22751.514128341383</v>
      </c>
      <c r="AR196" s="529">
        <v>46767.564546445596</v>
      </c>
      <c r="AS196" s="530">
        <v>16898.648832934818</v>
      </c>
      <c r="AT196" s="529">
        <v>47250.78206089155</v>
      </c>
      <c r="AU196" s="530">
        <v>16898.648832934818</v>
      </c>
      <c r="AV196" s="558">
        <v>41312.159178921574</v>
      </c>
      <c r="AW196" s="559">
        <v>1289.5347448522389</v>
      </c>
      <c r="AX196" s="529">
        <v>47250.78206089155</v>
      </c>
      <c r="AY196" s="530">
        <v>16898.648832934818</v>
      </c>
      <c r="AZ196" s="529">
        <v>7068.9735652072122</v>
      </c>
      <c r="BA196" s="530">
        <v>16898.648832934818</v>
      </c>
      <c r="BB196" s="529">
        <v>6821.6873970636807</v>
      </c>
      <c r="BC196" s="530">
        <v>9682.8391363826559</v>
      </c>
      <c r="BD196" s="529">
        <v>7068.9735652072122</v>
      </c>
      <c r="BE196" s="530">
        <v>16898.648832934818</v>
      </c>
      <c r="BF196" s="529">
        <v>133169.39558525319</v>
      </c>
      <c r="BG196" s="530">
        <v>215272.93648714703</v>
      </c>
      <c r="BH196" s="529">
        <v>180428.79119887209</v>
      </c>
      <c r="BI196" s="530">
        <v>-537754.75133182085</v>
      </c>
      <c r="BJ196" s="529">
        <v>93447.820744210156</v>
      </c>
      <c r="BK196" s="530">
        <v>-22896.572461108757</v>
      </c>
      <c r="BL196" s="529">
        <v>94647.082415723591</v>
      </c>
      <c r="BM196" s="530">
        <v>-48501.496855646692</v>
      </c>
      <c r="BN196" s="529">
        <v>133169.39558525319</v>
      </c>
      <c r="BO196" s="530">
        <v>215272.93648714703</v>
      </c>
      <c r="BP196" s="529">
        <v>58464.52239304738</v>
      </c>
      <c r="BQ196" s="530">
        <v>-4188.1149595997613</v>
      </c>
      <c r="BR196" s="527">
        <v>173927.44338064635</v>
      </c>
      <c r="BS196" s="529">
        <v>67040.931464930676</v>
      </c>
      <c r="BT196" s="530">
        <v>387247.79354085249</v>
      </c>
      <c r="BU196" s="529">
        <v>67040.931464930676</v>
      </c>
      <c r="BV196" s="530">
        <v>387056.06056524074</v>
      </c>
      <c r="BW196" s="529">
        <v>70855.890585337547</v>
      </c>
      <c r="BX196" s="530">
        <v>535738.26964094327</v>
      </c>
      <c r="BY196" s="529">
        <v>868.84180713452668</v>
      </c>
      <c r="BZ196" s="530">
        <v>6571.3583032767701</v>
      </c>
      <c r="CA196" s="529">
        <v>58464.52239304738</v>
      </c>
      <c r="CB196" s="530">
        <v>-7411.7945559998725</v>
      </c>
      <c r="CC196" s="527">
        <v>171.90458306079043</v>
      </c>
      <c r="CD196" s="533">
        <v>1.0201788695350016</v>
      </c>
      <c r="CE196" s="527">
        <v>134.44130159980858</v>
      </c>
      <c r="CF196" s="536">
        <v>410.99718563001466</v>
      </c>
    </row>
    <row r="197" spans="1:84" x14ac:dyDescent="0.25">
      <c r="A197" s="51" t="s">
        <v>1402</v>
      </c>
      <c r="B197" s="529">
        <v>36446.536036899</v>
      </c>
      <c r="C197" s="530">
        <v>12578.835996836369</v>
      </c>
      <c r="D197" s="529">
        <v>36933.06631451354</v>
      </c>
      <c r="E197" s="530">
        <v>12563.159765148048</v>
      </c>
      <c r="F197" s="529">
        <v>31703.378107902365</v>
      </c>
      <c r="G197" s="530">
        <v>14727.400092007041</v>
      </c>
      <c r="H197" s="529">
        <v>36388.203631359771</v>
      </c>
      <c r="I197" s="530">
        <v>12780.289228259924</v>
      </c>
      <c r="J197" s="531">
        <v>43788.880373659442</v>
      </c>
      <c r="K197" s="530">
        <v>14464.290876015149</v>
      </c>
      <c r="L197" s="529">
        <v>35536.436818901668</v>
      </c>
      <c r="M197" s="530">
        <v>11803.950743403828</v>
      </c>
      <c r="N197" s="529">
        <v>66483.100149243313</v>
      </c>
      <c r="O197" s="530">
        <v>23347.248976746392</v>
      </c>
      <c r="P197" s="529">
        <v>43788.880373659442</v>
      </c>
      <c r="Q197" s="530">
        <v>14464.290876015149</v>
      </c>
      <c r="R197" s="556">
        <v>35606.290896076003</v>
      </c>
      <c r="S197" s="557">
        <v>12719.718462868826</v>
      </c>
      <c r="T197" s="516">
        <v>0</v>
      </c>
      <c r="U197" s="516">
        <v>0</v>
      </c>
      <c r="V197" s="529">
        <v>54980.100161778806</v>
      </c>
      <c r="W197" s="530">
        <v>23678.211914041858</v>
      </c>
      <c r="X197" s="529">
        <v>53056.791470956625</v>
      </c>
      <c r="Y197" s="530">
        <v>16928.280756683991</v>
      </c>
      <c r="Z197" s="529">
        <v>54980.100161778806</v>
      </c>
      <c r="AA197" s="530">
        <v>23678.211914041858</v>
      </c>
      <c r="AB197" s="529">
        <v>70548.017926290559</v>
      </c>
      <c r="AC197" s="530">
        <v>23678.211914041858</v>
      </c>
      <c r="AD197" s="529">
        <v>68080.113801004161</v>
      </c>
      <c r="AE197" s="530">
        <v>16928.280756683991</v>
      </c>
      <c r="AF197" s="529">
        <v>70548.017926290559</v>
      </c>
      <c r="AG197" s="530">
        <v>23678.211914041858</v>
      </c>
      <c r="AH197" s="529">
        <v>33611.036369292866</v>
      </c>
      <c r="AI197" s="530">
        <v>24535.505785949335</v>
      </c>
      <c r="AJ197" s="558">
        <v>29386.698464955512</v>
      </c>
      <c r="AK197" s="559">
        <v>10665.422266414709</v>
      </c>
      <c r="AL197" s="529">
        <v>33611.036369292866</v>
      </c>
      <c r="AM197" s="530">
        <v>24535.505785949335</v>
      </c>
      <c r="AN197" s="529">
        <v>24531.846715434433</v>
      </c>
      <c r="AO197" s="530">
        <v>24535.505785949335</v>
      </c>
      <c r="AP197" s="558">
        <v>21448.609150106608</v>
      </c>
      <c r="AQ197" s="559">
        <v>10665.422266414709</v>
      </c>
      <c r="AR197" s="529">
        <v>24531.846715434433</v>
      </c>
      <c r="AS197" s="530">
        <v>24535.505785949335</v>
      </c>
      <c r="AT197" s="529">
        <v>66483.100149243313</v>
      </c>
      <c r="AU197" s="530">
        <v>24535.505785949335</v>
      </c>
      <c r="AV197" s="558">
        <v>58127.300676934043</v>
      </c>
      <c r="AW197" s="559">
        <v>11167.147549118088</v>
      </c>
      <c r="AX197" s="529">
        <v>66483.100149243313</v>
      </c>
      <c r="AY197" s="530">
        <v>24535.505785949335</v>
      </c>
      <c r="AZ197" s="529">
        <v>61214.016804508094</v>
      </c>
      <c r="BA197" s="530">
        <v>24535.505785949335</v>
      </c>
      <c r="BB197" s="529">
        <v>59072.633828234582</v>
      </c>
      <c r="BC197" s="530">
        <v>16928.280756683991</v>
      </c>
      <c r="BD197" s="529">
        <v>61214.016804508094</v>
      </c>
      <c r="BE197" s="530">
        <v>24535.505785949335</v>
      </c>
      <c r="BF197" s="529">
        <v>54555.277181296093</v>
      </c>
      <c r="BG197" s="530">
        <v>-8900.2713027893587</v>
      </c>
      <c r="BH197" s="529">
        <v>120314.78012482634</v>
      </c>
      <c r="BI197" s="530">
        <v>-27262.057312455865</v>
      </c>
      <c r="BJ197" s="529">
        <v>62313.525082543019</v>
      </c>
      <c r="BK197" s="530">
        <v>83.252819378145432</v>
      </c>
      <c r="BL197" s="529">
        <v>57928.68448789831</v>
      </c>
      <c r="BM197" s="530">
        <v>13202.934756860781</v>
      </c>
      <c r="BN197" s="529">
        <v>54555.277181296093</v>
      </c>
      <c r="BO197" s="530">
        <v>-8900.2713027893587</v>
      </c>
      <c r="BP197" s="529">
        <v>111734.68598979148</v>
      </c>
      <c r="BQ197" s="530">
        <v>74901.632091693158</v>
      </c>
      <c r="BR197" s="527">
        <v>-19053.116398406157</v>
      </c>
      <c r="BS197" s="529">
        <v>36388.203631359771</v>
      </c>
      <c r="BT197" s="530">
        <v>12780.289228259924</v>
      </c>
      <c r="BU197" s="529">
        <v>36388.203631359771</v>
      </c>
      <c r="BV197" s="530">
        <v>11119.971010514109</v>
      </c>
      <c r="BW197" s="529">
        <v>32001.780419919531</v>
      </c>
      <c r="BX197" s="530">
        <v>9313.3523313352507</v>
      </c>
      <c r="BY197" s="529">
        <v>392.40893737801497</v>
      </c>
      <c r="BZ197" s="530">
        <v>135.9731236034479</v>
      </c>
      <c r="CA197" s="529">
        <v>111734.68598979148</v>
      </c>
      <c r="CB197" s="530">
        <v>48991.5751053024</v>
      </c>
      <c r="CC197" s="527">
        <v>66.309622645157916</v>
      </c>
      <c r="CD197" s="533">
        <v>1.2335661530546971</v>
      </c>
      <c r="CE197" s="527">
        <v>403.0019324213086</v>
      </c>
      <c r="CF197" s="536">
        <v>955.20095456217587</v>
      </c>
    </row>
    <row r="198" spans="1:84" x14ac:dyDescent="0.25">
      <c r="A198" s="68" t="s">
        <v>1403</v>
      </c>
      <c r="B198" s="534">
        <v>355.34882787410714</v>
      </c>
      <c r="C198" s="530">
        <v>43.90352360830196</v>
      </c>
      <c r="D198" s="534">
        <v>366.42110060434385</v>
      </c>
      <c r="E198" s="530">
        <v>43.802470230493014</v>
      </c>
      <c r="F198" s="534">
        <v>331.80625070500355</v>
      </c>
      <c r="G198" s="530">
        <v>56.406686779177249</v>
      </c>
      <c r="H198" s="534">
        <v>362.4613633415492</v>
      </c>
      <c r="I198" s="535">
        <v>45.067439287362838</v>
      </c>
      <c r="J198" s="522">
        <v>244.04339506493955</v>
      </c>
      <c r="K198" s="535">
        <v>61.365974849875109</v>
      </c>
      <c r="L198" s="534">
        <v>329.49333469054829</v>
      </c>
      <c r="M198" s="535">
        <v>37.204345225959315</v>
      </c>
      <c r="N198" s="534">
        <v>9.0560610945155275</v>
      </c>
      <c r="O198" s="535">
        <v>131.46717611325428</v>
      </c>
      <c r="P198" s="534">
        <v>244.04339506493955</v>
      </c>
      <c r="Q198" s="535">
        <v>61.365974849875109</v>
      </c>
      <c r="R198" s="560">
        <v>356.27545189512676</v>
      </c>
      <c r="S198" s="561">
        <v>45.271437060442473</v>
      </c>
      <c r="T198" s="517">
        <v>0</v>
      </c>
      <c r="U198" s="517">
        <v>0</v>
      </c>
      <c r="V198" s="534">
        <v>3.2950718528621796</v>
      </c>
      <c r="W198" s="535">
        <v>123.6347835150505</v>
      </c>
      <c r="X198" s="534">
        <v>3.1798039593362404</v>
      </c>
      <c r="Y198" s="535">
        <v>35.909980775504593</v>
      </c>
      <c r="Z198" s="534">
        <v>3.2950718528621796</v>
      </c>
      <c r="AA198" s="535">
        <v>123.6347835150505</v>
      </c>
      <c r="AB198" s="534">
        <v>4.0095407441137043</v>
      </c>
      <c r="AC198" s="535">
        <v>123.6347835150505</v>
      </c>
      <c r="AD198" s="534">
        <v>3.8692793670578571</v>
      </c>
      <c r="AE198" s="535">
        <v>35.909980775504593</v>
      </c>
      <c r="AF198" s="534">
        <v>4.0095407441137043</v>
      </c>
      <c r="AG198" s="535">
        <v>123.6347835150505</v>
      </c>
      <c r="AH198" s="534">
        <v>8.0792502165859208</v>
      </c>
      <c r="AI198" s="535">
        <v>155.12150158216875</v>
      </c>
      <c r="AJ198" s="562">
        <v>7.0638253259767616</v>
      </c>
      <c r="AK198" s="563">
        <v>30.091420274326314</v>
      </c>
      <c r="AL198" s="534">
        <v>8.0792502165859208</v>
      </c>
      <c r="AM198" s="535">
        <v>155.12150158216875</v>
      </c>
      <c r="AN198" s="534">
        <v>5.8087026022456199</v>
      </c>
      <c r="AO198" s="535">
        <v>155.12150158216875</v>
      </c>
      <c r="AP198" s="562">
        <v>5.0786470839305968</v>
      </c>
      <c r="AQ198" s="563">
        <v>30.091420274326314</v>
      </c>
      <c r="AR198" s="534">
        <v>5.8087026022456199</v>
      </c>
      <c r="AS198" s="535">
        <v>155.12150158216875</v>
      </c>
      <c r="AT198" s="534">
        <v>9.0560610945155275</v>
      </c>
      <c r="AU198" s="535">
        <v>155.12150158216875</v>
      </c>
      <c r="AV198" s="562">
        <v>7.9178676236201326</v>
      </c>
      <c r="AW198" s="563">
        <v>34.459792215598398</v>
      </c>
      <c r="AX198" s="534">
        <v>9.0560610945155275</v>
      </c>
      <c r="AY198" s="535">
        <v>155.12150158216875</v>
      </c>
      <c r="AZ198" s="534">
        <v>1.3644652399743438</v>
      </c>
      <c r="BA198" s="535">
        <v>155.12150158216875</v>
      </c>
      <c r="BB198" s="534">
        <v>1.3167336453310914</v>
      </c>
      <c r="BC198" s="535">
        <v>35.909980775504593</v>
      </c>
      <c r="BD198" s="534">
        <v>1.3644652399743438</v>
      </c>
      <c r="BE198" s="535">
        <v>155.12150158216875</v>
      </c>
      <c r="BF198" s="534">
        <v>15.554906560358795</v>
      </c>
      <c r="BG198" s="535">
        <v>-330.05053983685121</v>
      </c>
      <c r="BH198" s="534">
        <v>17.658772347059113</v>
      </c>
      <c r="BI198" s="535">
        <v>-369.10779124127623</v>
      </c>
      <c r="BJ198" s="534">
        <v>9.1458451940297181</v>
      </c>
      <c r="BK198" s="535">
        <v>-113.16796405340547</v>
      </c>
      <c r="BL198" s="534">
        <v>11.363323244304933</v>
      </c>
      <c r="BM198" s="535">
        <v>91.376572665581946</v>
      </c>
      <c r="BN198" s="534">
        <v>15.554906560358795</v>
      </c>
      <c r="BO198" s="535">
        <v>-330.05053983685121</v>
      </c>
      <c r="BP198" s="534">
        <v>22.042239906970355</v>
      </c>
      <c r="BQ198" s="535">
        <v>-60.060617969357899</v>
      </c>
      <c r="BR198" s="533">
        <v>136.80082765621822</v>
      </c>
      <c r="BS198" s="534">
        <v>362.4613633415492</v>
      </c>
      <c r="BT198" s="535">
        <v>45.067439287362838</v>
      </c>
      <c r="BU198" s="534">
        <v>362.4613633415492</v>
      </c>
      <c r="BV198" s="535">
        <v>45.030430663951549</v>
      </c>
      <c r="BW198" s="534">
        <v>400.44090015695895</v>
      </c>
      <c r="BX198" s="535">
        <v>5.8766058360713007</v>
      </c>
      <c r="BY198" s="534">
        <v>4.9102451817173982</v>
      </c>
      <c r="BZ198" s="535">
        <v>7.3260691230855851E-2</v>
      </c>
      <c r="CA198" s="534">
        <v>22.042239906970355</v>
      </c>
      <c r="CB198" s="535">
        <v>-60.647788869822222</v>
      </c>
      <c r="CC198" s="533">
        <v>0.59835421292704039</v>
      </c>
      <c r="CD198" s="533">
        <v>106.77081115387833</v>
      </c>
      <c r="CE198" s="533">
        <v>85.091059537674113</v>
      </c>
      <c r="CF198" s="536">
        <v>85.142334221279455</v>
      </c>
    </row>
    <row r="199" spans="1:84" x14ac:dyDescent="0.25">
      <c r="A199" s="51" t="s">
        <v>237</v>
      </c>
      <c r="B199" s="512">
        <v>4.6964648659217216</v>
      </c>
      <c r="C199" s="511">
        <v>55.316178843419458</v>
      </c>
      <c r="D199" s="512">
        <v>5.1044598712190892</v>
      </c>
      <c r="E199" s="511">
        <v>55.223458072368032</v>
      </c>
      <c r="F199" s="510">
        <v>4.6462378129566062</v>
      </c>
      <c r="G199" s="511">
        <v>58.35967827969025</v>
      </c>
      <c r="H199" s="534">
        <v>5.04027789015446</v>
      </c>
      <c r="I199" s="535">
        <v>55.541252527797567</v>
      </c>
      <c r="J199" s="522">
        <v>4.5464180370420948</v>
      </c>
      <c r="K199" s="535">
        <v>53.831082329007792</v>
      </c>
      <c r="L199" s="534">
        <v>4.0390993935475903</v>
      </c>
      <c r="M199" s="535">
        <v>54.512453759747224</v>
      </c>
      <c r="N199" s="534">
        <v>5.9415443066519842</v>
      </c>
      <c r="O199" s="535">
        <v>55.478661539431769</v>
      </c>
      <c r="P199" s="510">
        <v>4.5464180370420948</v>
      </c>
      <c r="Q199" s="511">
        <v>53.831082329007792</v>
      </c>
      <c r="R199" s="560">
        <v>5.4565478189493657</v>
      </c>
      <c r="S199" s="511">
        <v>54.883884492137405</v>
      </c>
      <c r="T199" s="512">
        <v>0</v>
      </c>
      <c r="U199" s="512">
        <v>0</v>
      </c>
      <c r="V199" s="510">
        <v>3.2230755801873734</v>
      </c>
      <c r="W199" s="511">
        <v>34.20602563804929</v>
      </c>
      <c r="X199" s="510">
        <v>3.110326253498068</v>
      </c>
      <c r="Y199" s="511">
        <v>21.276360736685817</v>
      </c>
      <c r="Z199" s="510">
        <v>3.2230755801873734</v>
      </c>
      <c r="AA199" s="511">
        <v>34.20602563804929</v>
      </c>
      <c r="AB199" s="510">
        <v>4.5581432212232951</v>
      </c>
      <c r="AC199" s="511">
        <v>34.228755056389062</v>
      </c>
      <c r="AD199" s="510">
        <v>4.3986906839308029</v>
      </c>
      <c r="AE199" s="511">
        <v>21.309505901078886</v>
      </c>
      <c r="AF199" s="510">
        <v>4.5581432212232951</v>
      </c>
      <c r="AG199" s="511">
        <v>34.228755056389062</v>
      </c>
      <c r="AH199" s="510">
        <v>6.5371302861838672</v>
      </c>
      <c r="AI199" s="511">
        <v>34.961118932322357</v>
      </c>
      <c r="AJ199" s="552">
        <v>5.7155237474831635</v>
      </c>
      <c r="AK199" s="553">
        <v>20.2152882243732</v>
      </c>
      <c r="AL199" s="510">
        <v>6.5371302861838672</v>
      </c>
      <c r="AM199" s="511">
        <v>34.961118932322357</v>
      </c>
      <c r="AN199" s="510">
        <v>5.7185936038589498</v>
      </c>
      <c r="AO199" s="511">
        <v>34.99093653797226</v>
      </c>
      <c r="AP199" s="552">
        <v>4.9998632602045454</v>
      </c>
      <c r="AQ199" s="553">
        <v>20.241358262099887</v>
      </c>
      <c r="AR199" s="510">
        <v>5.7185936038589498</v>
      </c>
      <c r="AS199" s="511">
        <v>34.99093653797226</v>
      </c>
      <c r="AT199" s="510">
        <v>5.9415443066519833</v>
      </c>
      <c r="AU199" s="511">
        <v>34.968291659370479</v>
      </c>
      <c r="AV199" s="552">
        <v>5.1947928364170348</v>
      </c>
      <c r="AW199" s="553">
        <v>20.598298911233552</v>
      </c>
      <c r="AX199" s="510">
        <v>5.9415443066519833</v>
      </c>
      <c r="AY199" s="511">
        <v>34.968291659370479</v>
      </c>
      <c r="AZ199" s="510">
        <v>1.5334116700555893</v>
      </c>
      <c r="BA199" s="511">
        <v>35.048356098398912</v>
      </c>
      <c r="BB199" s="510">
        <v>1.4797700072912803</v>
      </c>
      <c r="BC199" s="511">
        <v>21.361502979014787</v>
      </c>
      <c r="BD199" s="510">
        <v>1.5334116700555893</v>
      </c>
      <c r="BE199" s="511">
        <v>35.048356098398912</v>
      </c>
      <c r="BF199" s="510">
        <v>18.66182315854503</v>
      </c>
      <c r="BG199" s="511">
        <v>41.926506715984317</v>
      </c>
      <c r="BH199" s="510">
        <v>22.482029584671896</v>
      </c>
      <c r="BI199" s="511">
        <v>57.903689671566525</v>
      </c>
      <c r="BJ199" s="510">
        <v>11.643910357293256</v>
      </c>
      <c r="BK199" s="511">
        <v>57.728890212878667</v>
      </c>
      <c r="BL199" s="510">
        <v>11.604161422793876</v>
      </c>
      <c r="BM199" s="511">
        <v>69.435368140839643</v>
      </c>
      <c r="BN199" s="510">
        <v>18.66182315854503</v>
      </c>
      <c r="BO199" s="511">
        <v>41.926506715984317</v>
      </c>
      <c r="BP199" s="510">
        <v>176.48353520045146</v>
      </c>
      <c r="BQ199" s="511">
        <v>54.030021443457557</v>
      </c>
      <c r="BR199" s="554">
        <v>37.953488785689295</v>
      </c>
      <c r="BS199" s="510">
        <v>5.04027789015446</v>
      </c>
      <c r="BT199" s="511">
        <v>55.541252527797567</v>
      </c>
      <c r="BU199" s="510">
        <v>5.04027789015446</v>
      </c>
      <c r="BV199" s="511">
        <v>55.518591868988992</v>
      </c>
      <c r="BW199" s="510">
        <v>8.9484678161298277</v>
      </c>
      <c r="BX199" s="511">
        <v>49.047054267868518</v>
      </c>
      <c r="BY199" s="510">
        <v>0.10972698083707748</v>
      </c>
      <c r="BZ199" s="511">
        <v>0.42748140845029148</v>
      </c>
      <c r="CA199" s="534">
        <v>176.48353520045146</v>
      </c>
      <c r="CB199" s="512">
        <v>54.06046269582631</v>
      </c>
      <c r="CC199" s="554">
        <v>3.7623213831721653E-3</v>
      </c>
      <c r="CD199" s="554">
        <v>170.23402939332226</v>
      </c>
      <c r="CE199" s="564">
        <v>2.5972402112917022E-2</v>
      </c>
      <c r="CF199" s="554">
        <v>7.4409969590876396E-2</v>
      </c>
    </row>
    <row r="200" spans="1:84" x14ac:dyDescent="0.25">
      <c r="A200" s="51" t="s">
        <v>234</v>
      </c>
      <c r="B200" s="510">
        <v>20.06176239471732</v>
      </c>
      <c r="C200" s="511">
        <v>22.107455846463726</v>
      </c>
      <c r="D200" s="512">
        <v>20.410759409014997</v>
      </c>
      <c r="E200" s="511">
        <v>21.745085312150756</v>
      </c>
      <c r="F200" s="510">
        <v>17.095978264778264</v>
      </c>
      <c r="G200" s="511">
        <v>33.992494048631571</v>
      </c>
      <c r="H200" s="534">
        <v>20.063576428947929</v>
      </c>
      <c r="I200" s="535">
        <v>22.986132859842925</v>
      </c>
      <c r="J200" s="522">
        <v>18.931335227184551</v>
      </c>
      <c r="K200" s="535">
        <v>15.934509158872707</v>
      </c>
      <c r="L200" s="534">
        <v>19.702350189356572</v>
      </c>
      <c r="M200" s="535">
        <v>19.105270997337051</v>
      </c>
      <c r="N200" s="534">
        <v>16.811044081211488</v>
      </c>
      <c r="O200" s="535">
        <v>11.680033393403585</v>
      </c>
      <c r="P200" s="510">
        <v>18.931335227184551</v>
      </c>
      <c r="Q200" s="511">
        <v>15.934509158872707</v>
      </c>
      <c r="R200" s="560">
        <v>20.061081023184581</v>
      </c>
      <c r="S200" s="511">
        <v>20.49162606577978</v>
      </c>
      <c r="T200" s="512">
        <v>0</v>
      </c>
      <c r="U200" s="512">
        <v>0</v>
      </c>
      <c r="V200" s="510">
        <v>14.643132834495411</v>
      </c>
      <c r="W200" s="511">
        <v>155.53993550022614</v>
      </c>
      <c r="X200" s="510">
        <v>14.130888139440684</v>
      </c>
      <c r="Y200" s="511">
        <v>18.686588302109268</v>
      </c>
      <c r="Z200" s="510">
        <v>14.643132834495411</v>
      </c>
      <c r="AA200" s="511">
        <v>155.53993550022614</v>
      </c>
      <c r="AB200" s="510">
        <v>19.699990879193344</v>
      </c>
      <c r="AC200" s="511">
        <v>155.90033749029683</v>
      </c>
      <c r="AD200" s="510">
        <v>19.010847651815041</v>
      </c>
      <c r="AE200" s="511">
        <v>19.212144347139301</v>
      </c>
      <c r="AF200" s="510">
        <v>19.699990879193344</v>
      </c>
      <c r="AG200" s="511">
        <v>155.90033749029683</v>
      </c>
      <c r="AH200" s="510">
        <v>13.300643617394071</v>
      </c>
      <c r="AI200" s="511">
        <v>155.66789812628252</v>
      </c>
      <c r="AJ200" s="552">
        <v>11.628978026136894</v>
      </c>
      <c r="AK200" s="553">
        <v>7.8983958839564563</v>
      </c>
      <c r="AL200" s="510">
        <v>13.300643617394071</v>
      </c>
      <c r="AM200" s="511">
        <v>155.66789812628252</v>
      </c>
      <c r="AN200" s="510">
        <v>10.082848317216829</v>
      </c>
      <c r="AO200" s="511">
        <v>156.14069176555327</v>
      </c>
      <c r="AP200" s="552">
        <v>8.8156050860912174</v>
      </c>
      <c r="AQ200" s="553">
        <v>8.3117673718434499</v>
      </c>
      <c r="AR200" s="510">
        <v>10.082848317216829</v>
      </c>
      <c r="AS200" s="511">
        <v>156.14069176555327</v>
      </c>
      <c r="AT200" s="510">
        <v>16.811044081211485</v>
      </c>
      <c r="AU200" s="511">
        <v>155.7816302536838</v>
      </c>
      <c r="AV200" s="552">
        <v>14.698180617452667</v>
      </c>
      <c r="AW200" s="553">
        <v>9.3855632230859829</v>
      </c>
      <c r="AX200" s="510">
        <v>16.811044081211485</v>
      </c>
      <c r="AY200" s="511">
        <v>155.7816302536838</v>
      </c>
      <c r="AZ200" s="510">
        <v>11.987460661683784</v>
      </c>
      <c r="BA200" s="511">
        <v>157.05114726148383</v>
      </c>
      <c r="BB200" s="510">
        <v>11.568116440708113</v>
      </c>
      <c r="BC200" s="511">
        <v>20.036619927016783</v>
      </c>
      <c r="BD200" s="510">
        <v>11.987460661683784</v>
      </c>
      <c r="BE200" s="511">
        <v>157.05114726148383</v>
      </c>
      <c r="BF200" s="510">
        <v>35.174327018862485</v>
      </c>
      <c r="BG200" s="511">
        <v>3.6341811699767579</v>
      </c>
      <c r="BH200" s="510">
        <v>82.44452275334416</v>
      </c>
      <c r="BI200" s="511">
        <v>870.13066451703617</v>
      </c>
      <c r="BJ200" s="510">
        <v>42.699731746829016</v>
      </c>
      <c r="BK200" s="511">
        <v>215.80221313809955</v>
      </c>
      <c r="BL200" s="510">
        <v>34.930066643524015</v>
      </c>
      <c r="BM200" s="511">
        <v>350.06247221852914</v>
      </c>
      <c r="BN200" s="510">
        <v>35.174327018862485</v>
      </c>
      <c r="BO200" s="511">
        <v>3.6341811699767579</v>
      </c>
      <c r="BP200" s="510">
        <v>2203.6071254609269</v>
      </c>
      <c r="BQ200" s="511">
        <v>25.266719862377499</v>
      </c>
      <c r="BR200" s="554">
        <v>158.70226282697587</v>
      </c>
      <c r="BS200" s="510">
        <v>20.063576428947929</v>
      </c>
      <c r="BT200" s="511">
        <v>22.986132859842925</v>
      </c>
      <c r="BU200" s="510">
        <v>20.063576428947929</v>
      </c>
      <c r="BV200" s="511">
        <v>22.666429713192386</v>
      </c>
      <c r="BW200" s="510">
        <v>18.749602743923329</v>
      </c>
      <c r="BX200" s="511">
        <v>29.530230080672542</v>
      </c>
      <c r="BY200" s="510">
        <v>0.22990944855128057</v>
      </c>
      <c r="BZ200" s="511">
        <v>0.36522805677371961</v>
      </c>
      <c r="CA200" s="534">
        <v>2203.6071254609269</v>
      </c>
      <c r="CB200" s="511">
        <v>20.233183072529009</v>
      </c>
      <c r="CC200" s="554">
        <v>2.0034911406636505E-2</v>
      </c>
      <c r="CD200" s="554">
        <v>368.43029675236278</v>
      </c>
      <c r="CE200" s="564">
        <v>0.14130461920358892</v>
      </c>
      <c r="CF200" s="554">
        <v>0.69747243125948932</v>
      </c>
    </row>
    <row r="201" spans="1:84" x14ac:dyDescent="0.25">
      <c r="A201" s="51" t="s">
        <v>1404</v>
      </c>
      <c r="B201" s="510">
        <v>53.757116700577228</v>
      </c>
      <c r="C201" s="511">
        <v>32.529179833445539</v>
      </c>
      <c r="D201" s="512">
        <v>54.151470960653356</v>
      </c>
      <c r="E201" s="511">
        <v>32.034836828236472</v>
      </c>
      <c r="F201" s="510">
        <v>45.45799172873371</v>
      </c>
      <c r="G201" s="511">
        <v>63.695675550482775</v>
      </c>
      <c r="H201" s="534">
        <v>53.264377095757972</v>
      </c>
      <c r="I201" s="535">
        <v>35.223166135695507</v>
      </c>
      <c r="J201" s="522">
        <v>43.279138276883629</v>
      </c>
      <c r="K201" s="535">
        <v>24.991766152585388</v>
      </c>
      <c r="L201" s="534">
        <v>53.349508062135875</v>
      </c>
      <c r="M201" s="535">
        <v>27.619035052803852</v>
      </c>
      <c r="N201" s="534">
        <v>15.585621367439964</v>
      </c>
      <c r="O201" s="535">
        <v>20.582500959470071</v>
      </c>
      <c r="P201" s="510">
        <v>43.279138276883629</v>
      </c>
      <c r="Q201" s="511">
        <v>24.991766152585388</v>
      </c>
      <c r="R201" s="560">
        <v>52.116614023873382</v>
      </c>
      <c r="S201" s="511">
        <v>30.622142931017017</v>
      </c>
      <c r="T201" s="512">
        <v>0</v>
      </c>
      <c r="U201" s="512">
        <v>0</v>
      </c>
      <c r="V201" s="510">
        <v>21.166126705292825</v>
      </c>
      <c r="W201" s="511">
        <v>228.16707480364951</v>
      </c>
      <c r="X201" s="510">
        <v>20.425695252393556</v>
      </c>
      <c r="Y201" s="511">
        <v>112.64963872299388</v>
      </c>
      <c r="Z201" s="510">
        <v>21.166126705292825</v>
      </c>
      <c r="AA201" s="511">
        <v>228.16707480364951</v>
      </c>
      <c r="AB201" s="510">
        <v>28.692572990927584</v>
      </c>
      <c r="AC201" s="511">
        <v>230.54035245738888</v>
      </c>
      <c r="AD201" s="510">
        <v>27.688852102222025</v>
      </c>
      <c r="AE201" s="511">
        <v>116.11046982776328</v>
      </c>
      <c r="AF201" s="510">
        <v>28.692572990927584</v>
      </c>
      <c r="AG201" s="511">
        <v>230.54035245738888</v>
      </c>
      <c r="AH201" s="510">
        <v>27.040354632232354</v>
      </c>
      <c r="AI201" s="511">
        <v>220.39131384703836</v>
      </c>
      <c r="AJ201" s="552">
        <v>23.64184011561299</v>
      </c>
      <c r="AK201" s="553">
        <v>55.489903819508925</v>
      </c>
      <c r="AL201" s="510">
        <v>27.040354632232354</v>
      </c>
      <c r="AM201" s="511">
        <v>220.39131384703836</v>
      </c>
      <c r="AN201" s="510">
        <v>23.490551735597133</v>
      </c>
      <c r="AO201" s="511">
        <v>223.50470003752883</v>
      </c>
      <c r="AP201" s="552">
        <v>20.5381873098117</v>
      </c>
      <c r="AQ201" s="553">
        <v>58.211990106276581</v>
      </c>
      <c r="AR201" s="510">
        <v>23.490551735597133</v>
      </c>
      <c r="AS201" s="511">
        <v>223.50470003752883</v>
      </c>
      <c r="AT201" s="510">
        <v>15.585621367439964</v>
      </c>
      <c r="AU201" s="511">
        <v>221.14024954636903</v>
      </c>
      <c r="AV201" s="552">
        <v>13.626772780275381</v>
      </c>
      <c r="AW201" s="553">
        <v>58.899179351651448</v>
      </c>
      <c r="AX201" s="510">
        <v>15.585621367439964</v>
      </c>
      <c r="AY201" s="511">
        <v>221.14024954636903</v>
      </c>
      <c r="AZ201" s="510">
        <v>14.812020713224722</v>
      </c>
      <c r="BA201" s="511">
        <v>229.50012665210585</v>
      </c>
      <c r="BB201" s="510">
        <v>14.293867998286824</v>
      </c>
      <c r="BC201" s="511">
        <v>121.53971140712648</v>
      </c>
      <c r="BD201" s="510">
        <v>14.812020713224722</v>
      </c>
      <c r="BE201" s="511">
        <v>229.50012665210585</v>
      </c>
      <c r="BF201" s="510">
        <v>81.156736280314036</v>
      </c>
      <c r="BG201" s="511">
        <v>4.6775552822603172</v>
      </c>
      <c r="BH201" s="510">
        <v>105.9425792241541</v>
      </c>
      <c r="BI201" s="511">
        <v>237.56638689354008</v>
      </c>
      <c r="BJ201" s="510">
        <v>54.869863544149958</v>
      </c>
      <c r="BK201" s="511">
        <v>71.186610574485172</v>
      </c>
      <c r="BL201" s="510">
        <v>51.103749843257695</v>
      </c>
      <c r="BM201" s="511">
        <v>129.25713228317224</v>
      </c>
      <c r="BN201" s="510">
        <v>81.156736280314036</v>
      </c>
      <c r="BO201" s="511">
        <v>4.6775552822603172</v>
      </c>
      <c r="BP201" s="510">
        <v>145.46674246149689</v>
      </c>
      <c r="BQ201" s="511">
        <v>187.44235159903653</v>
      </c>
      <c r="BR201" s="554">
        <v>268.25929224324972</v>
      </c>
      <c r="BS201" s="510">
        <v>53.264377095757972</v>
      </c>
      <c r="BT201" s="511">
        <v>35.223166135695507</v>
      </c>
      <c r="BU201" s="510">
        <v>53.264377095757972</v>
      </c>
      <c r="BV201" s="511">
        <v>35.005452666301174</v>
      </c>
      <c r="BW201" s="510">
        <v>42.684544757922758</v>
      </c>
      <c r="BX201" s="511">
        <v>42.8389155301142</v>
      </c>
      <c r="BY201" s="510">
        <v>0.52340203048499345</v>
      </c>
      <c r="BZ201" s="511">
        <v>0.53482219276676601</v>
      </c>
      <c r="CA201" s="534">
        <v>145.46674246149689</v>
      </c>
      <c r="CB201" s="511">
        <v>194.42286700692586</v>
      </c>
      <c r="CC201" s="554">
        <v>2.8272483554080529E-2</v>
      </c>
      <c r="CD201" s="554">
        <v>545.33093617713735</v>
      </c>
      <c r="CE201" s="564">
        <v>0.23633592497385189</v>
      </c>
      <c r="CF201" s="554">
        <v>0.33914620520371186</v>
      </c>
    </row>
    <row r="202" spans="1:84" x14ac:dyDescent="0.25">
      <c r="A202" s="51" t="s">
        <v>235</v>
      </c>
      <c r="B202" s="510">
        <v>2.7934719795759846</v>
      </c>
      <c r="C202" s="511">
        <v>13.018192975249136</v>
      </c>
      <c r="D202" s="512">
        <v>2.8260759687429542</v>
      </c>
      <c r="E202" s="511">
        <v>12.990165421486042</v>
      </c>
      <c r="F202" s="510">
        <v>2.3790742966802365</v>
      </c>
      <c r="G202" s="511">
        <v>15.142679902435304</v>
      </c>
      <c r="H202" s="534">
        <v>2.7799086220241689</v>
      </c>
      <c r="I202" s="535">
        <v>13.206678109500308</v>
      </c>
      <c r="J202" s="522">
        <v>2.6919292818310989</v>
      </c>
      <c r="K202" s="535">
        <v>12.373050276924337</v>
      </c>
      <c r="L202" s="534">
        <v>2.7548982204599239</v>
      </c>
      <c r="M202" s="535">
        <v>12.436029021296617</v>
      </c>
      <c r="N202" s="534">
        <v>2.5187647006018281</v>
      </c>
      <c r="O202" s="535">
        <v>12.449201190145921</v>
      </c>
      <c r="P202" s="510">
        <v>2.6919292818310989</v>
      </c>
      <c r="Q202" s="511">
        <v>12.373050276924337</v>
      </c>
      <c r="R202" s="560">
        <v>2.7401698869471529</v>
      </c>
      <c r="S202" s="511">
        <v>12.96091263842229</v>
      </c>
      <c r="T202" s="512">
        <v>0</v>
      </c>
      <c r="U202" s="512">
        <v>0</v>
      </c>
      <c r="V202" s="510">
        <v>1.5089338598506541</v>
      </c>
      <c r="W202" s="511">
        <v>13.050940922070701</v>
      </c>
      <c r="X202" s="510">
        <v>1.456148477539835</v>
      </c>
      <c r="Y202" s="511">
        <v>2.7597707432965231</v>
      </c>
      <c r="Z202" s="510">
        <v>1.5089338598506541</v>
      </c>
      <c r="AA202" s="511">
        <v>13.050940922070701</v>
      </c>
      <c r="AB202" s="510">
        <v>2.0583075874196366</v>
      </c>
      <c r="AC202" s="511">
        <v>13.103966269232183</v>
      </c>
      <c r="AD202" s="510">
        <v>1.9863040650611692</v>
      </c>
      <c r="AE202" s="511">
        <v>2.837094932696997</v>
      </c>
      <c r="AF202" s="510">
        <v>2.0583075874196366</v>
      </c>
      <c r="AG202" s="511">
        <v>13.103966269232183</v>
      </c>
      <c r="AH202" s="510">
        <v>1.9263905831821999</v>
      </c>
      <c r="AI202" s="511">
        <v>12.995920425990493</v>
      </c>
      <c r="AJ202" s="552">
        <v>1.684275919722142</v>
      </c>
      <c r="AK202" s="553">
        <v>0.95989913927605686</v>
      </c>
      <c r="AL202" s="510">
        <v>1.9263905831821999</v>
      </c>
      <c r="AM202" s="511">
        <v>12.995920425990493</v>
      </c>
      <c r="AN202" s="510">
        <v>1.5136155852833573</v>
      </c>
      <c r="AO202" s="511">
        <v>13.065481770125009</v>
      </c>
      <c r="AP202" s="552">
        <v>1.3233797466958312</v>
      </c>
      <c r="AQ202" s="553">
        <v>1.0207178008144331</v>
      </c>
      <c r="AR202" s="510">
        <v>1.5136155852833573</v>
      </c>
      <c r="AS202" s="511">
        <v>13.065481770125009</v>
      </c>
      <c r="AT202" s="510">
        <v>2.5187647006018281</v>
      </c>
      <c r="AU202" s="511">
        <v>13.012653645298423</v>
      </c>
      <c r="AV202" s="552">
        <v>2.2021986453349318</v>
      </c>
      <c r="AW202" s="553">
        <v>1.3234809614857421</v>
      </c>
      <c r="AX202" s="510">
        <v>2.5187647006018281</v>
      </c>
      <c r="AY202" s="511">
        <v>13.012653645298423</v>
      </c>
      <c r="AZ202" s="510">
        <v>0.97247365625466886</v>
      </c>
      <c r="BA202" s="511">
        <v>13.19943557747588</v>
      </c>
      <c r="BB202" s="510">
        <v>0.9384546743108988</v>
      </c>
      <c r="BC202" s="511">
        <v>2.9583986575754109</v>
      </c>
      <c r="BD202" s="510">
        <v>0.97247365625466886</v>
      </c>
      <c r="BE202" s="511">
        <v>13.19943557747588</v>
      </c>
      <c r="BF202" s="510">
        <v>4.5798996856363301</v>
      </c>
      <c r="BG202" s="511">
        <v>11.65263855169351</v>
      </c>
      <c r="BH202" s="510">
        <v>5.6459133413445874</v>
      </c>
      <c r="BI202" s="511">
        <v>63.401943934640443</v>
      </c>
      <c r="BJ202" s="510">
        <v>2.9241358563322897</v>
      </c>
      <c r="BK202" s="511">
        <v>26.401902856428574</v>
      </c>
      <c r="BL202" s="510">
        <v>3.0332545160267714</v>
      </c>
      <c r="BM202" s="511">
        <v>35.247970244214201</v>
      </c>
      <c r="BN202" s="510">
        <v>4.5798996856363301</v>
      </c>
      <c r="BO202" s="511">
        <v>11.65263855169351</v>
      </c>
      <c r="BP202" s="510">
        <v>189.13096881871024</v>
      </c>
      <c r="BQ202" s="511">
        <v>123.49608739065839</v>
      </c>
      <c r="BR202" s="554">
        <v>14.926320291291873</v>
      </c>
      <c r="BS202" s="510">
        <v>2.7799086220241689</v>
      </c>
      <c r="BT202" s="511">
        <v>13.206678109500308</v>
      </c>
      <c r="BU202" s="510">
        <v>2.7799086220241689</v>
      </c>
      <c r="BV202" s="511">
        <v>13.194525046423751</v>
      </c>
      <c r="BW202" s="510">
        <v>2.3873180277861419</v>
      </c>
      <c r="BX202" s="511">
        <v>10.817199575007077</v>
      </c>
      <c r="BY202" s="510">
        <v>2.9273525353102639E-2</v>
      </c>
      <c r="BZ202" s="511">
        <v>0.158847515585993</v>
      </c>
      <c r="CA202" s="534">
        <v>189.13096881871024</v>
      </c>
      <c r="CB202" s="511">
        <v>124.24325698616924</v>
      </c>
      <c r="CC202" s="554">
        <v>2.8949710604547485E-3</v>
      </c>
      <c r="CD202" s="554">
        <v>66.485265694213169</v>
      </c>
      <c r="CE202" s="564">
        <v>1.5648424315038271E-2</v>
      </c>
      <c r="CF202" s="554">
        <v>2.3772386870384382E-2</v>
      </c>
    </row>
    <row r="203" spans="1:84" x14ac:dyDescent="0.25">
      <c r="A203" s="51" t="s">
        <v>236</v>
      </c>
      <c r="B203" s="510">
        <v>2.3312746184997799</v>
      </c>
      <c r="C203" s="511">
        <v>3.4719470531160219</v>
      </c>
      <c r="D203" s="512">
        <v>2.3576735961222761</v>
      </c>
      <c r="E203" s="511">
        <v>3.4466522949614227</v>
      </c>
      <c r="F203" s="510">
        <v>1.981914739470082</v>
      </c>
      <c r="G203" s="511">
        <v>4.4863206973914869</v>
      </c>
      <c r="H203" s="534">
        <v>2.3189097564640444</v>
      </c>
      <c r="I203" s="535">
        <v>3.551757399321386</v>
      </c>
      <c r="J203" s="522">
        <v>2.260157846980309</v>
      </c>
      <c r="K203" s="535">
        <v>3.0202851926503875</v>
      </c>
      <c r="L203" s="534">
        <v>2.3015699187657499</v>
      </c>
      <c r="M203" s="535">
        <v>3.1152069976761854</v>
      </c>
      <c r="N203" s="534">
        <v>2.1462746495703477</v>
      </c>
      <c r="O203" s="535">
        <v>2.9299139574732327</v>
      </c>
      <c r="P203" s="510">
        <v>2.260157846980309</v>
      </c>
      <c r="Q203" s="511">
        <v>3.0202851926503875</v>
      </c>
      <c r="R203" s="560">
        <v>2.285923215844448</v>
      </c>
      <c r="S203" s="511">
        <v>3.3915974611431228</v>
      </c>
      <c r="T203" s="512">
        <v>0</v>
      </c>
      <c r="U203" s="512">
        <v>0</v>
      </c>
      <c r="V203" s="510">
        <v>1.2892329079446128</v>
      </c>
      <c r="W203" s="511">
        <v>3.7268383797085174</v>
      </c>
      <c r="X203" s="510">
        <v>1.2441330836618698</v>
      </c>
      <c r="Y203" s="511">
        <v>2.3210527449093754</v>
      </c>
      <c r="Z203" s="510">
        <v>1.2892329079446128</v>
      </c>
      <c r="AA203" s="511">
        <v>3.7268383797085174</v>
      </c>
      <c r="AB203" s="510">
        <v>1.7960889921426419</v>
      </c>
      <c r="AC203" s="511">
        <v>3.77366959844526</v>
      </c>
      <c r="AD203" s="510">
        <v>1.7332583760121996</v>
      </c>
      <c r="AE203" s="511">
        <v>2.3893443492326241</v>
      </c>
      <c r="AF203" s="510">
        <v>1.7960889921426419</v>
      </c>
      <c r="AG203" s="511">
        <v>3.77366959844526</v>
      </c>
      <c r="AH203" s="510">
        <v>1.5591313914336284</v>
      </c>
      <c r="AI203" s="511">
        <v>3.6773097671849211</v>
      </c>
      <c r="AJ203" s="552">
        <v>1.3631749870457952</v>
      </c>
      <c r="AK203" s="553">
        <v>0.95368962383822298</v>
      </c>
      <c r="AL203" s="510">
        <v>1.5591313914336284</v>
      </c>
      <c r="AM203" s="511">
        <v>3.6773097671849211</v>
      </c>
      <c r="AN203" s="510">
        <v>1.2304839322577981</v>
      </c>
      <c r="AO203" s="511">
        <v>3.7387453389854146</v>
      </c>
      <c r="AP203" s="552">
        <v>1.0758329462363263</v>
      </c>
      <c r="AQ203" s="553">
        <v>1.0074037849752673</v>
      </c>
      <c r="AR203" s="510">
        <v>1.2304839322577981</v>
      </c>
      <c r="AS203" s="511">
        <v>3.7387453389854146</v>
      </c>
      <c r="AT203" s="510">
        <v>2.1462746495703473</v>
      </c>
      <c r="AU203" s="511">
        <v>3.6920883041588173</v>
      </c>
      <c r="AV203" s="552">
        <v>1.876524283777353</v>
      </c>
      <c r="AW203" s="553">
        <v>1.1666002487084166</v>
      </c>
      <c r="AX203" s="510">
        <v>2.1462746495703473</v>
      </c>
      <c r="AY203" s="511">
        <v>3.6920883041588173</v>
      </c>
      <c r="AZ203" s="510">
        <v>0.74629473332428931</v>
      </c>
      <c r="BA203" s="511">
        <v>3.8570514018116295</v>
      </c>
      <c r="BB203" s="510">
        <v>0.72018792118146135</v>
      </c>
      <c r="BC203" s="511">
        <v>2.4964780424088784</v>
      </c>
      <c r="BD203" s="510">
        <v>0.74629473332428931</v>
      </c>
      <c r="BE203" s="511">
        <v>3.8570514018116295</v>
      </c>
      <c r="BF203" s="510">
        <v>3.9069516855711162</v>
      </c>
      <c r="BG203" s="511">
        <v>2.0963788394377865</v>
      </c>
      <c r="BH203" s="510">
        <v>4.7222997567543619</v>
      </c>
      <c r="BI203" s="511">
        <v>57.485059423285826</v>
      </c>
      <c r="BJ203" s="510">
        <v>2.4457771857663899</v>
      </c>
      <c r="BK203" s="511">
        <v>16.445339015948704</v>
      </c>
      <c r="BL203" s="510">
        <v>2.4490997865938482</v>
      </c>
      <c r="BM203" s="511">
        <v>25.460251505823518</v>
      </c>
      <c r="BN203" s="510">
        <v>3.9069516855711162</v>
      </c>
      <c r="BO203" s="511">
        <v>2.0963788394377865</v>
      </c>
      <c r="BP203" s="510">
        <v>65.975010024016299</v>
      </c>
      <c r="BQ203" s="511">
        <v>61.11825503864052</v>
      </c>
      <c r="BR203" s="554">
        <v>5.3037443026223858</v>
      </c>
      <c r="BS203" s="510">
        <v>2.3189097564640444</v>
      </c>
      <c r="BT203" s="511">
        <v>3.551757399321386</v>
      </c>
      <c r="BU203" s="510">
        <v>2.3189097564640444</v>
      </c>
      <c r="BV203" s="511">
        <v>3.5482969840663832</v>
      </c>
      <c r="BW203" s="510">
        <v>1.9809968966697395</v>
      </c>
      <c r="BX203" s="511">
        <v>3.5318315193044962</v>
      </c>
      <c r="BY203" s="510">
        <v>2.4291176208666474E-2</v>
      </c>
      <c r="BZ203" s="511">
        <v>4.7970118136627299E-2</v>
      </c>
      <c r="CA203" s="534">
        <v>65.975010024016299</v>
      </c>
      <c r="CB203" s="511">
        <v>61.951871598196497</v>
      </c>
      <c r="CC203" s="554">
        <v>1.5643608178162621E-3</v>
      </c>
      <c r="CD203" s="554">
        <v>57.799244792218687</v>
      </c>
      <c r="CE203" s="564">
        <v>1.4325279575568169E-2</v>
      </c>
      <c r="CF203" s="554">
        <v>1.9987379414730673E-2</v>
      </c>
    </row>
    <row r="204" spans="1:84" x14ac:dyDescent="0.25">
      <c r="A204" s="51" t="s">
        <v>798</v>
      </c>
      <c r="B204" s="510">
        <v>10.872484314320655</v>
      </c>
      <c r="C204" s="511">
        <v>6.7105204030842422</v>
      </c>
      <c r="D204" s="512">
        <v>11.034617758095502</v>
      </c>
      <c r="E204" s="511">
        <v>6.606898237262441</v>
      </c>
      <c r="F204" s="510">
        <v>9.4042416739745676</v>
      </c>
      <c r="G204" s="511">
        <v>44.416957438828028</v>
      </c>
      <c r="H204" s="534">
        <v>10.864284144713539</v>
      </c>
      <c r="I204" s="535">
        <v>10.392567154880981</v>
      </c>
      <c r="J204" s="522">
        <v>9.8232031356452421</v>
      </c>
      <c r="K204" s="535">
        <v>5.7345613660071528</v>
      </c>
      <c r="L204" s="534">
        <v>10.619033996241425</v>
      </c>
      <c r="M204" s="535">
        <v>3.5174226185661799</v>
      </c>
      <c r="N204" s="534">
        <v>7.6346682690057452</v>
      </c>
      <c r="O204" s="535">
        <v>13.663660420043223</v>
      </c>
      <c r="P204" s="510">
        <v>9.8232031356452421</v>
      </c>
      <c r="Q204" s="511">
        <v>5.7345613660071528</v>
      </c>
      <c r="R204" s="560">
        <v>10.707384621770327</v>
      </c>
      <c r="S204" s="511">
        <v>7.0149635130961334</v>
      </c>
      <c r="T204" s="512">
        <v>0</v>
      </c>
      <c r="U204" s="512">
        <v>0</v>
      </c>
      <c r="V204" s="510">
        <v>2.6722136459963264</v>
      </c>
      <c r="W204" s="511">
        <v>133.56753828311165</v>
      </c>
      <c r="X204" s="510">
        <v>2.5787345196586986</v>
      </c>
      <c r="Y204" s="511">
        <v>98.47786719027178</v>
      </c>
      <c r="Z204" s="510">
        <v>2.6722136459963264</v>
      </c>
      <c r="AA204" s="511">
        <v>133.56753828311165</v>
      </c>
      <c r="AB204" s="510">
        <v>3.0662638715508383</v>
      </c>
      <c r="AC204" s="511">
        <v>93.435307906224779</v>
      </c>
      <c r="AD204" s="510">
        <v>2.9590001172987583</v>
      </c>
      <c r="AE204" s="511">
        <v>39.955059724713628</v>
      </c>
      <c r="AF204" s="510">
        <v>3.0662638715508383</v>
      </c>
      <c r="AG204" s="511">
        <v>93.435307906224779</v>
      </c>
      <c r="AH204" s="510">
        <v>8.5311159926393394</v>
      </c>
      <c r="AI204" s="511">
        <v>198.45006073775855</v>
      </c>
      <c r="AJ204" s="552">
        <v>7.4588992285371258</v>
      </c>
      <c r="AK204" s="553">
        <v>112.45246592917843</v>
      </c>
      <c r="AL204" s="510">
        <v>8.5311159926393394</v>
      </c>
      <c r="AM204" s="511">
        <v>198.45006073775855</v>
      </c>
      <c r="AN204" s="510">
        <v>5.8211612477933308</v>
      </c>
      <c r="AO204" s="511">
        <v>162.77696706941467</v>
      </c>
      <c r="AP204" s="552">
        <v>5.0895398887810543</v>
      </c>
      <c r="AQ204" s="553">
        <v>81.262875836637306</v>
      </c>
      <c r="AR204" s="510">
        <v>5.8211612477933308</v>
      </c>
      <c r="AS204" s="511">
        <v>162.77696706941467</v>
      </c>
      <c r="AT204" s="510">
        <v>7.6346682690057452</v>
      </c>
      <c r="AU204" s="511">
        <v>186.55902951497728</v>
      </c>
      <c r="AV204" s="552">
        <v>6.6751197980378096</v>
      </c>
      <c r="AW204" s="553">
        <v>104.80167941044361</v>
      </c>
      <c r="AX204" s="510">
        <v>7.6346682690057452</v>
      </c>
      <c r="AY204" s="511">
        <v>186.55902951497728</v>
      </c>
      <c r="AZ204" s="510">
        <v>0.30863376990407121</v>
      </c>
      <c r="BA204" s="511">
        <v>115.21284217828946</v>
      </c>
      <c r="BB204" s="510">
        <v>0.29783717240441127</v>
      </c>
      <c r="BC204" s="511">
        <v>78.970264701752399</v>
      </c>
      <c r="BD204" s="510">
        <v>0.30863376990407121</v>
      </c>
      <c r="BE204" s="511">
        <v>115.21284217828946</v>
      </c>
      <c r="BF204" s="510">
        <v>16.686626981980766</v>
      </c>
      <c r="BG204" s="511">
        <v>1.7757533299655179</v>
      </c>
      <c r="BH204" s="510">
        <v>19.362961956465838</v>
      </c>
      <c r="BI204" s="511">
        <v>-103.44274740529082</v>
      </c>
      <c r="BJ204" s="510">
        <v>10.028480410260002</v>
      </c>
      <c r="BK204" s="511">
        <v>-3.9411077324027066</v>
      </c>
      <c r="BL204" s="510">
        <v>12.068483330568219</v>
      </c>
      <c r="BM204" s="511">
        <v>-7.5742653030569205</v>
      </c>
      <c r="BN204" s="510">
        <v>16.686626981980766</v>
      </c>
      <c r="BO204" s="511">
        <v>1.7757533299655179</v>
      </c>
      <c r="BP204" s="510">
        <v>17.099413063992927</v>
      </c>
      <c r="BQ204" s="511">
        <v>64.310332862319399</v>
      </c>
      <c r="BR204" s="554">
        <v>159.51622511145104</v>
      </c>
      <c r="BS204" s="510">
        <v>10.864284144713539</v>
      </c>
      <c r="BT204" s="511">
        <v>10.392567154880981</v>
      </c>
      <c r="BU204" s="510">
        <v>10.864284144713539</v>
      </c>
      <c r="BV204" s="511">
        <v>10.384142586396331</v>
      </c>
      <c r="BW204" s="510">
        <v>9.7840191896837201</v>
      </c>
      <c r="BX204" s="511">
        <v>7.1813300992814071</v>
      </c>
      <c r="BY204" s="510">
        <v>0.11997259287236713</v>
      </c>
      <c r="BZ204" s="511">
        <v>8.8451439957624708E-2</v>
      </c>
      <c r="CA204" s="534">
        <v>17.099413063992927</v>
      </c>
      <c r="CB204" s="511">
        <v>71.916455652865395</v>
      </c>
      <c r="CC204" s="554">
        <v>1.4376064395631613E-2</v>
      </c>
      <c r="CD204" s="554">
        <v>51.005463778969485</v>
      </c>
      <c r="CE204" s="564">
        <v>5.0170320045200445E-2</v>
      </c>
      <c r="CF204" s="554">
        <v>7.0275669068535759E-2</v>
      </c>
    </row>
    <row r="205" spans="1:84" x14ac:dyDescent="0.25">
      <c r="A205" s="51" t="s">
        <v>799</v>
      </c>
      <c r="B205" s="510">
        <v>0.46537772004421557</v>
      </c>
      <c r="C205" s="511">
        <v>0.22784121425130835</v>
      </c>
      <c r="D205" s="512">
        <v>0.4717011424351733</v>
      </c>
      <c r="E205" s="511">
        <v>0.22395098858617288</v>
      </c>
      <c r="F205" s="510">
        <v>0.40402732009939035</v>
      </c>
      <c r="G205" s="511">
        <v>0.34091094059264437</v>
      </c>
      <c r="H205" s="534">
        <v>0.46464920619400191</v>
      </c>
      <c r="I205" s="535">
        <v>0.23582204394175113</v>
      </c>
      <c r="J205" s="522">
        <v>0.57835014179858224</v>
      </c>
      <c r="K205" s="535">
        <v>0.18544484765565158</v>
      </c>
      <c r="L205" s="534">
        <v>0.45411628458376224</v>
      </c>
      <c r="M205" s="535">
        <v>0.201334108752451</v>
      </c>
      <c r="N205" s="534">
        <v>0.91999324913933678</v>
      </c>
      <c r="O205" s="535">
        <v>0.15946500295374422</v>
      </c>
      <c r="P205" s="510">
        <v>0.57835014179858224</v>
      </c>
      <c r="Q205" s="511">
        <v>0.18544484765565158</v>
      </c>
      <c r="R205" s="560">
        <v>0.45543949165489211</v>
      </c>
      <c r="S205" s="511">
        <v>0.21082277725073117</v>
      </c>
      <c r="T205" s="512">
        <v>0</v>
      </c>
      <c r="U205" s="512">
        <v>0</v>
      </c>
      <c r="V205" s="510">
        <v>0.69602190114553564</v>
      </c>
      <c r="W205" s="511">
        <v>0.32061272464930679</v>
      </c>
      <c r="X205" s="510">
        <v>0.67167372848785101</v>
      </c>
      <c r="Y205" s="511">
        <v>0.33680085366700246</v>
      </c>
      <c r="Z205" s="510">
        <v>0.69602190114553564</v>
      </c>
      <c r="AA205" s="511">
        <v>0.32061272464930679</v>
      </c>
      <c r="AB205" s="510">
        <v>1.0059012477131632</v>
      </c>
      <c r="AC205" s="511">
        <v>0.32707543283497725</v>
      </c>
      <c r="AD205" s="510">
        <v>0.97071290491016959</v>
      </c>
      <c r="AE205" s="511">
        <v>0.34622509506361077</v>
      </c>
      <c r="AF205" s="510">
        <v>1.0059012477131632</v>
      </c>
      <c r="AG205" s="511">
        <v>0.32707543283497725</v>
      </c>
      <c r="AH205" s="510">
        <v>0.3068661759533694</v>
      </c>
      <c r="AI205" s="511">
        <v>0.31539277673548172</v>
      </c>
      <c r="AJ205" s="552">
        <v>0.26829829591551424</v>
      </c>
      <c r="AK205" s="553">
        <v>0.14548781857513121</v>
      </c>
      <c r="AL205" s="510">
        <v>0.3068661759533694</v>
      </c>
      <c r="AM205" s="511">
        <v>0.31539277673548172</v>
      </c>
      <c r="AN205" s="510">
        <v>0.24015928096097522</v>
      </c>
      <c r="AO205" s="511">
        <v>0.32387088564394995</v>
      </c>
      <c r="AP205" s="552">
        <v>0.20997532761615317</v>
      </c>
      <c r="AQ205" s="553">
        <v>0.1529003728120433</v>
      </c>
      <c r="AR205" s="510">
        <v>0.24015928096097522</v>
      </c>
      <c r="AS205" s="511">
        <v>0.32387088564394995</v>
      </c>
      <c r="AT205" s="510">
        <v>0.91999324913933678</v>
      </c>
      <c r="AU205" s="511">
        <v>0.31743221483787959</v>
      </c>
      <c r="AV205" s="552">
        <v>0.80436568230761685</v>
      </c>
      <c r="AW205" s="553">
        <v>0.15860828833619697</v>
      </c>
      <c r="AX205" s="510">
        <v>0.91999324913933678</v>
      </c>
      <c r="AY205" s="511">
        <v>0.31743221483787959</v>
      </c>
      <c r="AZ205" s="510">
        <v>0.50644116455169119</v>
      </c>
      <c r="BA205" s="511">
        <v>0.34019712231396759</v>
      </c>
      <c r="BB205" s="510">
        <v>0.48872488738402042</v>
      </c>
      <c r="BC205" s="511">
        <v>0.36100954472193381</v>
      </c>
      <c r="BD205" s="510">
        <v>0.50644116455169119</v>
      </c>
      <c r="BE205" s="511">
        <v>0.34019712231396759</v>
      </c>
      <c r="BF205" s="510">
        <v>0.87764881448638599</v>
      </c>
      <c r="BG205" s="511">
        <v>-0.10262199188488666</v>
      </c>
      <c r="BH205" s="510">
        <v>1.3833574653356018</v>
      </c>
      <c r="BI205" s="511">
        <v>8.2862634031369673</v>
      </c>
      <c r="BJ205" s="510">
        <v>0.71646958108454251</v>
      </c>
      <c r="BK205" s="511">
        <v>1.9938780536098821</v>
      </c>
      <c r="BL205" s="510">
        <v>0.53362491714639315</v>
      </c>
      <c r="BM205" s="511">
        <v>3.3918940918910203</v>
      </c>
      <c r="BN205" s="510">
        <v>0.87764881448638599</v>
      </c>
      <c r="BO205" s="511">
        <v>-0.10262199188488666</v>
      </c>
      <c r="BP205" s="510">
        <v>9.9046368912394005</v>
      </c>
      <c r="BQ205" s="511">
        <v>8.2642518472788531</v>
      </c>
      <c r="BR205" s="554">
        <v>-0.56252665398073054</v>
      </c>
      <c r="BS205" s="510">
        <v>0.46464920619400191</v>
      </c>
      <c r="BT205" s="511">
        <v>0.23582204394175113</v>
      </c>
      <c r="BU205" s="510">
        <v>0.46464920619400191</v>
      </c>
      <c r="BV205" s="511">
        <v>0.23549854141207693</v>
      </c>
      <c r="BW205" s="510">
        <v>0.41017493471349359</v>
      </c>
      <c r="BX205" s="511">
        <v>0.32538817341002291</v>
      </c>
      <c r="BY205" s="510">
        <v>5.0296048581669316E-3</v>
      </c>
      <c r="BZ205" s="511">
        <v>4.0221135099875616E-3</v>
      </c>
      <c r="CA205" s="534">
        <v>9.9046368912394005</v>
      </c>
      <c r="CB205" s="511">
        <v>8.39298374347287</v>
      </c>
      <c r="CC205" s="554">
        <v>9.1094169380156553E-5</v>
      </c>
      <c r="CD205" s="554">
        <v>16.158383029449364</v>
      </c>
      <c r="CE205" s="564">
        <v>7.6801396771646489E-3</v>
      </c>
      <c r="CF205" s="554">
        <v>8.3327794369325286E-3</v>
      </c>
    </row>
    <row r="206" spans="1:84" x14ac:dyDescent="0.25">
      <c r="A206" s="51" t="s">
        <v>800</v>
      </c>
      <c r="B206" s="510">
        <v>0.38500378819123504</v>
      </c>
      <c r="C206" s="511">
        <v>0.64260452706868487</v>
      </c>
      <c r="D206" s="512">
        <v>0.39081637510017531</v>
      </c>
      <c r="E206" s="511">
        <v>0.63232792669414228</v>
      </c>
      <c r="F206" s="510">
        <v>0.33070311405983799</v>
      </c>
      <c r="G206" s="511">
        <v>0.88540814557830383</v>
      </c>
      <c r="H206" s="534">
        <v>0.38454348258523929</v>
      </c>
      <c r="I206" s="535">
        <v>0.65809839559941286</v>
      </c>
      <c r="J206" s="522">
        <v>0.38694516991292349</v>
      </c>
      <c r="K206" s="535">
        <v>0.45257036320996957</v>
      </c>
      <c r="L206" s="534">
        <v>0.37725486407967196</v>
      </c>
      <c r="M206" s="535">
        <v>0.53356699113501393</v>
      </c>
      <c r="N206" s="534">
        <v>0.41359351095436564</v>
      </c>
      <c r="O206" s="535">
        <v>0.27803955690762017</v>
      </c>
      <c r="P206" s="510">
        <v>0.38694516991292349</v>
      </c>
      <c r="Q206" s="511">
        <v>0.45257036320996957</v>
      </c>
      <c r="R206" s="560">
        <v>0.38062007508556284</v>
      </c>
      <c r="S206" s="511">
        <v>0.60334607803917384</v>
      </c>
      <c r="T206" s="512">
        <v>0</v>
      </c>
      <c r="U206" s="512">
        <v>0</v>
      </c>
      <c r="V206" s="510">
        <v>0.2477990257386187</v>
      </c>
      <c r="W206" s="511">
        <v>0.5734053788225113</v>
      </c>
      <c r="X206" s="510">
        <v>0.23913054353545829</v>
      </c>
      <c r="Y206" s="511">
        <v>0.77486524972003623</v>
      </c>
      <c r="Z206" s="510">
        <v>0.2477990257386187</v>
      </c>
      <c r="AA206" s="511">
        <v>0.5734053788225113</v>
      </c>
      <c r="AB206" s="510">
        <v>0.35013485553686918</v>
      </c>
      <c r="AC206" s="511">
        <v>0.58867235613068913</v>
      </c>
      <c r="AD206" s="510">
        <v>0.33788647096440932</v>
      </c>
      <c r="AE206" s="511">
        <v>0.79712831272941487</v>
      </c>
      <c r="AF206" s="510">
        <v>0.35013485553686918</v>
      </c>
      <c r="AG206" s="511">
        <v>0.58867235613068913</v>
      </c>
      <c r="AH206" s="510">
        <v>0.26060379644171161</v>
      </c>
      <c r="AI206" s="511">
        <v>0.54127817214359819</v>
      </c>
      <c r="AJ206" s="552">
        <v>0.22785031382881896</v>
      </c>
      <c r="AK206" s="553">
        <v>0.34828105635317597</v>
      </c>
      <c r="AL206" s="510">
        <v>0.26060379644171161</v>
      </c>
      <c r="AM206" s="511">
        <v>0.54127817214359819</v>
      </c>
      <c r="AN206" s="510">
        <v>0.19819432962355552</v>
      </c>
      <c r="AO206" s="511">
        <v>0.56130616855055937</v>
      </c>
      <c r="AP206" s="552">
        <v>0.17328465978015783</v>
      </c>
      <c r="AQ206" s="553">
        <v>0.3657918728838524</v>
      </c>
      <c r="AR206" s="510">
        <v>0.19819432962355552</v>
      </c>
      <c r="AS206" s="511">
        <v>0.56130616855055937</v>
      </c>
      <c r="AT206" s="510">
        <v>0.41359351095436564</v>
      </c>
      <c r="AU206" s="511">
        <v>0.54609597519708875</v>
      </c>
      <c r="AV206" s="552">
        <v>0.36161181285627597</v>
      </c>
      <c r="AW206" s="553">
        <v>0.40862954461615797</v>
      </c>
      <c r="AX206" s="510">
        <v>0.41359351095436564</v>
      </c>
      <c r="AY206" s="511">
        <v>0.54609597519708875</v>
      </c>
      <c r="AZ206" s="510">
        <v>0.15513890906196823</v>
      </c>
      <c r="BA206" s="511">
        <v>0.59987394503190539</v>
      </c>
      <c r="BB206" s="510">
        <v>0.14971185434206824</v>
      </c>
      <c r="BC206" s="511">
        <v>0.83205389670487406</v>
      </c>
      <c r="BD206" s="510">
        <v>0.15513890906196823</v>
      </c>
      <c r="BE206" s="511">
        <v>0.59987394503190539</v>
      </c>
      <c r="BF206" s="510">
        <v>0.68151580712437621</v>
      </c>
      <c r="BG206" s="511">
        <v>0.26439357077379411</v>
      </c>
      <c r="BH206" s="510">
        <v>1.0254044554999262</v>
      </c>
      <c r="BI206" s="511">
        <v>19.540538420773515</v>
      </c>
      <c r="BJ206" s="510">
        <v>0.53107827809063413</v>
      </c>
      <c r="BK206" s="511">
        <v>4.9456319772053954</v>
      </c>
      <c r="BL206" s="510">
        <v>0.46827932330355282</v>
      </c>
      <c r="BM206" s="511">
        <v>7.908055638189146</v>
      </c>
      <c r="BN206" s="510">
        <v>0.68151580712437621</v>
      </c>
      <c r="BO206" s="511">
        <v>0.26439357077379411</v>
      </c>
      <c r="BP206" s="510">
        <v>21.775335386396602</v>
      </c>
      <c r="BQ206" s="511">
        <v>19.792766573998239</v>
      </c>
      <c r="BR206" s="554">
        <v>-1.1963232204398173</v>
      </c>
      <c r="BS206" s="510">
        <v>0.38454348258523929</v>
      </c>
      <c r="BT206" s="511">
        <v>0.65809839559941286</v>
      </c>
      <c r="BU206" s="510">
        <v>0.38454348258523929</v>
      </c>
      <c r="BV206" s="511">
        <v>0.65752101120878892</v>
      </c>
      <c r="BW206" s="510">
        <v>0.3474566499047127</v>
      </c>
      <c r="BX206" s="511">
        <v>0.86369655340815377</v>
      </c>
      <c r="BY206" s="510">
        <v>4.2605471628436396E-3</v>
      </c>
      <c r="BZ206" s="511">
        <v>1.0709046251732557E-2</v>
      </c>
      <c r="CA206" s="534">
        <v>21.775335386396602</v>
      </c>
      <c r="CB206" s="511">
        <v>20.131892771069126</v>
      </c>
      <c r="CC206" s="554">
        <v>4.6821409054394983E-4</v>
      </c>
      <c r="CD206" s="554">
        <v>11.79735120042684</v>
      </c>
      <c r="CE206" s="564">
        <v>3.0275841245043815E-3</v>
      </c>
      <c r="CF206" s="554">
        <v>6.05315698127627E-3</v>
      </c>
    </row>
    <row r="207" spans="1:84" x14ac:dyDescent="0.25">
      <c r="A207" s="51" t="s">
        <v>6</v>
      </c>
      <c r="B207" s="510">
        <v>15.75832145440395</v>
      </c>
      <c r="C207" s="511">
        <v>75.911818143367924</v>
      </c>
      <c r="D207" s="512">
        <v>16.173650274067551</v>
      </c>
      <c r="E207" s="511">
        <v>74.601204487980439</v>
      </c>
      <c r="F207" s="510">
        <v>13.473639624668102</v>
      </c>
      <c r="G207" s="511">
        <v>126.38458299699879</v>
      </c>
      <c r="H207" s="534">
        <v>15.884959412242745</v>
      </c>
      <c r="I207" s="535">
        <v>79.838519953374714</v>
      </c>
      <c r="J207" s="522">
        <v>15.154561760970747</v>
      </c>
      <c r="K207" s="535">
        <v>48.382400830947176</v>
      </c>
      <c r="L207" s="534">
        <v>15.3569127142566</v>
      </c>
      <c r="M207" s="535">
        <v>62.525821463169891</v>
      </c>
      <c r="N207" s="534">
        <v>14.598096639434649</v>
      </c>
      <c r="O207" s="535">
        <v>17.409167960607601</v>
      </c>
      <c r="P207" s="510">
        <v>15.154561760970747</v>
      </c>
      <c r="Q207" s="511">
        <v>48.382400830947176</v>
      </c>
      <c r="R207" s="560">
        <v>16.210488047915181</v>
      </c>
      <c r="S207" s="511">
        <v>70.608819923631088</v>
      </c>
      <c r="T207" s="512">
        <v>0</v>
      </c>
      <c r="U207" s="512">
        <v>0</v>
      </c>
      <c r="V207" s="510">
        <v>8.4202584209319138</v>
      </c>
      <c r="W207" s="511">
        <v>8.4229203274120206</v>
      </c>
      <c r="X207" s="510">
        <v>8.1257017331067924</v>
      </c>
      <c r="Y207" s="511">
        <v>19.908134180079724</v>
      </c>
      <c r="Z207" s="510">
        <v>8.4202584209319138</v>
      </c>
      <c r="AA207" s="511">
        <v>8.4229203274120206</v>
      </c>
      <c r="AB207" s="510">
        <v>11.020236371842341</v>
      </c>
      <c r="AC207" s="511">
        <v>8.8105978385219004</v>
      </c>
      <c r="AD207" s="510">
        <v>10.634727499968482</v>
      </c>
      <c r="AE207" s="511">
        <v>20.473464741783982</v>
      </c>
      <c r="AF207" s="510">
        <v>11.020236371842341</v>
      </c>
      <c r="AG207" s="511">
        <v>8.8105978385219004</v>
      </c>
      <c r="AH207" s="510">
        <v>12.824209105033351</v>
      </c>
      <c r="AI207" s="511">
        <v>10.499288866923944</v>
      </c>
      <c r="AJ207" s="552">
        <v>11.212423261231345</v>
      </c>
      <c r="AK207" s="553">
        <v>2.9110811891598054</v>
      </c>
      <c r="AL207" s="510">
        <v>12.824209105033351</v>
      </c>
      <c r="AM207" s="511">
        <v>10.499288866923944</v>
      </c>
      <c r="AN207" s="510">
        <v>10.708074569023573</v>
      </c>
      <c r="AO207" s="511">
        <v>11.0779361422099</v>
      </c>
      <c r="AP207" s="552">
        <v>9.3622509893102279</v>
      </c>
      <c r="AQ207" s="553">
        <v>3.4170023041639217</v>
      </c>
      <c r="AR207" s="510">
        <v>10.708074569023573</v>
      </c>
      <c r="AS207" s="511">
        <v>11.0779361422099</v>
      </c>
      <c r="AT207" s="510">
        <v>14.598096639434649</v>
      </c>
      <c r="AU207" s="511">
        <v>10.67320631614397</v>
      </c>
      <c r="AV207" s="552">
        <v>12.763363182019365</v>
      </c>
      <c r="AW207" s="553">
        <v>9.6040494138196433</v>
      </c>
      <c r="AX207" s="510">
        <v>14.598096639434649</v>
      </c>
      <c r="AY207" s="511">
        <v>10.67320631614397</v>
      </c>
      <c r="AZ207" s="510">
        <v>6.4837251813019101</v>
      </c>
      <c r="BA207" s="511">
        <v>12.336736415932542</v>
      </c>
      <c r="BB207" s="510">
        <v>6.2569121170585387</v>
      </c>
      <c r="BC207" s="511">
        <v>21.915959233186971</v>
      </c>
      <c r="BD207" s="510">
        <v>6.4837251813019101</v>
      </c>
      <c r="BE207" s="511">
        <v>12.336736415932542</v>
      </c>
      <c r="BF207" s="510">
        <v>30.020442542252592</v>
      </c>
      <c r="BG207" s="511">
        <v>47.003262741699132</v>
      </c>
      <c r="BH207" s="510">
        <v>57.213190721125329</v>
      </c>
      <c r="BI207" s="511">
        <v>-199.37258604361452</v>
      </c>
      <c r="BJ207" s="510">
        <v>29.631900514253687</v>
      </c>
      <c r="BK207" s="511">
        <v>-3.3047959226326924</v>
      </c>
      <c r="BL207" s="510">
        <v>27.177991675321014</v>
      </c>
      <c r="BM207" s="511">
        <v>-18.566644509047819</v>
      </c>
      <c r="BN207" s="510">
        <v>30.020442542252592</v>
      </c>
      <c r="BO207" s="511">
        <v>47.003262741699132</v>
      </c>
      <c r="BP207" s="510">
        <v>104.00571351103652</v>
      </c>
      <c r="BQ207" s="511">
        <v>43.027973790400473</v>
      </c>
      <c r="BR207" s="554">
        <v>-1544.0010752340372</v>
      </c>
      <c r="BS207" s="510">
        <v>15.884959412242745</v>
      </c>
      <c r="BT207" s="511">
        <v>79.838519953374714</v>
      </c>
      <c r="BU207" s="510">
        <v>15.884959412242745</v>
      </c>
      <c r="BV207" s="511">
        <v>79.663154560984324</v>
      </c>
      <c r="BW207" s="510">
        <v>16.700491912134215</v>
      </c>
      <c r="BX207" s="511">
        <v>104.75453541429897</v>
      </c>
      <c r="BY207" s="510">
        <v>0.20478305265951821</v>
      </c>
      <c r="BZ207" s="511">
        <v>1.2870798054259549</v>
      </c>
      <c r="CA207" s="534">
        <v>104.00571351103652</v>
      </c>
      <c r="CB207" s="511">
        <v>40.265025266035529</v>
      </c>
      <c r="CC207" s="554">
        <v>5.3013557133688945E-2</v>
      </c>
      <c r="CD207" s="554">
        <v>291.73773253501412</v>
      </c>
      <c r="CE207" s="564">
        <v>6.0690491816510331E-2</v>
      </c>
      <c r="CF207" s="554">
        <v>0.17783017976468887</v>
      </c>
    </row>
    <row r="208" spans="1:84" x14ac:dyDescent="0.25">
      <c r="A208" s="51" t="s">
        <v>3</v>
      </c>
      <c r="B208" s="510">
        <v>37.966765413803579</v>
      </c>
      <c r="C208" s="511">
        <v>0.76627456533112404</v>
      </c>
      <c r="D208" s="512">
        <v>38.423565668803569</v>
      </c>
      <c r="E208" s="511">
        <v>0.75369638856394894</v>
      </c>
      <c r="F208" s="510">
        <v>33.003288582679133</v>
      </c>
      <c r="G208" s="511">
        <v>1.151499838868008</v>
      </c>
      <c r="H208" s="534">
        <v>37.860981948716123</v>
      </c>
      <c r="I208" s="535">
        <v>0.79404275154887771</v>
      </c>
      <c r="J208" s="522">
        <v>24.039604310227244</v>
      </c>
      <c r="K208" s="535">
        <v>2.4362099820499767</v>
      </c>
      <c r="L208" s="534">
        <v>37.064518982448895</v>
      </c>
      <c r="M208" s="535">
        <v>0.63959081505656978</v>
      </c>
      <c r="N208" s="534">
        <v>-11.778911038382304</v>
      </c>
      <c r="O208" s="535">
        <v>7.4382631619502657</v>
      </c>
      <c r="P208" s="510">
        <v>24.039604310227244</v>
      </c>
      <c r="Q208" s="511">
        <v>2.4362099820499767</v>
      </c>
      <c r="R208" s="560">
        <v>36.934559294343742</v>
      </c>
      <c r="S208" s="511">
        <v>0.77799862654838525</v>
      </c>
      <c r="T208" s="512">
        <v>0</v>
      </c>
      <c r="U208" s="512">
        <v>0</v>
      </c>
      <c r="V208" s="510">
        <v>5.7197379608033154</v>
      </c>
      <c r="W208" s="511">
        <v>11.638902276028354</v>
      </c>
      <c r="X208" s="510">
        <v>5.5196506256244291</v>
      </c>
      <c r="Y208" s="511">
        <v>10.189995615865699</v>
      </c>
      <c r="Z208" s="510">
        <v>5.7197379608033154</v>
      </c>
      <c r="AA208" s="511">
        <v>11.638902276028354</v>
      </c>
      <c r="AB208" s="510">
        <v>7.7109289766002123</v>
      </c>
      <c r="AC208" s="511">
        <v>11.878896858932361</v>
      </c>
      <c r="AD208" s="510">
        <v>7.4411859846564168</v>
      </c>
      <c r="AE208" s="511">
        <v>10.539967611844204</v>
      </c>
      <c r="AF208" s="510">
        <v>7.7109289766002123</v>
      </c>
      <c r="AG208" s="511">
        <v>11.878896858932361</v>
      </c>
      <c r="AH208" s="510">
        <v>21.783186938994366</v>
      </c>
      <c r="AI208" s="511">
        <v>13.06601032914795</v>
      </c>
      <c r="AJ208" s="552">
        <v>19.045409345568846</v>
      </c>
      <c r="AK208" s="553">
        <v>5.0152916786088388</v>
      </c>
      <c r="AL208" s="510">
        <v>21.783186938994366</v>
      </c>
      <c r="AM208" s="511">
        <v>13.06601032914795</v>
      </c>
      <c r="AN208" s="510">
        <v>21.432667662395065</v>
      </c>
      <c r="AO208" s="511">
        <v>13.424226133524165</v>
      </c>
      <c r="AP208" s="552">
        <v>18.738944404279838</v>
      </c>
      <c r="AQ208" s="553">
        <v>5.3284858245115396</v>
      </c>
      <c r="AR208" s="510">
        <v>21.432667662395065</v>
      </c>
      <c r="AS208" s="511">
        <v>13.424226133524165</v>
      </c>
      <c r="AT208" s="510">
        <v>-11.778911038382303</v>
      </c>
      <c r="AU208" s="511">
        <v>13.173675191021919</v>
      </c>
      <c r="AV208" s="552">
        <v>-10.298501454323326</v>
      </c>
      <c r="AW208" s="553">
        <v>5.2095389265682934</v>
      </c>
      <c r="AX208" s="510">
        <v>-11.778911038382303</v>
      </c>
      <c r="AY208" s="511">
        <v>13.173675191021919</v>
      </c>
      <c r="AZ208" s="510">
        <v>6.203376719694751E-2</v>
      </c>
      <c r="BA208" s="511">
        <v>14.203495598463256</v>
      </c>
      <c r="BB208" s="510">
        <v>5.9863707789575386E-2</v>
      </c>
      <c r="BC208" s="511">
        <v>11.432954318280906</v>
      </c>
      <c r="BD208" s="510">
        <v>6.203376719694751E-2</v>
      </c>
      <c r="BE208" s="511">
        <v>14.203495598463256</v>
      </c>
      <c r="BF208" s="510">
        <v>65.030667026915424</v>
      </c>
      <c r="BG208" s="511">
        <v>-20.523974477722632</v>
      </c>
      <c r="BH208" s="510">
        <v>46.504615728052499</v>
      </c>
      <c r="BI208" s="511">
        <v>-6.7039478393726988</v>
      </c>
      <c r="BJ208" s="510">
        <v>24.085706973137412</v>
      </c>
      <c r="BK208" s="511">
        <v>-6.8631987816122439</v>
      </c>
      <c r="BL208" s="510">
        <v>26.930318552363815</v>
      </c>
      <c r="BM208" s="511">
        <v>10.107275760817696</v>
      </c>
      <c r="BN208" s="510">
        <v>65.030667026915424</v>
      </c>
      <c r="BO208" s="511">
        <v>-20.523974477722632</v>
      </c>
      <c r="BP208" s="510">
        <v>40.045550412119233</v>
      </c>
      <c r="BQ208" s="511">
        <v>5.020284067558376</v>
      </c>
      <c r="BR208" s="554">
        <v>-5.1331108088242612</v>
      </c>
      <c r="BS208" s="510">
        <v>37.860981948716123</v>
      </c>
      <c r="BT208" s="511">
        <v>0.79404275154887771</v>
      </c>
      <c r="BU208" s="510">
        <v>37.860981948716123</v>
      </c>
      <c r="BV208" s="511">
        <v>0.79347276213922302</v>
      </c>
      <c r="BW208" s="510">
        <v>32.637652000422278</v>
      </c>
      <c r="BX208" s="511">
        <v>0.98001224644271212</v>
      </c>
      <c r="BY208" s="510">
        <v>0.40020605641138746</v>
      </c>
      <c r="BZ208" s="511">
        <v>1.2056571206641655E-2</v>
      </c>
      <c r="CA208" s="534">
        <v>40.045550412119233</v>
      </c>
      <c r="CB208" s="511">
        <v>5.0210596538827801</v>
      </c>
      <c r="CC208" s="554">
        <v>4.8314235403288086E-4</v>
      </c>
      <c r="CD208" s="554">
        <v>280.65463308417884</v>
      </c>
      <c r="CE208" s="564">
        <v>8.9738088123262588E-2</v>
      </c>
      <c r="CF208" s="554">
        <v>9.1235565037333946E-2</v>
      </c>
    </row>
    <row r="209" spans="1:86" x14ac:dyDescent="0.25">
      <c r="A209" s="51" t="s">
        <v>2</v>
      </c>
      <c r="B209" s="529">
        <v>15701.965300394668</v>
      </c>
      <c r="C209" s="515">
        <v>25904.490693745563</v>
      </c>
      <c r="D209" s="529">
        <v>15857.805116613989</v>
      </c>
      <c r="E209" s="530">
        <v>25476.319629033602</v>
      </c>
      <c r="F209" s="529">
        <v>16784.936342310917</v>
      </c>
      <c r="G209" s="530">
        <v>49845.012778465374</v>
      </c>
      <c r="H209" s="529">
        <v>15943.505447453814</v>
      </c>
      <c r="I209" s="530">
        <v>27932.456641888821</v>
      </c>
      <c r="J209" s="531">
        <v>13404.073541947049</v>
      </c>
      <c r="K209" s="530">
        <v>15986.631870047642</v>
      </c>
      <c r="L209" s="529">
        <v>15470.331490441209</v>
      </c>
      <c r="M209" s="530">
        <v>20115.730864006346</v>
      </c>
      <c r="N209" s="529">
        <v>7721.8641835881162</v>
      </c>
      <c r="O209" s="530">
        <v>8091.3432677635101</v>
      </c>
      <c r="P209" s="529">
        <v>13404.073541947049</v>
      </c>
      <c r="Q209" s="530">
        <v>15986.631870047642</v>
      </c>
      <c r="R209" s="556">
        <v>16875.009157076052</v>
      </c>
      <c r="S209" s="557">
        <v>24419.698522974311</v>
      </c>
      <c r="T209" s="516">
        <v>0</v>
      </c>
      <c r="U209" s="516">
        <v>0</v>
      </c>
      <c r="V209" s="529">
        <v>5671.0730852081288</v>
      </c>
      <c r="W209" s="530">
        <v>-1017.3548642878744</v>
      </c>
      <c r="X209" s="529">
        <v>5472.6881401284709</v>
      </c>
      <c r="Y209" s="530">
        <v>2069.4411189126445</v>
      </c>
      <c r="Z209" s="529">
        <v>5671.0730852081288</v>
      </c>
      <c r="AA209" s="530">
        <v>-1017.3548642878744</v>
      </c>
      <c r="AB209" s="529">
        <v>8171.3058489662881</v>
      </c>
      <c r="AC209" s="530">
        <v>-1019.0581634483414</v>
      </c>
      <c r="AD209" s="529">
        <v>7885.4579965899047</v>
      </c>
      <c r="AE209" s="530">
        <v>2066.9572836538687</v>
      </c>
      <c r="AF209" s="529">
        <v>8171.3058489662881</v>
      </c>
      <c r="AG209" s="530">
        <v>-1019.0581634483414</v>
      </c>
      <c r="AH209" s="529">
        <v>10681.098122477159</v>
      </c>
      <c r="AI209" s="530">
        <v>408.35850447077235</v>
      </c>
      <c r="AJ209" s="558">
        <v>9886.8042986821329</v>
      </c>
      <c r="AK209" s="559">
        <v>-2149.3243752661747</v>
      </c>
      <c r="AL209" s="529">
        <v>10681.098122477159</v>
      </c>
      <c r="AM209" s="530">
        <v>408.35850447077235</v>
      </c>
      <c r="AN209" s="529">
        <v>-9960.5088101121291</v>
      </c>
      <c r="AO209" s="530">
        <v>405.93133149298751</v>
      </c>
      <c r="AP209" s="558">
        <v>-10599.937856521356</v>
      </c>
      <c r="AQ209" s="559">
        <v>-2151.446493716684</v>
      </c>
      <c r="AR209" s="529">
        <v>-9960.5088101121291</v>
      </c>
      <c r="AS209" s="530">
        <v>405.93133149298751</v>
      </c>
      <c r="AT209" s="529">
        <v>7721.8641835881144</v>
      </c>
      <c r="AU209" s="530">
        <v>407.67915457162951</v>
      </c>
      <c r="AV209" s="558">
        <v>6664.9092382551871</v>
      </c>
      <c r="AW209" s="559">
        <v>931.06813768935956</v>
      </c>
      <c r="AX209" s="529">
        <v>7721.8641835881144</v>
      </c>
      <c r="AY209" s="530">
        <v>407.67915457162951</v>
      </c>
      <c r="AZ209" s="529">
        <v>5302.4742368449879</v>
      </c>
      <c r="BA209" s="530">
        <v>400.85995733089612</v>
      </c>
      <c r="BB209" s="529">
        <v>5116.9835819975751</v>
      </c>
      <c r="BC209" s="530">
        <v>2061.5327617602397</v>
      </c>
      <c r="BD209" s="529">
        <v>5302.4742368449879</v>
      </c>
      <c r="BE209" s="530">
        <v>400.85995733089612</v>
      </c>
      <c r="BF209" s="529">
        <v>13329.541404884496</v>
      </c>
      <c r="BG209" s="530">
        <v>16891.336431071955</v>
      </c>
      <c r="BH209" s="529">
        <v>23171.564357920426</v>
      </c>
      <c r="BI209" s="530">
        <v>-125835.80833771368</v>
      </c>
      <c r="BJ209" s="529">
        <v>12001.034746695203</v>
      </c>
      <c r="BK209" s="530">
        <v>-6937.4400944543995</v>
      </c>
      <c r="BL209" s="529">
        <v>13551.037824065852</v>
      </c>
      <c r="BM209" s="530">
        <v>-18302.391230160058</v>
      </c>
      <c r="BN209" s="529">
        <v>13329.541404884496</v>
      </c>
      <c r="BO209" s="530">
        <v>16891.336431071955</v>
      </c>
      <c r="BP209" s="529">
        <v>9943.5655978646846</v>
      </c>
      <c r="BQ209" s="530">
        <v>6028.0186603581205</v>
      </c>
      <c r="BR209" s="527">
        <v>33663.687950962165</v>
      </c>
      <c r="BS209" s="529">
        <v>15943.505447453814</v>
      </c>
      <c r="BT209" s="530">
        <v>27932.456641888821</v>
      </c>
      <c r="BU209" s="529">
        <v>15943.505447453814</v>
      </c>
      <c r="BV209" s="515">
        <v>27788.567830997363</v>
      </c>
      <c r="BW209" s="529">
        <v>8291.7074370953342</v>
      </c>
      <c r="BX209" s="530">
        <v>34084.371751363804</v>
      </c>
      <c r="BY209" s="529">
        <v>101.67372132878806</v>
      </c>
      <c r="BZ209" s="530">
        <v>420.07800513972126</v>
      </c>
      <c r="CA209" s="529">
        <v>9943.5655978646846</v>
      </c>
      <c r="CB209" s="530">
        <v>3804.1235602929291</v>
      </c>
      <c r="CC209" s="527">
        <v>27.469656357302298</v>
      </c>
      <c r="CD209" s="527">
        <v>155040.08957308039</v>
      </c>
      <c r="CE209" s="564">
        <v>41.23132904973</v>
      </c>
      <c r="CF209" s="554">
        <v>114.65783985105378</v>
      </c>
    </row>
    <row r="210" spans="1:86" x14ac:dyDescent="0.25">
      <c r="A210" s="51" t="s">
        <v>1405</v>
      </c>
      <c r="B210" s="514">
        <v>15748.128242513727</v>
      </c>
      <c r="C210" s="515">
        <v>26111.633072232951</v>
      </c>
      <c r="D210" s="514">
        <v>15905.788067045836</v>
      </c>
      <c r="E210" s="515">
        <v>25682.60358837348</v>
      </c>
      <c r="F210" s="227">
        <v>16826.282225529758</v>
      </c>
      <c r="G210" s="515">
        <v>50080.31721879921</v>
      </c>
      <c r="H210" s="514">
        <v>15990.742790790284</v>
      </c>
      <c r="I210" s="515">
        <v>28141.681278189732</v>
      </c>
      <c r="J210" s="514">
        <v>13447.992452567119</v>
      </c>
      <c r="K210" s="515">
        <v>16179.445352936991</v>
      </c>
      <c r="L210" s="514">
        <v>15513.880852896278</v>
      </c>
      <c r="M210" s="515">
        <v>20315.650580267658</v>
      </c>
      <c r="N210" s="514">
        <v>7766.7993516619426</v>
      </c>
      <c r="O210" s="515">
        <v>8282.6061010843732</v>
      </c>
      <c r="P210" s="514">
        <v>13447.992452567119</v>
      </c>
      <c r="Q210" s="515">
        <v>16179.445352936991</v>
      </c>
      <c r="R210" s="514">
        <v>16923.539953672018</v>
      </c>
      <c r="S210" s="515">
        <v>24622.954422982937</v>
      </c>
      <c r="T210" s="514">
        <v>0</v>
      </c>
      <c r="U210" s="515">
        <v>0</v>
      </c>
      <c r="V210" s="514">
        <v>5704.1289747443961</v>
      </c>
      <c r="W210" s="515">
        <v>-666.32618573940829</v>
      </c>
      <c r="X210" s="514">
        <v>5504.5876716471848</v>
      </c>
      <c r="Y210" s="515">
        <v>2165.117081969106</v>
      </c>
      <c r="Z210" s="514">
        <v>5704.1289747443961</v>
      </c>
      <c r="AA210" s="515">
        <v>-666.32618573940829</v>
      </c>
      <c r="AB210" s="514">
        <v>8216.4691905302134</v>
      </c>
      <c r="AC210" s="515">
        <v>-667.3922988949862</v>
      </c>
      <c r="AD210" s="514">
        <v>7929.0414383886273</v>
      </c>
      <c r="AE210" s="515">
        <v>2163.5624229244027</v>
      </c>
      <c r="AF210" s="514">
        <v>8216.4691905302134</v>
      </c>
      <c r="AG210" s="515">
        <v>-667.3922988949862</v>
      </c>
      <c r="AH210" s="514">
        <v>10722.373189934528</v>
      </c>
      <c r="AI210" s="515">
        <v>761.94164124638291</v>
      </c>
      <c r="AJ210" s="565">
        <v>9922.8917893552425</v>
      </c>
      <c r="AK210" s="566">
        <v>-2073.9082953397083</v>
      </c>
      <c r="AL210" s="514">
        <v>10722.373189934528</v>
      </c>
      <c r="AM210" s="515">
        <v>761.94164124638291</v>
      </c>
      <c r="AN210" s="514">
        <v>-9926.8413841197143</v>
      </c>
      <c r="AO210" s="515">
        <v>760.35036123934674</v>
      </c>
      <c r="AP210" s="565">
        <v>-10570.501855653669</v>
      </c>
      <c r="AQ210" s="566">
        <v>-2075.2995784059567</v>
      </c>
      <c r="AR210" s="514">
        <v>-9926.8413841197143</v>
      </c>
      <c r="AS210" s="515">
        <v>760.35036123934674</v>
      </c>
      <c r="AT210" s="514">
        <v>7766.7993516619408</v>
      </c>
      <c r="AU210" s="515">
        <v>761.46336826102777</v>
      </c>
      <c r="AV210" s="565">
        <v>6704.1968168989697</v>
      </c>
      <c r="AW210" s="566">
        <v>1010.014911503744</v>
      </c>
      <c r="AX210" s="514">
        <v>7766.7993516619408</v>
      </c>
      <c r="AY210" s="515">
        <v>761.46336826102777</v>
      </c>
      <c r="AZ210" s="514">
        <v>5326.0908080659738</v>
      </c>
      <c r="BA210" s="515">
        <v>756.8886604865711</v>
      </c>
      <c r="BB210" s="514">
        <v>5139.7740005461737</v>
      </c>
      <c r="BC210" s="515">
        <v>2159.595563073005</v>
      </c>
      <c r="BD210" s="514">
        <v>5326.0908080659738</v>
      </c>
      <c r="BE210" s="515">
        <v>756.8886604865711</v>
      </c>
      <c r="BF210" s="514">
        <v>13442.978029520174</v>
      </c>
      <c r="BG210" s="515">
        <v>17027.718233127689</v>
      </c>
      <c r="BH210" s="514">
        <v>23371.189028738387</v>
      </c>
      <c r="BI210" s="515">
        <v>-124287.99365113908</v>
      </c>
      <c r="BJ210" s="514">
        <v>12104.424512434736</v>
      </c>
      <c r="BK210" s="515">
        <v>-6418.4006231215326</v>
      </c>
      <c r="BL210" s="514">
        <v>13642.094231892432</v>
      </c>
      <c r="BM210" s="515">
        <v>-17535.886162158658</v>
      </c>
      <c r="BN210" s="514">
        <v>13442.978029520174</v>
      </c>
      <c r="BO210" s="515">
        <v>17027.718233127689</v>
      </c>
      <c r="BP210" s="514">
        <v>13956.41714639231</v>
      </c>
      <c r="BQ210" s="515">
        <v>6236.1170726882519</v>
      </c>
      <c r="BR210" s="515">
        <v>34031.365594500901</v>
      </c>
      <c r="BS210" s="514">
        <v>15990.742790790284</v>
      </c>
      <c r="BT210" s="515">
        <v>28141.681278189732</v>
      </c>
      <c r="BU210" s="514">
        <v>15990.742790790284</v>
      </c>
      <c r="BV210" s="515">
        <v>27997.2194509193</v>
      </c>
      <c r="BW210" s="514">
        <v>8349.0604899103419</v>
      </c>
      <c r="BX210" s="515">
        <v>34283.639717768288</v>
      </c>
      <c r="BY210" s="514">
        <v>102.37699002869184</v>
      </c>
      <c r="BZ210" s="515">
        <v>421.9842519995596</v>
      </c>
      <c r="CA210" s="514">
        <v>13956.41714639231</v>
      </c>
      <c r="CB210" s="515">
        <v>4004.4070043327047</v>
      </c>
      <c r="CC210" s="567">
        <v>27.512865691156946</v>
      </c>
      <c r="CD210" s="567">
        <v>156149.61419291949</v>
      </c>
      <c r="CE210" s="568">
        <v>41.53432648553995</v>
      </c>
      <c r="CF210" s="567">
        <v>115.98577902921025</v>
      </c>
    </row>
    <row r="211" spans="1:86" x14ac:dyDescent="0.25">
      <c r="A211" s="220" t="s">
        <v>797</v>
      </c>
      <c r="B211" s="518">
        <v>26582.653179823341</v>
      </c>
      <c r="C211" s="519">
        <v>28582.998209240712</v>
      </c>
      <c r="D211" s="518">
        <v>26877.396272796424</v>
      </c>
      <c r="E211" s="519">
        <v>28111.478596193258</v>
      </c>
      <c r="F211" s="254">
        <v>26237.69446941627</v>
      </c>
      <c r="G211" s="519">
        <v>54160.937248120739</v>
      </c>
      <c r="H211" s="518">
        <v>26800.16265327462</v>
      </c>
      <c r="I211" s="519">
        <v>30737.642843973143</v>
      </c>
      <c r="J211" s="518">
        <v>20462.410369736084</v>
      </c>
      <c r="K211" s="519">
        <v>18286.32622279886</v>
      </c>
      <c r="L211" s="518">
        <v>26090.130533989672</v>
      </c>
      <c r="M211" s="519">
        <v>22353.528352380563</v>
      </c>
      <c r="N211" s="518">
        <v>4986.1799180387261</v>
      </c>
      <c r="O211" s="519">
        <v>10832.045149522903</v>
      </c>
      <c r="P211" s="518">
        <v>20462.410369736084</v>
      </c>
      <c r="Q211" s="519">
        <v>18286.32622279886</v>
      </c>
      <c r="R211" s="518">
        <v>27489.747184855732</v>
      </c>
      <c r="S211" s="519">
        <v>26939.490881754853</v>
      </c>
      <c r="T211" s="254">
        <v>0</v>
      </c>
      <c r="U211" s="519">
        <v>0</v>
      </c>
      <c r="V211" s="518">
        <v>7516.5411389874726</v>
      </c>
      <c r="W211" s="519">
        <v>2762.0971613732108</v>
      </c>
      <c r="X211" s="518">
        <v>7253.5982040892359</v>
      </c>
      <c r="Y211" s="519">
        <v>5540.2482836668178</v>
      </c>
      <c r="Z211" s="518">
        <v>7516.5411389874726</v>
      </c>
      <c r="AA211" s="519">
        <v>2762.0971613732108</v>
      </c>
      <c r="AB211" s="518">
        <v>10649.955845022974</v>
      </c>
      <c r="AC211" s="519">
        <v>2838.102359181501</v>
      </c>
      <c r="AD211" s="518">
        <v>10277.40009169889</v>
      </c>
      <c r="AE211" s="519">
        <v>5651.0828302630325</v>
      </c>
      <c r="AF211" s="518">
        <v>10649.955845022974</v>
      </c>
      <c r="AG211" s="519">
        <v>2838.102359181501</v>
      </c>
      <c r="AH211" s="518">
        <v>17051.344655609984</v>
      </c>
      <c r="AI211" s="519">
        <v>4641.8412693381069</v>
      </c>
      <c r="AJ211" s="569">
        <v>15456.418753880233</v>
      </c>
      <c r="AK211" s="570">
        <v>-617.98344764253306</v>
      </c>
      <c r="AL211" s="518">
        <v>17051.344655609984</v>
      </c>
      <c r="AM211" s="519">
        <v>4641.8412693381069</v>
      </c>
      <c r="AN211" s="518">
        <v>-3756.6224901289588</v>
      </c>
      <c r="AO211" s="519">
        <v>4755.2865927292987</v>
      </c>
      <c r="AP211" s="569">
        <v>-5175.7749538038279</v>
      </c>
      <c r="AQ211" s="570">
        <v>-518.79627965022155</v>
      </c>
      <c r="AR211" s="518">
        <v>-3756.6224901289588</v>
      </c>
      <c r="AS211" s="519">
        <v>4755.2865927292987</v>
      </c>
      <c r="AT211" s="518">
        <v>4986.1799180387243</v>
      </c>
      <c r="AU211" s="519">
        <v>4675.9382436311016</v>
      </c>
      <c r="AV211" s="569">
        <v>4273.0541426928794</v>
      </c>
      <c r="AW211" s="570">
        <v>2718.4197109887136</v>
      </c>
      <c r="AX211" s="518">
        <v>4986.1799180387243</v>
      </c>
      <c r="AY211" s="519">
        <v>4675.9382436311016</v>
      </c>
      <c r="AZ211" s="518">
        <v>5536.2410369135378</v>
      </c>
      <c r="BA211" s="519">
        <v>5002.0777040618295</v>
      </c>
      <c r="BB211" s="518">
        <v>5342.5727738610722</v>
      </c>
      <c r="BC211" s="519">
        <v>5933.8876771126634</v>
      </c>
      <c r="BD211" s="518">
        <v>5536.2410369135378</v>
      </c>
      <c r="BE211" s="519">
        <v>5002.0777040618295</v>
      </c>
      <c r="BF211" s="518">
        <v>32090.959315627213</v>
      </c>
      <c r="BG211" s="519">
        <v>12825.370430412044</v>
      </c>
      <c r="BH211" s="518">
        <v>37771.902205986255</v>
      </c>
      <c r="BI211" s="519">
        <v>-132059.47447538754</v>
      </c>
      <c r="BJ211" s="518">
        <v>19562.85315142601</v>
      </c>
      <c r="BK211" s="519">
        <v>-8390.5368089961303</v>
      </c>
      <c r="BL211" s="518">
        <v>21803.975348612319</v>
      </c>
      <c r="BM211" s="519">
        <v>-15329.885885825053</v>
      </c>
      <c r="BN211" s="518">
        <v>32090.959315627213</v>
      </c>
      <c r="BO211" s="519">
        <v>12825.370430412044</v>
      </c>
      <c r="BP211" s="518">
        <v>27988.222671529751</v>
      </c>
      <c r="BQ211" s="519">
        <v>8888.8882420856226</v>
      </c>
      <c r="BR211" s="519">
        <v>-13381.205698282436</v>
      </c>
      <c r="BS211" s="518">
        <v>26800.16265327462</v>
      </c>
      <c r="BT211" s="519">
        <v>30737.642843973143</v>
      </c>
      <c r="BU211" s="518">
        <v>26800.16265327462</v>
      </c>
      <c r="BV211" s="519">
        <v>30587.79952090064</v>
      </c>
      <c r="BW211" s="518">
        <v>17756.814145007222</v>
      </c>
      <c r="BX211" s="519">
        <v>37672.868216393261</v>
      </c>
      <c r="BY211" s="518">
        <v>217.73577839825424</v>
      </c>
      <c r="BZ211" s="519">
        <v>463.6306741406662</v>
      </c>
      <c r="CA211" s="518">
        <v>27988.222671529751</v>
      </c>
      <c r="CB211" s="519">
        <v>6575.0540427705628</v>
      </c>
      <c r="CC211" s="571">
        <v>29.224567556391854</v>
      </c>
      <c r="CD211" s="571">
        <v>241462.11345444372</v>
      </c>
      <c r="CE211" s="572">
        <v>67.841401199322647</v>
      </c>
      <c r="CF211" s="571">
        <v>146.19242764139014</v>
      </c>
    </row>
    <row r="213" spans="1:86" ht="15.75" x14ac:dyDescent="0.25">
      <c r="A213" s="523" t="s">
        <v>1428</v>
      </c>
    </row>
    <row r="214" spans="1:86" x14ac:dyDescent="0.25">
      <c r="A214" s="573"/>
      <c r="B214" s="915" t="s">
        <v>1375</v>
      </c>
      <c r="C214" s="917"/>
      <c r="D214" s="917"/>
      <c r="E214" s="917"/>
      <c r="F214" s="917"/>
      <c r="G214" s="917"/>
      <c r="H214" s="916"/>
      <c r="I214" s="915" t="s">
        <v>1481</v>
      </c>
      <c r="J214" s="917"/>
      <c r="K214" s="917"/>
      <c r="L214" s="916"/>
      <c r="M214" s="915" t="s">
        <v>222</v>
      </c>
      <c r="N214" s="917"/>
      <c r="O214" s="917"/>
      <c r="P214" s="917"/>
      <c r="Q214" s="917"/>
      <c r="R214" s="917"/>
      <c r="S214" s="917"/>
      <c r="T214" s="917"/>
      <c r="U214" s="917"/>
      <c r="V214" s="917"/>
      <c r="W214" s="917"/>
      <c r="X214" s="917"/>
      <c r="Y214" s="917"/>
      <c r="Z214" s="917"/>
      <c r="AA214" s="917"/>
      <c r="AB214" s="917"/>
      <c r="AC214" s="917"/>
      <c r="AD214" s="917"/>
      <c r="AE214" s="917"/>
      <c r="AF214" s="917"/>
      <c r="AG214" s="917"/>
      <c r="AH214" s="917"/>
      <c r="AI214" s="917"/>
      <c r="AJ214" s="916"/>
      <c r="AK214" s="915" t="s">
        <v>1273</v>
      </c>
      <c r="AL214" s="917"/>
      <c r="AM214" s="917"/>
      <c r="AN214" s="917"/>
      <c r="AO214" s="917"/>
      <c r="AP214" s="917"/>
      <c r="AQ214" s="917"/>
      <c r="AR214" s="917"/>
      <c r="AS214" s="917"/>
      <c r="AT214" s="917"/>
      <c r="AU214" s="917"/>
      <c r="AV214" s="917"/>
      <c r="AW214" s="917"/>
      <c r="AX214" s="917"/>
      <c r="AY214" s="917"/>
      <c r="AZ214" s="917"/>
      <c r="BA214" s="917"/>
      <c r="BB214" s="917"/>
      <c r="BC214" s="917"/>
      <c r="BD214" s="917"/>
      <c r="BE214" s="917"/>
      <c r="BF214" s="916"/>
      <c r="BG214" s="915" t="s">
        <v>994</v>
      </c>
      <c r="BH214" s="916"/>
      <c r="BI214" s="915" t="s">
        <v>1313</v>
      </c>
      <c r="BJ214" s="917"/>
      <c r="BK214" s="917"/>
      <c r="BL214" s="917"/>
      <c r="BM214" s="917"/>
      <c r="BN214" s="917"/>
      <c r="BO214" s="917"/>
      <c r="BP214" s="917"/>
      <c r="BQ214" s="917"/>
      <c r="BR214" s="917"/>
      <c r="BS214" s="917"/>
      <c r="BT214" s="917"/>
      <c r="BU214" s="917"/>
      <c r="BV214" s="916"/>
      <c r="BW214" s="918" t="s">
        <v>1482</v>
      </c>
      <c r="BX214" s="918"/>
      <c r="BY214" s="915" t="s">
        <v>1483</v>
      </c>
      <c r="BZ214" s="917"/>
      <c r="CA214" s="917"/>
      <c r="CB214" s="916"/>
      <c r="CC214" s="915" t="s">
        <v>1484</v>
      </c>
      <c r="CD214" s="917"/>
      <c r="CE214" s="917"/>
      <c r="CF214" s="917"/>
      <c r="CG214" s="917"/>
      <c r="CH214" s="916"/>
    </row>
    <row r="215" spans="1:86" ht="39" x14ac:dyDescent="0.25">
      <c r="A215" s="475"/>
      <c r="B215" s="544" t="s">
        <v>1485</v>
      </c>
      <c r="C215" s="542" t="s">
        <v>1486</v>
      </c>
      <c r="D215" s="542" t="s">
        <v>1487</v>
      </c>
      <c r="E215" s="542" t="s">
        <v>1488</v>
      </c>
      <c r="F215" s="542" t="s">
        <v>1489</v>
      </c>
      <c r="G215" s="542" t="s">
        <v>1490</v>
      </c>
      <c r="H215" s="544" t="s">
        <v>1491</v>
      </c>
      <c r="I215" s="544" t="s">
        <v>1492</v>
      </c>
      <c r="J215" s="544" t="s">
        <v>1493</v>
      </c>
      <c r="K215" s="542" t="s">
        <v>1494</v>
      </c>
      <c r="L215" s="543"/>
      <c r="M215" s="915" t="s">
        <v>1260</v>
      </c>
      <c r="N215" s="916"/>
      <c r="O215" s="915" t="s">
        <v>1495</v>
      </c>
      <c r="P215" s="916"/>
      <c r="Q215" s="915" t="s">
        <v>1496</v>
      </c>
      <c r="R215" s="916"/>
      <c r="S215" s="915" t="s">
        <v>1497</v>
      </c>
      <c r="T215" s="916"/>
      <c r="U215" s="915" t="s">
        <v>1498</v>
      </c>
      <c r="V215" s="916"/>
      <c r="W215" s="915" t="s">
        <v>1499</v>
      </c>
      <c r="X215" s="917"/>
      <c r="Y215" s="915" t="s">
        <v>1500</v>
      </c>
      <c r="Z215" s="916"/>
      <c r="AA215" s="915" t="s">
        <v>1501</v>
      </c>
      <c r="AB215" s="916"/>
      <c r="AC215" s="915" t="s">
        <v>1502</v>
      </c>
      <c r="AD215" s="916"/>
      <c r="AE215" s="915" t="s">
        <v>1503</v>
      </c>
      <c r="AF215" s="916"/>
      <c r="AG215" s="915" t="s">
        <v>1504</v>
      </c>
      <c r="AH215" s="916"/>
      <c r="AI215" s="915" t="s">
        <v>1505</v>
      </c>
      <c r="AJ215" s="916"/>
      <c r="AK215" s="915" t="s">
        <v>1506</v>
      </c>
      <c r="AL215" s="916"/>
      <c r="AM215" s="915" t="s">
        <v>1507</v>
      </c>
      <c r="AN215" s="916"/>
      <c r="AO215" s="915" t="s">
        <v>1508</v>
      </c>
      <c r="AP215" s="916"/>
      <c r="AQ215" s="915" t="s">
        <v>1509</v>
      </c>
      <c r="AR215" s="916"/>
      <c r="AS215" s="915" t="s">
        <v>1510</v>
      </c>
      <c r="AT215" s="916"/>
      <c r="AU215" s="915" t="s">
        <v>1511</v>
      </c>
      <c r="AV215" s="916"/>
      <c r="AW215" s="915" t="s">
        <v>1512</v>
      </c>
      <c r="AX215" s="916"/>
      <c r="AY215" s="915" t="s">
        <v>1513</v>
      </c>
      <c r="AZ215" s="916"/>
      <c r="BA215" s="915" t="s">
        <v>1514</v>
      </c>
      <c r="BB215" s="916"/>
      <c r="BC215" s="915" t="s">
        <v>1274</v>
      </c>
      <c r="BD215" s="916"/>
      <c r="BE215" s="915" t="s">
        <v>1515</v>
      </c>
      <c r="BF215" s="916"/>
      <c r="BG215" s="915" t="s">
        <v>1516</v>
      </c>
      <c r="BH215" s="916"/>
      <c r="BI215" s="915" t="s">
        <v>1517</v>
      </c>
      <c r="BJ215" s="916"/>
      <c r="BK215" s="915" t="s">
        <v>1518</v>
      </c>
      <c r="BL215" s="916"/>
      <c r="BM215" s="915" t="s">
        <v>1519</v>
      </c>
      <c r="BN215" s="916"/>
      <c r="BO215" s="915" t="s">
        <v>1520</v>
      </c>
      <c r="BP215" s="916"/>
      <c r="BQ215" s="915" t="s">
        <v>1521</v>
      </c>
      <c r="BR215" s="916"/>
      <c r="BS215" s="915" t="s">
        <v>1522</v>
      </c>
      <c r="BT215" s="916"/>
      <c r="BU215" s="915" t="s">
        <v>1523</v>
      </c>
      <c r="BV215" s="916"/>
      <c r="BW215" s="915" t="s">
        <v>1524</v>
      </c>
      <c r="BX215" s="916"/>
      <c r="BY215" s="915" t="s">
        <v>1525</v>
      </c>
      <c r="BZ215" s="916"/>
      <c r="CA215" s="915" t="s">
        <v>1526</v>
      </c>
      <c r="CB215" s="916"/>
      <c r="CC215" s="915" t="s">
        <v>1527</v>
      </c>
      <c r="CD215" s="917"/>
      <c r="CE215" s="915" t="s">
        <v>1528</v>
      </c>
      <c r="CF215" s="916"/>
      <c r="CG215" s="917" t="s">
        <v>1529</v>
      </c>
      <c r="CH215" s="916"/>
    </row>
    <row r="216" spans="1:86" ht="26.25" x14ac:dyDescent="0.25">
      <c r="A216" s="475"/>
      <c r="B216" s="574"/>
      <c r="C216" s="504"/>
      <c r="D216" s="504"/>
      <c r="E216" s="504"/>
      <c r="F216" s="504"/>
      <c r="G216" s="504"/>
      <c r="H216" s="574"/>
      <c r="I216" s="574"/>
      <c r="J216" s="574"/>
      <c r="K216" s="508" t="s">
        <v>1427</v>
      </c>
      <c r="L216" s="509" t="s">
        <v>208</v>
      </c>
      <c r="M216" s="506" t="s">
        <v>1427</v>
      </c>
      <c r="N216" s="505" t="s">
        <v>208</v>
      </c>
      <c r="O216" s="504" t="s">
        <v>1427</v>
      </c>
      <c r="P216" s="505" t="s">
        <v>208</v>
      </c>
      <c r="Q216" s="504" t="s">
        <v>1427</v>
      </c>
      <c r="R216" s="505" t="s">
        <v>208</v>
      </c>
      <c r="S216" s="504" t="s">
        <v>1427</v>
      </c>
      <c r="T216" s="505" t="s">
        <v>208</v>
      </c>
      <c r="U216" s="504" t="s">
        <v>1427</v>
      </c>
      <c r="V216" s="505" t="s">
        <v>208</v>
      </c>
      <c r="W216" s="504" t="s">
        <v>1427</v>
      </c>
      <c r="X216" s="506" t="s">
        <v>208</v>
      </c>
      <c r="Y216" s="504" t="s">
        <v>1427</v>
      </c>
      <c r="Z216" s="505" t="s">
        <v>208</v>
      </c>
      <c r="AA216" s="504" t="s">
        <v>1427</v>
      </c>
      <c r="AB216" s="505" t="s">
        <v>208</v>
      </c>
      <c r="AC216" s="504" t="s">
        <v>1427</v>
      </c>
      <c r="AD216" s="505" t="s">
        <v>208</v>
      </c>
      <c r="AE216" s="504" t="s">
        <v>1427</v>
      </c>
      <c r="AF216" s="505" t="s">
        <v>208</v>
      </c>
      <c r="AG216" s="504" t="s">
        <v>1427</v>
      </c>
      <c r="AH216" s="505" t="s">
        <v>208</v>
      </c>
      <c r="AI216" s="504" t="s">
        <v>1427</v>
      </c>
      <c r="AJ216" s="505" t="s">
        <v>208</v>
      </c>
      <c r="AK216" s="506" t="s">
        <v>1427</v>
      </c>
      <c r="AL216" s="506" t="s">
        <v>208</v>
      </c>
      <c r="AM216" s="504" t="s">
        <v>1427</v>
      </c>
      <c r="AN216" s="505" t="s">
        <v>208</v>
      </c>
      <c r="AO216" s="504" t="s">
        <v>1427</v>
      </c>
      <c r="AP216" s="505" t="s">
        <v>208</v>
      </c>
      <c r="AQ216" s="504" t="s">
        <v>1427</v>
      </c>
      <c r="AR216" s="505" t="s">
        <v>208</v>
      </c>
      <c r="AS216" s="504" t="s">
        <v>1427</v>
      </c>
      <c r="AT216" s="505" t="s">
        <v>208</v>
      </c>
      <c r="AU216" s="504" t="s">
        <v>1427</v>
      </c>
      <c r="AV216" s="505" t="s">
        <v>208</v>
      </c>
      <c r="AW216" s="506" t="s">
        <v>1427</v>
      </c>
      <c r="AX216" s="506" t="s">
        <v>208</v>
      </c>
      <c r="AY216" s="504" t="s">
        <v>1427</v>
      </c>
      <c r="AZ216" s="505" t="s">
        <v>208</v>
      </c>
      <c r="BA216" s="504" t="s">
        <v>1427</v>
      </c>
      <c r="BB216" s="505" t="s">
        <v>208</v>
      </c>
      <c r="BC216" s="504" t="s">
        <v>1427</v>
      </c>
      <c r="BD216" s="505" t="s">
        <v>208</v>
      </c>
      <c r="BE216" s="504" t="s">
        <v>1427</v>
      </c>
      <c r="BF216" s="505" t="s">
        <v>208</v>
      </c>
      <c r="BG216" s="504" t="s">
        <v>1427</v>
      </c>
      <c r="BH216" s="505" t="s">
        <v>208</v>
      </c>
      <c r="BI216" s="504" t="s">
        <v>1427</v>
      </c>
      <c r="BJ216" s="505" t="s">
        <v>208</v>
      </c>
      <c r="BK216" s="504" t="s">
        <v>1427</v>
      </c>
      <c r="BL216" s="505" t="s">
        <v>208</v>
      </c>
      <c r="BM216" s="504" t="s">
        <v>1427</v>
      </c>
      <c r="BN216" s="505" t="s">
        <v>208</v>
      </c>
      <c r="BO216" s="504" t="s">
        <v>1427</v>
      </c>
      <c r="BP216" s="505" t="s">
        <v>208</v>
      </c>
      <c r="BQ216" s="504" t="s">
        <v>1427</v>
      </c>
      <c r="BR216" s="505" t="s">
        <v>208</v>
      </c>
      <c r="BS216" s="504" t="s">
        <v>1427</v>
      </c>
      <c r="BT216" s="505" t="s">
        <v>208</v>
      </c>
      <c r="BU216" s="504" t="s">
        <v>1427</v>
      </c>
      <c r="BV216" s="505" t="s">
        <v>208</v>
      </c>
      <c r="BW216" s="504" t="s">
        <v>1427</v>
      </c>
      <c r="BX216" s="505" t="s">
        <v>208</v>
      </c>
      <c r="BY216" s="504" t="s">
        <v>1427</v>
      </c>
      <c r="BZ216" s="505" t="s">
        <v>208</v>
      </c>
      <c r="CA216" s="504" t="s">
        <v>1427</v>
      </c>
      <c r="CB216" s="505" t="s">
        <v>208</v>
      </c>
      <c r="CC216" s="504" t="s">
        <v>1427</v>
      </c>
      <c r="CD216" s="506" t="s">
        <v>208</v>
      </c>
      <c r="CE216" s="504" t="s">
        <v>1427</v>
      </c>
      <c r="CF216" s="505" t="s">
        <v>208</v>
      </c>
      <c r="CG216" s="506" t="s">
        <v>1427</v>
      </c>
      <c r="CH216" s="505" t="s">
        <v>208</v>
      </c>
    </row>
    <row r="217" spans="1:86" x14ac:dyDescent="0.25">
      <c r="A217" s="51" t="s">
        <v>1399</v>
      </c>
      <c r="B217" s="554"/>
      <c r="C217" s="510"/>
      <c r="D217" s="510"/>
      <c r="E217" s="510"/>
      <c r="F217" s="510"/>
      <c r="G217" s="510"/>
      <c r="H217" s="219"/>
      <c r="I217" s="554"/>
      <c r="J217" s="554"/>
      <c r="K217" s="285"/>
      <c r="L217" s="218">
        <v>1</v>
      </c>
      <c r="M217" s="512"/>
      <c r="N217" s="511">
        <v>1.0000389867970996</v>
      </c>
      <c r="O217" s="510"/>
      <c r="P217" s="511">
        <v>1.0000389867970996</v>
      </c>
      <c r="Q217" s="510"/>
      <c r="R217" s="511">
        <v>1.0000389867970996</v>
      </c>
      <c r="S217" s="510"/>
      <c r="T217" s="511">
        <v>1.0000389867970996</v>
      </c>
      <c r="U217" s="510"/>
      <c r="V217" s="511">
        <v>1.0000389867970996</v>
      </c>
      <c r="W217" s="510"/>
      <c r="X217" s="512">
        <v>1.0000389867970996</v>
      </c>
      <c r="Y217" s="510"/>
      <c r="Z217" s="512">
        <v>1.0000389867970996</v>
      </c>
      <c r="AA217" s="510"/>
      <c r="AB217" s="511">
        <v>1.0000389867970996</v>
      </c>
      <c r="AC217" s="510"/>
      <c r="AD217" s="511">
        <v>1.0000389867970996</v>
      </c>
      <c r="AE217" s="510"/>
      <c r="AF217" s="511">
        <v>1.0000389867970996</v>
      </c>
      <c r="AG217" s="510"/>
      <c r="AH217" s="511">
        <v>1.0000389867970996</v>
      </c>
      <c r="AI217" s="285"/>
      <c r="AJ217" s="520">
        <v>1.0000389867970996</v>
      </c>
      <c r="AK217" s="512"/>
      <c r="AL217" s="512">
        <v>1.0000448829393298</v>
      </c>
      <c r="AM217" s="510"/>
      <c r="AN217" s="511">
        <v>1.0000448829393298</v>
      </c>
      <c r="AO217" s="510"/>
      <c r="AP217" s="511">
        <v>1.0000448829393298</v>
      </c>
      <c r="AQ217" s="510"/>
      <c r="AR217" s="511">
        <v>1.0000448829393298</v>
      </c>
      <c r="AS217" s="510"/>
      <c r="AT217" s="511">
        <v>1.0000448829393298</v>
      </c>
      <c r="AU217" s="512"/>
      <c r="AV217" s="511">
        <v>1.0000448829393298</v>
      </c>
      <c r="AW217" s="512"/>
      <c r="AX217" s="511">
        <v>1.0000448829393298</v>
      </c>
      <c r="AY217" s="510"/>
      <c r="AZ217" s="511">
        <v>1.0000453114548846</v>
      </c>
      <c r="BA217" s="510"/>
      <c r="BB217" s="511">
        <v>1.0000448829393298</v>
      </c>
      <c r="BC217" s="510"/>
      <c r="BD217" s="511">
        <v>1.0000448829393298</v>
      </c>
      <c r="BE217" s="510"/>
      <c r="BF217" s="511">
        <v>1.0000448829393298</v>
      </c>
      <c r="BG217" s="510"/>
      <c r="BH217" s="535">
        <v>1.0000448829393298</v>
      </c>
      <c r="BI217" s="510"/>
      <c r="BJ217" s="535">
        <v>1.0000445489473497</v>
      </c>
      <c r="BK217" s="510"/>
      <c r="BL217" s="511">
        <v>1.0000445489473497</v>
      </c>
      <c r="BM217" s="510"/>
      <c r="BN217" s="511">
        <v>1.0000445489473497</v>
      </c>
      <c r="BO217" s="510"/>
      <c r="BP217" s="511">
        <v>1.0000445489473497</v>
      </c>
      <c r="BQ217" s="510"/>
      <c r="BR217" s="511">
        <v>1.0000445489473497</v>
      </c>
      <c r="BS217" s="512"/>
      <c r="BT217" s="512">
        <v>1.0000445489473497</v>
      </c>
      <c r="BU217" s="510"/>
      <c r="BV217" s="511">
        <v>1.0000445489473497</v>
      </c>
      <c r="BW217" s="510"/>
      <c r="BX217" s="511">
        <v>1</v>
      </c>
      <c r="BY217" s="510"/>
      <c r="BZ217" s="511">
        <v>1.0000448829393298</v>
      </c>
      <c r="CA217" s="510"/>
      <c r="CB217" s="511">
        <v>1.0000448829393298</v>
      </c>
      <c r="CC217" s="510"/>
      <c r="CD217" s="512"/>
      <c r="CE217" s="510"/>
      <c r="CF217" s="511"/>
      <c r="CG217" s="512"/>
      <c r="CH217" s="511"/>
    </row>
    <row r="218" spans="1:86" ht="30" x14ac:dyDescent="0.25">
      <c r="A218" s="573" t="s">
        <v>83</v>
      </c>
      <c r="B218" s="575" t="s">
        <v>1530</v>
      </c>
      <c r="C218" s="576" t="s">
        <v>1531</v>
      </c>
      <c r="D218" s="576" t="s">
        <v>1532</v>
      </c>
      <c r="E218" s="576" t="s">
        <v>1533</v>
      </c>
      <c r="F218" s="576" t="s">
        <v>1533</v>
      </c>
      <c r="G218" s="576" t="s">
        <v>1533</v>
      </c>
      <c r="H218" s="575" t="s">
        <v>1530</v>
      </c>
      <c r="I218" s="575" t="s">
        <v>1534</v>
      </c>
      <c r="J218" s="575" t="s">
        <v>1535</v>
      </c>
      <c r="K218" s="577" t="s">
        <v>1534</v>
      </c>
      <c r="L218" s="578" t="s">
        <v>1534</v>
      </c>
      <c r="M218" s="579" t="s">
        <v>1536</v>
      </c>
      <c r="N218" s="580" t="s">
        <v>1536</v>
      </c>
      <c r="O218" s="576" t="s">
        <v>1536</v>
      </c>
      <c r="P218" s="580" t="s">
        <v>1536</v>
      </c>
      <c r="Q218" s="576" t="s">
        <v>1536</v>
      </c>
      <c r="R218" s="580" t="s">
        <v>1536</v>
      </c>
      <c r="S218" s="576" t="s">
        <v>1536</v>
      </c>
      <c r="T218" s="580" t="s">
        <v>1536</v>
      </c>
      <c r="U218" s="576" t="s">
        <v>1536</v>
      </c>
      <c r="V218" s="580" t="s">
        <v>1536</v>
      </c>
      <c r="W218" s="576" t="s">
        <v>1536</v>
      </c>
      <c r="X218" s="579" t="s">
        <v>1536</v>
      </c>
      <c r="Y218" s="576" t="s">
        <v>1536</v>
      </c>
      <c r="Z218" s="580" t="s">
        <v>1536</v>
      </c>
      <c r="AA218" s="576" t="s">
        <v>1536</v>
      </c>
      <c r="AB218" s="580" t="s">
        <v>1536</v>
      </c>
      <c r="AC218" s="576" t="s">
        <v>1536</v>
      </c>
      <c r="AD218" s="580" t="s">
        <v>1536</v>
      </c>
      <c r="AE218" s="576" t="s">
        <v>1536</v>
      </c>
      <c r="AF218" s="579" t="s">
        <v>1536</v>
      </c>
      <c r="AG218" s="576" t="s">
        <v>1536</v>
      </c>
      <c r="AH218" s="579" t="s">
        <v>1536</v>
      </c>
      <c r="AI218" s="576" t="s">
        <v>1536</v>
      </c>
      <c r="AJ218" s="580" t="s">
        <v>1536</v>
      </c>
      <c r="AK218" s="579" t="s">
        <v>1536</v>
      </c>
      <c r="AL218" s="579" t="s">
        <v>1536</v>
      </c>
      <c r="AM218" s="576" t="s">
        <v>1536</v>
      </c>
      <c r="AN218" s="580" t="s">
        <v>1536</v>
      </c>
      <c r="AO218" s="576" t="s">
        <v>1536</v>
      </c>
      <c r="AP218" s="580" t="s">
        <v>1536</v>
      </c>
      <c r="AQ218" s="576" t="s">
        <v>1536</v>
      </c>
      <c r="AR218" s="580" t="s">
        <v>1536</v>
      </c>
      <c r="AS218" s="576" t="s">
        <v>1536</v>
      </c>
      <c r="AT218" s="580" t="s">
        <v>1536</v>
      </c>
      <c r="AU218" s="576" t="s">
        <v>1536</v>
      </c>
      <c r="AV218" s="580" t="s">
        <v>1536</v>
      </c>
      <c r="AW218" s="576" t="s">
        <v>1536</v>
      </c>
      <c r="AX218" s="580" t="s">
        <v>1536</v>
      </c>
      <c r="AY218" s="576" t="s">
        <v>1537</v>
      </c>
      <c r="AZ218" s="580" t="s">
        <v>1537</v>
      </c>
      <c r="BA218" s="576" t="s">
        <v>1536</v>
      </c>
      <c r="BB218" s="579" t="s">
        <v>1536</v>
      </c>
      <c r="BC218" s="576" t="s">
        <v>1536</v>
      </c>
      <c r="BD218" s="579" t="s">
        <v>1536</v>
      </c>
      <c r="BE218" s="576" t="s">
        <v>1536</v>
      </c>
      <c r="BF218" s="580" t="s">
        <v>1536</v>
      </c>
      <c r="BG218" s="576" t="s">
        <v>1536</v>
      </c>
      <c r="BH218" s="580" t="s">
        <v>1536</v>
      </c>
      <c r="BI218" s="576" t="s">
        <v>1536</v>
      </c>
      <c r="BJ218" s="580" t="s">
        <v>1536</v>
      </c>
      <c r="BK218" s="576" t="s">
        <v>1536</v>
      </c>
      <c r="BL218" s="580" t="s">
        <v>1536</v>
      </c>
      <c r="BM218" s="576" t="s">
        <v>1536</v>
      </c>
      <c r="BN218" s="580" t="s">
        <v>1536</v>
      </c>
      <c r="BO218" s="576" t="s">
        <v>1536</v>
      </c>
      <c r="BP218" s="580" t="s">
        <v>1536</v>
      </c>
      <c r="BQ218" s="576" t="s">
        <v>1536</v>
      </c>
      <c r="BR218" s="580" t="s">
        <v>1536</v>
      </c>
      <c r="BS218" s="576" t="s">
        <v>1536</v>
      </c>
      <c r="BT218" s="580" t="s">
        <v>1536</v>
      </c>
      <c r="BU218" s="576" t="s">
        <v>1536</v>
      </c>
      <c r="BV218" s="580" t="s">
        <v>1536</v>
      </c>
      <c r="BW218" s="576" t="s">
        <v>1478</v>
      </c>
      <c r="BX218" s="580" t="s">
        <v>1478</v>
      </c>
      <c r="BY218" s="576" t="s">
        <v>1536</v>
      </c>
      <c r="BZ218" s="580" t="s">
        <v>1536</v>
      </c>
      <c r="CA218" s="576" t="s">
        <v>1536</v>
      </c>
      <c r="CB218" s="580" t="s">
        <v>1536</v>
      </c>
      <c r="CC218" s="576" t="s">
        <v>1536</v>
      </c>
      <c r="CD218" s="579" t="s">
        <v>1536</v>
      </c>
      <c r="CE218" s="576" t="s">
        <v>1536</v>
      </c>
      <c r="CF218" s="580" t="s">
        <v>1536</v>
      </c>
      <c r="CG218" s="579" t="s">
        <v>1536</v>
      </c>
      <c r="CH218" s="580" t="s">
        <v>1536</v>
      </c>
    </row>
    <row r="219" spans="1:86" x14ac:dyDescent="0.25">
      <c r="A219" s="51" t="s">
        <v>1400</v>
      </c>
      <c r="B219" s="581">
        <v>41151.462164148776</v>
      </c>
      <c r="C219" s="528">
        <v>1050955.7595540979</v>
      </c>
      <c r="D219" s="528">
        <v>4427612.9021084122</v>
      </c>
      <c r="E219" s="528">
        <v>4432.8332955996202</v>
      </c>
      <c r="F219" s="528">
        <v>4209.0357067902696</v>
      </c>
      <c r="G219" s="529">
        <v>4911.3873548660304</v>
      </c>
      <c r="H219" s="567">
        <v>38460.333154221422</v>
      </c>
      <c r="I219" s="527">
        <v>17578.297016043631</v>
      </c>
      <c r="J219" s="527">
        <v>7326.9759988590749</v>
      </c>
      <c r="K219" s="514">
        <v>18385.00028028871</v>
      </c>
      <c r="L219" s="515">
        <v>1095.4316683015227</v>
      </c>
      <c r="M219" s="531">
        <v>47732.40075304627</v>
      </c>
      <c r="N219" s="530">
        <v>445167.44100659236</v>
      </c>
      <c r="O219" s="529">
        <v>96499.659610529619</v>
      </c>
      <c r="P219" s="530">
        <v>313157.90432224661</v>
      </c>
      <c r="Q219" s="529">
        <v>123458.11885234393</v>
      </c>
      <c r="R219" s="530">
        <v>360571.72078534012</v>
      </c>
      <c r="S219" s="529">
        <v>254479.48687014787</v>
      </c>
      <c r="T219" s="530">
        <v>297805.46431344323</v>
      </c>
      <c r="U219" s="529">
        <v>117066.07811098681</v>
      </c>
      <c r="V219" s="530">
        <v>816495.46232975298</v>
      </c>
      <c r="W219" s="529">
        <v>0</v>
      </c>
      <c r="X219" s="531">
        <v>332012.67221267888</v>
      </c>
      <c r="Y219" s="529">
        <v>1013080.4123179438</v>
      </c>
      <c r="Z219" s="530">
        <v>207901.70061102737</v>
      </c>
      <c r="AA219" s="529">
        <v>47732.40075304627</v>
      </c>
      <c r="AB219" s="530">
        <v>445167.44100659236</v>
      </c>
      <c r="AC219" s="529">
        <v>0</v>
      </c>
      <c r="AD219" s="530">
        <v>214130.86893239937</v>
      </c>
      <c r="AE219" s="529">
        <v>136778.36311599391</v>
      </c>
      <c r="AF219" s="530">
        <v>721151.93865515362</v>
      </c>
      <c r="AG219" s="529">
        <v>0</v>
      </c>
      <c r="AH219" s="530">
        <v>307848.65232934133</v>
      </c>
      <c r="AI219" s="529">
        <v>44610.906603759147</v>
      </c>
      <c r="AJ219" s="530">
        <v>443823.31626199116</v>
      </c>
      <c r="AK219" s="531">
        <v>48258.847278045279</v>
      </c>
      <c r="AL219" s="531">
        <v>472327.8254542519</v>
      </c>
      <c r="AM219" s="529">
        <v>97563.966237979257</v>
      </c>
      <c r="AN219" s="530">
        <v>338861.55243521457</v>
      </c>
      <c r="AO219" s="529">
        <v>124819.75364605548</v>
      </c>
      <c r="AP219" s="530">
        <v>386798.58434882009</v>
      </c>
      <c r="AQ219" s="529">
        <v>257286.17246384849</v>
      </c>
      <c r="AR219" s="530">
        <v>323339.69696031121</v>
      </c>
      <c r="AS219" s="529">
        <v>118357.21430033633</v>
      </c>
      <c r="AT219" s="530">
        <v>847753.48270839895</v>
      </c>
      <c r="AU219" s="531">
        <v>1001785.6813495079</v>
      </c>
      <c r="AV219" s="530">
        <v>143493.21625176983</v>
      </c>
      <c r="AW219" s="531">
        <v>48258.847278045279</v>
      </c>
      <c r="AX219" s="530">
        <v>472327.8254542519</v>
      </c>
      <c r="AY219" s="529">
        <v>0</v>
      </c>
      <c r="AZ219" s="530">
        <v>215441.61647504297</v>
      </c>
      <c r="BA219" s="529">
        <v>138286.90852375599</v>
      </c>
      <c r="BB219" s="530">
        <v>751357.83523499814</v>
      </c>
      <c r="BC219" s="529">
        <v>0</v>
      </c>
      <c r="BD219" s="530">
        <v>245427.05902104388</v>
      </c>
      <c r="BE219" s="529">
        <v>0</v>
      </c>
      <c r="BF219" s="530">
        <v>221532.30046882443</v>
      </c>
      <c r="BG219" s="529">
        <v>48258.847278045279</v>
      </c>
      <c r="BH219" s="530">
        <v>472327.8254542519</v>
      </c>
      <c r="BI219" s="529">
        <v>50320.433333833906</v>
      </c>
      <c r="BJ219" s="530">
        <v>379482.57225834182</v>
      </c>
      <c r="BK219" s="529">
        <v>101731.83438420319</v>
      </c>
      <c r="BL219" s="530">
        <v>240314.75475830137</v>
      </c>
      <c r="BM219" s="529">
        <v>130151.97101380737</v>
      </c>
      <c r="BN219" s="530">
        <v>290299.60829425557</v>
      </c>
      <c r="BO219" s="529">
        <v>268277.26768091141</v>
      </c>
      <c r="BP219" s="530">
        <v>224129.82128312124</v>
      </c>
      <c r="BQ219" s="529">
        <v>123413.35625908893</v>
      </c>
      <c r="BR219" s="530">
        <v>770946.03468772606</v>
      </c>
      <c r="BS219" s="531">
        <v>980664.51180871355</v>
      </c>
      <c r="BT219" s="531">
        <v>36600.480430838885</v>
      </c>
      <c r="BU219" s="529">
        <v>50320.433333833906</v>
      </c>
      <c r="BV219" s="530">
        <v>379482.57225834182</v>
      </c>
      <c r="BW219" s="529">
        <v>157.29864208491483</v>
      </c>
      <c r="BX219" s="530">
        <v>1542.1539784010286</v>
      </c>
      <c r="BY219" s="528">
        <v>541.28576837405762</v>
      </c>
      <c r="BZ219" s="530">
        <v>420169.59282717068</v>
      </c>
      <c r="CA219" s="529">
        <v>1199.1853366483017</v>
      </c>
      <c r="CB219" s="530">
        <v>191058.15889515338</v>
      </c>
      <c r="CC219" s="514">
        <v>119736.50308623038</v>
      </c>
      <c r="CD219" s="227">
        <v>192074.64929860915</v>
      </c>
      <c r="CE219" s="514">
        <v>1136039.2672297035</v>
      </c>
      <c r="CF219" s="515">
        <v>234447.43416072114</v>
      </c>
      <c r="CG219" s="227">
        <v>752555.57720091357</v>
      </c>
      <c r="CH219" s="515">
        <v>133986.1795525566</v>
      </c>
    </row>
    <row r="220" spans="1:86" x14ac:dyDescent="0.25">
      <c r="A220" s="51" t="s">
        <v>1538</v>
      </c>
      <c r="B220" s="581">
        <v>38738.616232762019</v>
      </c>
      <c r="C220" s="528">
        <v>1021686.2042835404</v>
      </c>
      <c r="D220" s="528">
        <v>4332075.977695806</v>
      </c>
      <c r="E220" s="528">
        <v>4350.0343244812884</v>
      </c>
      <c r="F220" s="528">
        <v>4143.1629626622771</v>
      </c>
      <c r="G220" s="529">
        <v>4718.1624610713689</v>
      </c>
      <c r="H220" s="567">
        <v>32234.771210844054</v>
      </c>
      <c r="I220" s="527">
        <v>1497.1765202617553</v>
      </c>
      <c r="J220" s="527">
        <v>1497.1765202617551</v>
      </c>
      <c r="K220" s="514">
        <v>1556.0001498996403</v>
      </c>
      <c r="L220" s="515">
        <v>1069.2141548883333</v>
      </c>
      <c r="M220" s="531">
        <v>44933.692690307078</v>
      </c>
      <c r="N220" s="530">
        <v>181830.94350558586</v>
      </c>
      <c r="O220" s="529">
        <v>93812.103930965357</v>
      </c>
      <c r="P220" s="530">
        <v>174554.16587578115</v>
      </c>
      <c r="Q220" s="529">
        <v>120794.19830877015</v>
      </c>
      <c r="R220" s="530">
        <v>179139.76603041112</v>
      </c>
      <c r="S220" s="529">
        <v>249726.17487339722</v>
      </c>
      <c r="T220" s="530">
        <v>180092.51895763574</v>
      </c>
      <c r="U220" s="529">
        <v>115233.95684933249</v>
      </c>
      <c r="V220" s="530">
        <v>159494.54612012437</v>
      </c>
      <c r="W220" s="529">
        <v>0</v>
      </c>
      <c r="X220" s="531">
        <v>294715.46101759153</v>
      </c>
      <c r="Y220" s="529">
        <v>22251.669139776732</v>
      </c>
      <c r="Z220" s="530">
        <v>188215.7255422438</v>
      </c>
      <c r="AA220" s="529">
        <v>44933.692690307078</v>
      </c>
      <c r="AB220" s="530">
        <v>181830.94350558586</v>
      </c>
      <c r="AC220" s="529">
        <v>0</v>
      </c>
      <c r="AD220" s="530">
        <v>207696.98869363044</v>
      </c>
      <c r="AE220" s="529">
        <v>131397.19832956945</v>
      </c>
      <c r="AF220" s="530">
        <v>173837.71499694773</v>
      </c>
      <c r="AG220" s="529">
        <v>0</v>
      </c>
      <c r="AH220" s="530">
        <v>285121.55515773594</v>
      </c>
      <c r="AI220" s="529">
        <v>37389.753284616825</v>
      </c>
      <c r="AJ220" s="530">
        <v>172143.05268664609</v>
      </c>
      <c r="AK220" s="531">
        <v>45429.271919488754</v>
      </c>
      <c r="AL220" s="531">
        <v>216018.67227307381</v>
      </c>
      <c r="AM220" s="529">
        <v>94846.769175917463</v>
      </c>
      <c r="AN220" s="530">
        <v>208661.59479040201</v>
      </c>
      <c r="AO220" s="529">
        <v>122126.45239480906</v>
      </c>
      <c r="AP220" s="530">
        <v>213297.79742822674</v>
      </c>
      <c r="AQ220" s="529">
        <v>252480.43560383</v>
      </c>
      <c r="AR220" s="530">
        <v>214261.0640640964</v>
      </c>
      <c r="AS220" s="529">
        <v>116504.88634770569</v>
      </c>
      <c r="AT220" s="530">
        <v>193435.79086475488</v>
      </c>
      <c r="AU220" s="582">
        <v>22003.5875329501</v>
      </c>
      <c r="AV220" s="530">
        <v>164089.63238832657</v>
      </c>
      <c r="AW220" s="582">
        <v>45429.271919488754</v>
      </c>
      <c r="AX220" s="530">
        <v>216018.67227307381</v>
      </c>
      <c r="AY220" s="528">
        <v>0</v>
      </c>
      <c r="AZ220" s="583">
        <v>213338.09076392831</v>
      </c>
      <c r="BA220" s="529">
        <v>132846.39420834143</v>
      </c>
      <c r="BB220" s="530">
        <v>207937.23781589227</v>
      </c>
      <c r="BC220" s="529">
        <v>0</v>
      </c>
      <c r="BD220" s="530">
        <v>269402.63400580338</v>
      </c>
      <c r="BE220" s="529">
        <v>0</v>
      </c>
      <c r="BF220" s="530">
        <v>259915.63369704896</v>
      </c>
      <c r="BG220" s="529">
        <v>45429.271919488754</v>
      </c>
      <c r="BH220" s="530">
        <v>216018.67227307381</v>
      </c>
      <c r="BI220" s="529">
        <v>47369.9803863579</v>
      </c>
      <c r="BJ220" s="530">
        <v>70647.269558814136</v>
      </c>
      <c r="BK220" s="529">
        <v>98898.560459764165</v>
      </c>
      <c r="BL220" s="530">
        <v>62975.905151297542</v>
      </c>
      <c r="BM220" s="529">
        <v>127343.61371342622</v>
      </c>
      <c r="BN220" s="530">
        <v>67810.161686669366</v>
      </c>
      <c r="BO220" s="529">
        <v>263266.23291890783</v>
      </c>
      <c r="BP220" s="530">
        <v>68814.578101035469</v>
      </c>
      <c r="BQ220" s="529">
        <v>121481.89808074263</v>
      </c>
      <c r="BR220" s="530">
        <v>47099.670248764385</v>
      </c>
      <c r="BS220" s="531">
        <v>21539.674431134659</v>
      </c>
      <c r="BT220" s="531">
        <v>16499.873500170859</v>
      </c>
      <c r="BU220" s="529">
        <v>47369.9803863579</v>
      </c>
      <c r="BV220" s="530">
        <v>70647.269558814136</v>
      </c>
      <c r="BW220" s="528">
        <v>148.07570397755637</v>
      </c>
      <c r="BX220" s="583">
        <v>675.0273866726277</v>
      </c>
      <c r="BY220" s="528">
        <v>538.57050260908011</v>
      </c>
      <c r="BZ220" s="583">
        <v>208505.02954083518</v>
      </c>
      <c r="CA220" s="529">
        <v>1154.8423433975947</v>
      </c>
      <c r="CB220" s="583">
        <v>186922.59723066128</v>
      </c>
      <c r="CC220" s="514">
        <v>111017.23653545295</v>
      </c>
      <c r="CD220" s="227">
        <v>137166.59148189315</v>
      </c>
      <c r="CE220" s="514">
        <v>102633.83369876494</v>
      </c>
      <c r="CF220" s="515">
        <v>170931.78041066768</v>
      </c>
      <c r="CG220" s="227">
        <v>109334.15888081194</v>
      </c>
      <c r="CH220" s="515">
        <v>131011.74970046536</v>
      </c>
    </row>
    <row r="221" spans="1:86" x14ac:dyDescent="0.25">
      <c r="A221" s="51" t="s">
        <v>1275</v>
      </c>
      <c r="B221" s="527">
        <v>3453.5985744930331</v>
      </c>
      <c r="C221" s="529">
        <v>41839.767859791165</v>
      </c>
      <c r="D221" s="529">
        <v>136667.96189168521</v>
      </c>
      <c r="E221" s="529">
        <v>118.16895663591839</v>
      </c>
      <c r="F221" s="529">
        <v>94.010608495098211</v>
      </c>
      <c r="G221" s="529">
        <v>276.40416620833662</v>
      </c>
      <c r="H221" s="567">
        <v>471.79536963568017</v>
      </c>
      <c r="I221" s="527">
        <v>301.36026240698953</v>
      </c>
      <c r="J221" s="527">
        <v>301.36026240698948</v>
      </c>
      <c r="K221" s="514">
        <v>63.720822292256173</v>
      </c>
      <c r="L221" s="515">
        <v>120.06491306682788</v>
      </c>
      <c r="M221" s="531">
        <v>4005.8977865789448</v>
      </c>
      <c r="N221" s="530">
        <v>18820.474786427341</v>
      </c>
      <c r="O221" s="529">
        <v>3841.7633853269663</v>
      </c>
      <c r="P221" s="530">
        <v>9547.5869375890106</v>
      </c>
      <c r="Q221" s="529">
        <v>3810.8050219332713</v>
      </c>
      <c r="R221" s="530">
        <v>7847.3026827207241</v>
      </c>
      <c r="S221" s="529">
        <v>6783.827282325432</v>
      </c>
      <c r="T221" s="530">
        <v>4722.2987436447502</v>
      </c>
      <c r="U221" s="529">
        <v>2614.7208063818302</v>
      </c>
      <c r="V221" s="530">
        <v>5283.0949815608283</v>
      </c>
      <c r="W221" s="529">
        <v>0</v>
      </c>
      <c r="X221" s="531">
        <v>20417.771762607623</v>
      </c>
      <c r="Y221" s="529">
        <v>7121.0044692971169</v>
      </c>
      <c r="Z221" s="530">
        <v>8429.5354250035198</v>
      </c>
      <c r="AA221" s="529">
        <v>4005.8977865789448</v>
      </c>
      <c r="AB221" s="530">
        <v>18820.474786427341</v>
      </c>
      <c r="AC221" s="529">
        <v>0</v>
      </c>
      <c r="AD221" s="530">
        <v>10865.397430155803</v>
      </c>
      <c r="AE221" s="529">
        <v>7697.6435945253706</v>
      </c>
      <c r="AF221" s="530">
        <v>7871.0698573571708</v>
      </c>
      <c r="AG221" s="529">
        <v>0</v>
      </c>
      <c r="AH221" s="530">
        <v>12782.97111624569</v>
      </c>
      <c r="AI221" s="529">
        <v>547.24484799719414</v>
      </c>
      <c r="AJ221" s="530">
        <v>14299.390428591136</v>
      </c>
      <c r="AK221" s="531">
        <v>4050.0793264967983</v>
      </c>
      <c r="AL221" s="531">
        <v>20798.982904886285</v>
      </c>
      <c r="AM221" s="529">
        <v>3884.1346667242206</v>
      </c>
      <c r="AN221" s="530">
        <v>11423.767959110826</v>
      </c>
      <c r="AO221" s="529">
        <v>3852.83485972888</v>
      </c>
      <c r="AP221" s="530">
        <v>9704.7209245556915</v>
      </c>
      <c r="AQ221" s="529">
        <v>6858.6469486868764</v>
      </c>
      <c r="AR221" s="530">
        <v>6545.2323043086026</v>
      </c>
      <c r="AS221" s="529">
        <v>2643.5588840952046</v>
      </c>
      <c r="AT221" s="530">
        <v>7112.216975853411</v>
      </c>
      <c r="AU221" s="582">
        <v>7041.6131112886087</v>
      </c>
      <c r="AV221" s="530">
        <v>6436.2074562498874</v>
      </c>
      <c r="AW221" s="582">
        <v>4050.0793264967983</v>
      </c>
      <c r="AX221" s="530">
        <v>20798.982904886285</v>
      </c>
      <c r="AY221" s="529">
        <v>0</v>
      </c>
      <c r="AZ221" s="583">
        <v>3507.0095105235537</v>
      </c>
      <c r="BA221" s="529">
        <v>7782.5418535085018</v>
      </c>
      <c r="BB221" s="530">
        <v>9728.7503719622418</v>
      </c>
      <c r="BC221" s="529">
        <v>0</v>
      </c>
      <c r="BD221" s="530">
        <v>18290.858053997526</v>
      </c>
      <c r="BE221" s="529">
        <v>0</v>
      </c>
      <c r="BF221" s="530">
        <v>10741.132514955736</v>
      </c>
      <c r="BG221" s="529">
        <v>4050.0793264967983</v>
      </c>
      <c r="BH221" s="530">
        <v>20798.982904886285</v>
      </c>
      <c r="BI221" s="529">
        <v>4223.096038152531</v>
      </c>
      <c r="BJ221" s="530">
        <v>20050.770574961534</v>
      </c>
      <c r="BK221" s="529">
        <v>4050.0623322067468</v>
      </c>
      <c r="BL221" s="530">
        <v>10275.055908745993</v>
      </c>
      <c r="BM221" s="529">
        <v>4017.4254181462779</v>
      </c>
      <c r="BN221" s="530">
        <v>8482.5729198426416</v>
      </c>
      <c r="BO221" s="529">
        <v>7151.6438126509838</v>
      </c>
      <c r="BP221" s="530">
        <v>5188.1141344888038</v>
      </c>
      <c r="BQ221" s="529">
        <v>2756.4899721857864</v>
      </c>
      <c r="BR221" s="530">
        <v>5779.3198189662107</v>
      </c>
      <c r="BS221" s="531">
        <v>6893.1511127463109</v>
      </c>
      <c r="BT221" s="531">
        <v>5074.431854955601</v>
      </c>
      <c r="BU221" s="529">
        <v>4223.096038152531</v>
      </c>
      <c r="BV221" s="530">
        <v>20050.770574961534</v>
      </c>
      <c r="BW221" s="529">
        <v>13.201143714096965</v>
      </c>
      <c r="BX221" s="583">
        <v>61.259421727910812</v>
      </c>
      <c r="BY221" s="528">
        <v>3.7682650640646989</v>
      </c>
      <c r="BZ221" s="583">
        <v>7789.8207686525957</v>
      </c>
      <c r="CA221" s="529">
        <v>61.18418324955924</v>
      </c>
      <c r="CB221" s="583">
        <v>5876.6740517422077</v>
      </c>
      <c r="CC221" s="514">
        <v>12496.752815341793</v>
      </c>
      <c r="CD221" s="227">
        <v>5142.1283966612727</v>
      </c>
      <c r="CE221" s="514">
        <v>19410.371018980655</v>
      </c>
      <c r="CF221" s="515">
        <v>7209.5805499776588</v>
      </c>
      <c r="CG221" s="227">
        <v>17170.552908183796</v>
      </c>
      <c r="CH221" s="515">
        <v>4262.6461019578674</v>
      </c>
    </row>
    <row r="222" spans="1:86" x14ac:dyDescent="0.25">
      <c r="A222" s="51" t="s">
        <v>233</v>
      </c>
      <c r="B222" s="527">
        <v>16317.284936284792</v>
      </c>
      <c r="C222" s="529">
        <v>537170.62671182561</v>
      </c>
      <c r="D222" s="529">
        <v>3143439.1394835566</v>
      </c>
      <c r="E222" s="529">
        <v>2246.4546267456767</v>
      </c>
      <c r="F222" s="529">
        <v>2463.4416589595808</v>
      </c>
      <c r="G222" s="529">
        <v>2279.5756212795541</v>
      </c>
      <c r="H222" s="567">
        <v>11284.87162373166</v>
      </c>
      <c r="I222" s="527">
        <v>805.8940581471777</v>
      </c>
      <c r="J222" s="527">
        <v>805.89405814717747</v>
      </c>
      <c r="K222" s="514">
        <v>818.09617491254801</v>
      </c>
      <c r="L222" s="515">
        <v>101.94526020107799</v>
      </c>
      <c r="M222" s="531">
        <v>18926.743858422065</v>
      </c>
      <c r="N222" s="530">
        <v>152423.62759095506</v>
      </c>
      <c r="O222" s="529">
        <v>49323.46786172947</v>
      </c>
      <c r="P222" s="530">
        <v>126212.68357887726</v>
      </c>
      <c r="Q222" s="529">
        <v>87650.635109195515</v>
      </c>
      <c r="R222" s="530">
        <v>160504.62304644147</v>
      </c>
      <c r="S222" s="529">
        <v>128964.15961746196</v>
      </c>
      <c r="T222" s="530">
        <v>162304.79727477816</v>
      </c>
      <c r="U222" s="529">
        <v>68515.801185620832</v>
      </c>
      <c r="V222" s="530">
        <v>138160.34075441104</v>
      </c>
      <c r="W222" s="529">
        <v>0</v>
      </c>
      <c r="X222" s="531">
        <v>265923.27207272704</v>
      </c>
      <c r="Y222" s="529">
        <v>10596.671253154973</v>
      </c>
      <c r="Z222" s="530">
        <v>175679.2172597489</v>
      </c>
      <c r="AA222" s="529">
        <v>18926.743858422065</v>
      </c>
      <c r="AB222" s="530">
        <v>152423.62759095506</v>
      </c>
      <c r="AC222" s="529">
        <v>0</v>
      </c>
      <c r="AD222" s="530">
        <v>918.13890535583414</v>
      </c>
      <c r="AE222" s="529">
        <v>63484.429052175066</v>
      </c>
      <c r="AF222" s="530">
        <v>156958.57303495301</v>
      </c>
      <c r="AG222" s="529">
        <v>0</v>
      </c>
      <c r="AH222" s="530">
        <v>246506.73089922476</v>
      </c>
      <c r="AI222" s="529">
        <v>13089.547405193196</v>
      </c>
      <c r="AJ222" s="530">
        <v>146403.73814923377</v>
      </c>
      <c r="AK222" s="531">
        <v>19135.48924680852</v>
      </c>
      <c r="AL222" s="531">
        <v>183663.89891713011</v>
      </c>
      <c r="AM222" s="529">
        <v>49867.462461771676</v>
      </c>
      <c r="AN222" s="530">
        <v>157163.71493445631</v>
      </c>
      <c r="AO222" s="529">
        <v>88617.344755876067</v>
      </c>
      <c r="AP222" s="530">
        <v>191834.06883679653</v>
      </c>
      <c r="AQ222" s="529">
        <v>130386.52121270807</v>
      </c>
      <c r="AR222" s="530">
        <v>193654.10813907458</v>
      </c>
      <c r="AS222" s="529">
        <v>69271.470392965086</v>
      </c>
      <c r="AT222" s="530">
        <v>169243.21551130174</v>
      </c>
      <c r="AU222" s="582">
        <v>10478.530037995652</v>
      </c>
      <c r="AV222" s="530">
        <v>153047.78667692564</v>
      </c>
      <c r="AW222" s="582">
        <v>19135.48924680852</v>
      </c>
      <c r="AX222" s="530">
        <v>183663.89891713011</v>
      </c>
      <c r="AY222" s="529">
        <v>0</v>
      </c>
      <c r="AZ222" s="583">
        <v>169006.43948848028</v>
      </c>
      <c r="BA222" s="529">
        <v>64184.606636767465</v>
      </c>
      <c r="BB222" s="530">
        <v>188248.88786533271</v>
      </c>
      <c r="BC222" s="529">
        <v>0</v>
      </c>
      <c r="BD222" s="530">
        <v>242286.24579673039</v>
      </c>
      <c r="BE222" s="529">
        <v>0</v>
      </c>
      <c r="BF222" s="530">
        <v>223086.0644734239</v>
      </c>
      <c r="BG222" s="529">
        <v>19135.48924680852</v>
      </c>
      <c r="BH222" s="530">
        <v>183663.89891713011</v>
      </c>
      <c r="BI222" s="529">
        <v>19952.94469854411</v>
      </c>
      <c r="BJ222" s="530">
        <v>39853.837242227339</v>
      </c>
      <c r="BK222" s="529">
        <v>51997.767494886742</v>
      </c>
      <c r="BL222" s="530">
        <v>12221.592145429011</v>
      </c>
      <c r="BM222" s="529">
        <v>92403.019146255479</v>
      </c>
      <c r="BN222" s="530">
        <v>48373.028575024029</v>
      </c>
      <c r="BO222" s="529">
        <v>135956.54721117808</v>
      </c>
      <c r="BP222" s="530">
        <v>50270.818119399744</v>
      </c>
      <c r="BQ222" s="529">
        <v>72230.701818517206</v>
      </c>
      <c r="BR222" s="530">
        <v>24817.116795542486</v>
      </c>
      <c r="BS222" s="531">
        <v>10257.605728943172</v>
      </c>
      <c r="BT222" s="531">
        <v>7929.8355867845275</v>
      </c>
      <c r="BU222" s="529">
        <v>19952.94469854411</v>
      </c>
      <c r="BV222" s="530">
        <v>39853.837242227339</v>
      </c>
      <c r="BW222" s="529">
        <v>62.371702680988477</v>
      </c>
      <c r="BX222" s="583">
        <v>508.45578956844446</v>
      </c>
      <c r="BY222" s="528">
        <v>55.365221402138587</v>
      </c>
      <c r="BZ222" s="583">
        <v>195901.84350269014</v>
      </c>
      <c r="CA222" s="529">
        <v>682.87875123872993</v>
      </c>
      <c r="CB222" s="583">
        <v>167514.92166455736</v>
      </c>
      <c r="CC222" s="514">
        <v>94072.023131079652</v>
      </c>
      <c r="CD222" s="227">
        <v>128270.29898643316</v>
      </c>
      <c r="CE222" s="514">
        <v>52447.281659435146</v>
      </c>
      <c r="CF222" s="515">
        <v>159969.47169914475</v>
      </c>
      <c r="CG222" s="227">
        <v>71279.1944032959</v>
      </c>
      <c r="CH222" s="515">
        <v>123646.05447462894</v>
      </c>
    </row>
    <row r="223" spans="1:86" x14ac:dyDescent="0.25">
      <c r="A223" s="51" t="s">
        <v>1402</v>
      </c>
      <c r="B223" s="581">
        <v>18967.732721984197</v>
      </c>
      <c r="C223" s="528">
        <v>442675.80971192382</v>
      </c>
      <c r="D223" s="528">
        <v>1051968.8763205635</v>
      </c>
      <c r="E223" s="529">
        <v>1985.4107410996928</v>
      </c>
      <c r="F223" s="529">
        <v>1585.7106952075983</v>
      </c>
      <c r="G223" s="529">
        <v>2162.1826735834779</v>
      </c>
      <c r="H223" s="567">
        <v>20478.104217476706</v>
      </c>
      <c r="I223" s="527">
        <v>389.92219970758822</v>
      </c>
      <c r="J223" s="527">
        <v>389.92219970758811</v>
      </c>
      <c r="K223" s="514">
        <v>674.18315269483674</v>
      </c>
      <c r="L223" s="515">
        <v>847.20398162042738</v>
      </c>
      <c r="M223" s="531">
        <v>22001.051045306078</v>
      </c>
      <c r="N223" s="530">
        <v>10586.84112820343</v>
      </c>
      <c r="O223" s="529">
        <v>40646.872683908929</v>
      </c>
      <c r="P223" s="530">
        <v>38793.895359314847</v>
      </c>
      <c r="Q223" s="529">
        <v>29332.758177641339</v>
      </c>
      <c r="R223" s="530">
        <v>10787.840301248876</v>
      </c>
      <c r="S223" s="529">
        <v>113978.18797360981</v>
      </c>
      <c r="T223" s="530">
        <v>12783.403305847438</v>
      </c>
      <c r="U223" s="529">
        <v>44103.434857329834</v>
      </c>
      <c r="V223" s="530">
        <v>16051.110384152526</v>
      </c>
      <c r="W223" s="529">
        <v>0</v>
      </c>
      <c r="X223" s="531">
        <v>8374.4171822568424</v>
      </c>
      <c r="Y223" s="529">
        <v>4087.5074973598439</v>
      </c>
      <c r="Z223" s="530">
        <v>4106.9728574913916</v>
      </c>
      <c r="AA223" s="529">
        <v>22001.051045306078</v>
      </c>
      <c r="AB223" s="530">
        <v>10586.84112820343</v>
      </c>
      <c r="AC223" s="529">
        <v>0</v>
      </c>
      <c r="AD223" s="530">
        <v>19212.136269900337</v>
      </c>
      <c r="AE223" s="529">
        <v>60215.125682868995</v>
      </c>
      <c r="AF223" s="530">
        <v>9008.0721046375093</v>
      </c>
      <c r="AG223" s="529">
        <v>0</v>
      </c>
      <c r="AH223" s="530">
        <v>25831.853142265474</v>
      </c>
      <c r="AI223" s="529">
        <v>23752.961031426436</v>
      </c>
      <c r="AJ223" s="530">
        <v>11439.924108821222</v>
      </c>
      <c r="AK223" s="531">
        <v>22243.70334618344</v>
      </c>
      <c r="AL223" s="531">
        <v>11555.79045105747</v>
      </c>
      <c r="AM223" s="529">
        <v>41095.172047421569</v>
      </c>
      <c r="AN223" s="530">
        <v>40074.111896834846</v>
      </c>
      <c r="AO223" s="529">
        <v>29656.27277920409</v>
      </c>
      <c r="AP223" s="530">
        <v>11759.007666874462</v>
      </c>
      <c r="AQ223" s="529">
        <v>115235.26744243501</v>
      </c>
      <c r="AR223" s="530">
        <v>13776.591876985745</v>
      </c>
      <c r="AS223" s="529">
        <v>44589.85707064539</v>
      </c>
      <c r="AT223" s="530">
        <v>17080.358377599685</v>
      </c>
      <c r="AU223" s="582">
        <v>4041.9362900274332</v>
      </c>
      <c r="AV223" s="530">
        <v>4605.6382551510433</v>
      </c>
      <c r="AW223" s="582">
        <v>22243.70334618344</v>
      </c>
      <c r="AX223" s="530">
        <v>11555.79045105747</v>
      </c>
      <c r="AY223" s="528">
        <v>0</v>
      </c>
      <c r="AZ223" s="583">
        <v>40824.641764924454</v>
      </c>
      <c r="BA223" s="529">
        <v>60879.24571806546</v>
      </c>
      <c r="BB223" s="530">
        <v>9959.5995785972991</v>
      </c>
      <c r="BC223" s="529">
        <v>0</v>
      </c>
      <c r="BD223" s="530">
        <v>8825.5301550754957</v>
      </c>
      <c r="BE223" s="529">
        <v>0</v>
      </c>
      <c r="BF223" s="530">
        <v>26088.43670866932</v>
      </c>
      <c r="BG223" s="529">
        <v>22243.70334618344</v>
      </c>
      <c r="BH223" s="530">
        <v>11555.79045105747</v>
      </c>
      <c r="BI223" s="529">
        <v>23193.939649661264</v>
      </c>
      <c r="BJ223" s="530">
        <v>10742.661741625288</v>
      </c>
      <c r="BK223" s="529">
        <v>42850.730632670697</v>
      </c>
      <c r="BL223" s="530">
        <v>40479.257097122536</v>
      </c>
      <c r="BM223" s="529">
        <v>30923.169149024456</v>
      </c>
      <c r="BN223" s="530">
        <v>10954.560191802671</v>
      </c>
      <c r="BO223" s="529">
        <v>120158.04189507871</v>
      </c>
      <c r="BP223" s="530">
        <v>13058.333563099854</v>
      </c>
      <c r="BQ223" s="529">
        <v>46494.706290039619</v>
      </c>
      <c r="BR223" s="530">
        <v>16503.233634255703</v>
      </c>
      <c r="BS223" s="531">
        <v>3956.7180410105821</v>
      </c>
      <c r="BT223" s="531">
        <v>3495.6060584307315</v>
      </c>
      <c r="BU223" s="529">
        <v>23193.939649661264</v>
      </c>
      <c r="BV223" s="530">
        <v>10742.661741625288</v>
      </c>
      <c r="BW223" s="528">
        <v>72.502857582470938</v>
      </c>
      <c r="BX223" s="583">
        <v>105.31217537627246</v>
      </c>
      <c r="BY223" s="528">
        <v>479.43701614287676</v>
      </c>
      <c r="BZ223" s="583">
        <v>4813.3652694924131</v>
      </c>
      <c r="CA223" s="529">
        <v>410.7794089093054</v>
      </c>
      <c r="CB223" s="583">
        <v>13531.001514361709</v>
      </c>
      <c r="CC223" s="514">
        <v>4448.460589031487</v>
      </c>
      <c r="CD223" s="227">
        <v>3754.164098798708</v>
      </c>
      <c r="CE223" s="514">
        <v>30776.18102034917</v>
      </c>
      <c r="CF223" s="515">
        <v>3752.728161545268</v>
      </c>
      <c r="CG223" s="227">
        <v>20884.411569332267</v>
      </c>
      <c r="CH223" s="515">
        <v>3103.0491238785908</v>
      </c>
    </row>
    <row r="224" spans="1:86" x14ac:dyDescent="0.25">
      <c r="A224" s="51" t="s">
        <v>1403</v>
      </c>
      <c r="B224" s="584">
        <v>533.4789844925225</v>
      </c>
      <c r="C224" s="585">
        <v>98.203940488622521</v>
      </c>
      <c r="D224" s="585">
        <v>413.49636826291675</v>
      </c>
      <c r="E224" s="534">
        <v>0.34898980901338261</v>
      </c>
      <c r="F224" s="534">
        <v>0.36761200301059987</v>
      </c>
      <c r="G224" s="534">
        <v>0.24741109542883075</v>
      </c>
      <c r="H224" s="567">
        <v>537.2729828340274</v>
      </c>
      <c r="I224" s="533">
        <v>10.309789217995652</v>
      </c>
      <c r="J224" s="533">
        <v>10.288027132732312</v>
      </c>
      <c r="K224" s="586">
        <v>0.14956191586064049</v>
      </c>
      <c r="L224" s="587">
        <v>3.5037371403580084E-2</v>
      </c>
      <c r="M224" s="522">
        <v>618.79290168478451</v>
      </c>
      <c r="N224" s="535">
        <v>5.8777394607816094</v>
      </c>
      <c r="O224" s="534">
        <v>9.0171700791530505</v>
      </c>
      <c r="P224" s="535">
        <v>4.1833079326451603</v>
      </c>
      <c r="Q224" s="534">
        <v>11.529798314957974</v>
      </c>
      <c r="R224" s="535">
        <v>4.0867048956569185</v>
      </c>
      <c r="S224" s="534">
        <v>20.034759170573153</v>
      </c>
      <c r="T224" s="535">
        <v>3.3006476558484419</v>
      </c>
      <c r="U224" s="534">
        <v>10.224407312475094</v>
      </c>
      <c r="V224" s="535">
        <v>3.4397792072955911</v>
      </c>
      <c r="W224" s="534">
        <v>0</v>
      </c>
      <c r="X224" s="522">
        <v>14.043687315962314</v>
      </c>
      <c r="Y224" s="534">
        <v>36.88419921350166</v>
      </c>
      <c r="Z224" s="535">
        <v>10.502287274924665</v>
      </c>
      <c r="AA224" s="534">
        <v>618.79290168478451</v>
      </c>
      <c r="AB224" s="535">
        <v>5.8777394607816094</v>
      </c>
      <c r="AC224" s="534">
        <v>0</v>
      </c>
      <c r="AD224" s="535">
        <v>11.411974126669852</v>
      </c>
      <c r="AE224" s="534">
        <v>6.8902088563555202</v>
      </c>
      <c r="AF224" s="535">
        <v>4.0440807910930276</v>
      </c>
      <c r="AG224" s="534">
        <v>0</v>
      </c>
      <c r="AH224" s="535">
        <v>12.298809003170929</v>
      </c>
      <c r="AI224" s="529">
        <v>623.19363594231174</v>
      </c>
      <c r="AJ224" s="535">
        <v>13.083105442156805</v>
      </c>
      <c r="AK224" s="522">
        <v>625.61764478688417</v>
      </c>
      <c r="AL224" s="522">
        <v>8.852138349071339</v>
      </c>
      <c r="AM224" s="534">
        <v>9.1166215582029952</v>
      </c>
      <c r="AN224" s="535">
        <v>7.1390086265795363</v>
      </c>
      <c r="AO224" s="534">
        <v>11.656961880190163</v>
      </c>
      <c r="AP224" s="535">
        <v>7.0413395669571965</v>
      </c>
      <c r="AQ224" s="534">
        <v>20.255724996262675</v>
      </c>
      <c r="AR224" s="535">
        <v>6.2466081194275418</v>
      </c>
      <c r="AS224" s="534">
        <v>10.337173559613488</v>
      </c>
      <c r="AT224" s="535">
        <v>6.3872749992410043</v>
      </c>
      <c r="AU224" s="588">
        <v>36.47298101005272</v>
      </c>
      <c r="AV224" s="535">
        <v>5.9103429680593873</v>
      </c>
      <c r="AW224" s="588">
        <v>625.61764478688417</v>
      </c>
      <c r="AX224" s="535">
        <v>8.852138349071339</v>
      </c>
      <c r="AY224" s="585">
        <v>0</v>
      </c>
      <c r="AZ224" s="589">
        <v>6.0711024904983191</v>
      </c>
      <c r="BA224" s="534">
        <v>6.966201818195267</v>
      </c>
      <c r="BB224" s="535">
        <v>6.9982451018162504</v>
      </c>
      <c r="BC224" s="534">
        <v>0</v>
      </c>
      <c r="BD224" s="535">
        <v>9.4122809455134391</v>
      </c>
      <c r="BE224" s="534">
        <v>0</v>
      </c>
      <c r="BF224" s="535">
        <v>7.6868459314533775</v>
      </c>
      <c r="BG224" s="534">
        <v>625.61764478688417</v>
      </c>
      <c r="BH224" s="535">
        <v>8.852138349071339</v>
      </c>
      <c r="BI224" s="534">
        <v>652.34361702813817</v>
      </c>
      <c r="BJ224" s="535">
        <v>4.5127170038042843</v>
      </c>
      <c r="BK224" s="534">
        <v>9.5060776049255136</v>
      </c>
      <c r="BL224" s="535">
        <v>2.7264041085634982</v>
      </c>
      <c r="BM224" s="534">
        <v>12.154939586259255</v>
      </c>
      <c r="BN224" s="535">
        <v>2.6245627252877135</v>
      </c>
      <c r="BO224" s="534">
        <v>21.121036178719823</v>
      </c>
      <c r="BP224" s="535">
        <v>1.7958811524114404</v>
      </c>
      <c r="BQ224" s="534">
        <v>10.778770781030362</v>
      </c>
      <c r="BR224" s="535">
        <v>1.9425571793608674</v>
      </c>
      <c r="BS224" s="522">
        <v>35.704002145697466</v>
      </c>
      <c r="BT224" s="522">
        <v>1.4452510931563065</v>
      </c>
      <c r="BU224" s="534">
        <v>652.34361702813817</v>
      </c>
      <c r="BV224" s="535">
        <v>4.5127170038042843</v>
      </c>
      <c r="BW224" s="585">
        <v>2.0391868339157213</v>
      </c>
      <c r="BX224" s="589">
        <v>2.0582921131081407E-2</v>
      </c>
      <c r="BY224" s="528">
        <v>1.0686688726425761E-2</v>
      </c>
      <c r="BZ224" s="589">
        <v>5.5877387895108912</v>
      </c>
      <c r="CA224" s="529">
        <v>0.18940093712627848</v>
      </c>
      <c r="CB224" s="589">
        <v>4.0282425469387348</v>
      </c>
      <c r="CC224" s="586">
        <v>3.6916189910494821</v>
      </c>
      <c r="CD224" s="590">
        <v>9.8332741826971226</v>
      </c>
      <c r="CE224" s="586">
        <v>662.63470121386172</v>
      </c>
      <c r="CF224" s="587">
        <v>12.098074381501794</v>
      </c>
      <c r="CG224" s="590">
        <v>411.65928311393901</v>
      </c>
      <c r="CH224" s="587">
        <v>10.631572525178225</v>
      </c>
    </row>
    <row r="225" spans="1:155" x14ac:dyDescent="0.25">
      <c r="A225" s="51" t="s">
        <v>237</v>
      </c>
      <c r="B225" s="584">
        <v>2.0279806366769888</v>
      </c>
      <c r="C225" s="585">
        <v>66.558710947748679</v>
      </c>
      <c r="D225" s="585">
        <v>412.91659063027703</v>
      </c>
      <c r="E225" s="585">
        <v>0.30746809446261203</v>
      </c>
      <c r="F225" s="585">
        <v>0.33736842495518476</v>
      </c>
      <c r="G225" s="534">
        <v>0.32339541515544534</v>
      </c>
      <c r="H225" s="554">
        <v>2.0719048182683397</v>
      </c>
      <c r="I225" s="533">
        <v>0.29743586415751855</v>
      </c>
      <c r="J225" s="533">
        <v>0.29743586415751844</v>
      </c>
      <c r="K225" s="586">
        <v>0.10136709664632226</v>
      </c>
      <c r="L225" s="587">
        <v>4.0954941627973487E-2</v>
      </c>
      <c r="M225" s="522">
        <v>2.3522951404049168</v>
      </c>
      <c r="N225" s="535">
        <v>18.734542260861286</v>
      </c>
      <c r="O225" s="534">
        <v>6.1114779496508005</v>
      </c>
      <c r="P225" s="535">
        <v>5.3013045382614097</v>
      </c>
      <c r="Q225" s="534">
        <v>11.513631983921158</v>
      </c>
      <c r="R225" s="535">
        <v>67.911108133630094</v>
      </c>
      <c r="S225" s="534">
        <v>17.651086266983953</v>
      </c>
      <c r="T225" s="535">
        <v>87.683487719365857</v>
      </c>
      <c r="U225" s="534">
        <v>9.383241468887876</v>
      </c>
      <c r="V225" s="535">
        <v>28.831656481256648</v>
      </c>
      <c r="W225" s="534">
        <v>0</v>
      </c>
      <c r="X225" s="522">
        <v>4.9463234161308671</v>
      </c>
      <c r="Y225" s="534">
        <v>0.2319198367858071</v>
      </c>
      <c r="Z225" s="535">
        <v>3.7175549798917604</v>
      </c>
      <c r="AA225" s="534">
        <v>2.3522951404049168</v>
      </c>
      <c r="AB225" s="535">
        <v>18.734542260861286</v>
      </c>
      <c r="AC225" s="534">
        <v>0</v>
      </c>
      <c r="AD225" s="535">
        <v>3.9799757421509696</v>
      </c>
      <c r="AE225" s="534">
        <v>9.0063137619056093</v>
      </c>
      <c r="AF225" s="535">
        <v>28.447401690995036</v>
      </c>
      <c r="AG225" s="534">
        <v>0</v>
      </c>
      <c r="AH225" s="535">
        <v>4.876610065681648</v>
      </c>
      <c r="AI225" s="534">
        <v>2.4032436736576308</v>
      </c>
      <c r="AJ225" s="535">
        <v>18.659254435035294</v>
      </c>
      <c r="AK225" s="522">
        <v>2.3782388931368428</v>
      </c>
      <c r="AL225" s="522">
        <v>18.80886112202359</v>
      </c>
      <c r="AM225" s="534">
        <v>6.1788821924385759</v>
      </c>
      <c r="AN225" s="535">
        <v>5.2273864918898711</v>
      </c>
      <c r="AO225" s="534">
        <v>11.640617248697847</v>
      </c>
      <c r="AP225" s="535">
        <v>68.528094533225783</v>
      </c>
      <c r="AQ225" s="534">
        <v>17.845762270727974</v>
      </c>
      <c r="AR225" s="535">
        <v>88.518663989854957</v>
      </c>
      <c r="AS225" s="534">
        <v>9.4867303943680703</v>
      </c>
      <c r="AT225" s="535">
        <v>29.017397846654791</v>
      </c>
      <c r="AU225" s="588">
        <v>0.22933418600143754</v>
      </c>
      <c r="AV225" s="535">
        <v>2.9316715034015428</v>
      </c>
      <c r="AW225" s="588">
        <v>2.3782388931368428</v>
      </c>
      <c r="AX225" s="535">
        <v>18.80886112202359</v>
      </c>
      <c r="AY225" s="585">
        <v>0</v>
      </c>
      <c r="AZ225" s="589">
        <v>5.0973359609744247</v>
      </c>
      <c r="BA225" s="534">
        <v>9.1056455052959357</v>
      </c>
      <c r="BB225" s="535">
        <v>28.628902772480266</v>
      </c>
      <c r="BC225" s="534">
        <v>0</v>
      </c>
      <c r="BD225" s="535">
        <v>4.1467476886668875</v>
      </c>
      <c r="BE225" s="534">
        <v>0</v>
      </c>
      <c r="BF225" s="535">
        <v>4.0778111588637893</v>
      </c>
      <c r="BG225" s="534">
        <v>2.3782388931368428</v>
      </c>
      <c r="BH225" s="535">
        <v>18.80886112202359</v>
      </c>
      <c r="BI225" s="534">
        <v>2.4798356865947668</v>
      </c>
      <c r="BJ225" s="535">
        <v>17.84683999074668</v>
      </c>
      <c r="BK225" s="534">
        <v>6.442839955351972</v>
      </c>
      <c r="BL225" s="535">
        <v>3.6851784716730323</v>
      </c>
      <c r="BM225" s="534">
        <v>12.13789672291367</v>
      </c>
      <c r="BN225" s="535">
        <v>69.690028873567584</v>
      </c>
      <c r="BO225" s="534">
        <v>18.608121438577157</v>
      </c>
      <c r="BP225" s="535">
        <v>90.534575281671948</v>
      </c>
      <c r="BQ225" s="534">
        <v>9.8919972459232408</v>
      </c>
      <c r="BR225" s="535">
        <v>28.491475101171094</v>
      </c>
      <c r="BS225" s="522">
        <v>0.22449901385412629</v>
      </c>
      <c r="BT225" s="522">
        <v>1.2913928558532237</v>
      </c>
      <c r="BU225" s="534">
        <v>2.4798356865947668</v>
      </c>
      <c r="BV225" s="535">
        <v>17.84683999074668</v>
      </c>
      <c r="BW225" s="585">
        <v>7.7518169111790037E-3</v>
      </c>
      <c r="BX225" s="589">
        <v>5.9962071534568853E-2</v>
      </c>
      <c r="BY225" s="585">
        <v>6.5435399834177631E-3</v>
      </c>
      <c r="BZ225" s="589">
        <v>3.5053892478603954</v>
      </c>
      <c r="CA225" s="591">
        <v>5.3653183430422594E-2</v>
      </c>
      <c r="CB225" s="589">
        <v>3.1896249739775455</v>
      </c>
      <c r="CC225" s="586">
        <v>1.2808902813174836</v>
      </c>
      <c r="CD225" s="590">
        <v>2.5217394286293215</v>
      </c>
      <c r="CE225" s="586">
        <v>19.244338726079896</v>
      </c>
      <c r="CF225" s="587">
        <v>3.0403139625194515</v>
      </c>
      <c r="CG225" s="590">
        <v>12.439768590748876</v>
      </c>
      <c r="CH225" s="587">
        <v>1.4798308030834848</v>
      </c>
    </row>
    <row r="226" spans="1:155" x14ac:dyDescent="0.25">
      <c r="A226" s="51" t="s">
        <v>234</v>
      </c>
      <c r="B226" s="584">
        <v>8.636459254832241</v>
      </c>
      <c r="C226" s="585">
        <v>145.77708254111099</v>
      </c>
      <c r="D226" s="585">
        <v>642.81394365776157</v>
      </c>
      <c r="E226" s="585">
        <v>0.72404150677578805</v>
      </c>
      <c r="F226" s="585">
        <v>0.66973131943974695</v>
      </c>
      <c r="G226" s="534">
        <v>0.87768315054709112</v>
      </c>
      <c r="H226" s="554">
        <v>8.9812609073966811</v>
      </c>
      <c r="I226" s="533">
        <v>0.19777935529088192</v>
      </c>
      <c r="J226" s="533">
        <v>0.19777935529088184</v>
      </c>
      <c r="K226" s="586">
        <v>0.22201451026243954</v>
      </c>
      <c r="L226" s="587">
        <v>0.12528890830502454</v>
      </c>
      <c r="M226" s="522">
        <v>10.017601138803547</v>
      </c>
      <c r="N226" s="535">
        <v>6.7225957063325268</v>
      </c>
      <c r="O226" s="534">
        <v>13.385376802351658</v>
      </c>
      <c r="P226" s="535">
        <v>10.383530817090413</v>
      </c>
      <c r="Q226" s="534">
        <v>17.924015041661079</v>
      </c>
      <c r="R226" s="535">
        <v>6.492323820235061</v>
      </c>
      <c r="S226" s="534">
        <v>41.565675681938231</v>
      </c>
      <c r="T226" s="535">
        <v>90.653544022718776</v>
      </c>
      <c r="U226" s="534">
        <v>18.627263919007277</v>
      </c>
      <c r="V226" s="535">
        <v>6.5709210475870403</v>
      </c>
      <c r="W226" s="534">
        <v>0</v>
      </c>
      <c r="X226" s="522">
        <v>12.238256788613876</v>
      </c>
      <c r="Y226" s="534">
        <v>1.2350070369394108</v>
      </c>
      <c r="Z226" s="535">
        <v>6.8053100199874113</v>
      </c>
      <c r="AA226" s="534">
        <v>10.017601138803547</v>
      </c>
      <c r="AB226" s="535">
        <v>6.7225957063325268</v>
      </c>
      <c r="AC226" s="534">
        <v>0</v>
      </c>
      <c r="AD226" s="535">
        <v>7.6137056799864755</v>
      </c>
      <c r="AE226" s="534">
        <v>24.442801186793012</v>
      </c>
      <c r="AF226" s="535">
        <v>6.2925750778134741</v>
      </c>
      <c r="AG226" s="534">
        <v>0</v>
      </c>
      <c r="AH226" s="535">
        <v>14.551410104033868</v>
      </c>
      <c r="AI226" s="534">
        <v>10.417543444495346</v>
      </c>
      <c r="AJ226" s="535">
        <v>6.749399862991261</v>
      </c>
      <c r="AK226" s="522">
        <v>10.128086495189329</v>
      </c>
      <c r="AL226" s="522">
        <v>8.4743263487710561</v>
      </c>
      <c r="AM226" s="534">
        <v>13.533005771191041</v>
      </c>
      <c r="AN226" s="535">
        <v>12.175660186232616</v>
      </c>
      <c r="AO226" s="534">
        <v>18.121701210465616</v>
      </c>
      <c r="AP226" s="535">
        <v>8.2415133930527009</v>
      </c>
      <c r="AQ226" s="534">
        <v>42.024108636844552</v>
      </c>
      <c r="AR226" s="535">
        <v>93.331459735482724</v>
      </c>
      <c r="AS226" s="534">
        <v>18.8327063062682</v>
      </c>
      <c r="AT226" s="535">
        <v>8.3209779474157841</v>
      </c>
      <c r="AU226" s="588">
        <v>1.2212380684974684</v>
      </c>
      <c r="AV226" s="535">
        <v>5.6647730272742773</v>
      </c>
      <c r="AW226" s="588">
        <v>10.128086495189329</v>
      </c>
      <c r="AX226" s="535">
        <v>8.4743263487710561</v>
      </c>
      <c r="AY226" s="585">
        <v>0</v>
      </c>
      <c r="AZ226" s="589">
        <v>10.935931573012565</v>
      </c>
      <c r="BA226" s="534">
        <v>24.712383850623461</v>
      </c>
      <c r="BB226" s="535">
        <v>8.0395604064666166</v>
      </c>
      <c r="BC226" s="534">
        <v>0</v>
      </c>
      <c r="BD226" s="535">
        <v>11.037180097378849</v>
      </c>
      <c r="BE226" s="534">
        <v>0</v>
      </c>
      <c r="BF226" s="535">
        <v>13.324557786731768</v>
      </c>
      <c r="BG226" s="534">
        <v>10.128086495189329</v>
      </c>
      <c r="BH226" s="535">
        <v>8.4743263487710561</v>
      </c>
      <c r="BI226" s="534">
        <v>10.560751655424154</v>
      </c>
      <c r="BJ226" s="535">
        <v>157.59926873020112</v>
      </c>
      <c r="BK226" s="534">
        <v>14.111126832186356</v>
      </c>
      <c r="BL226" s="535">
        <v>298.10554167078084</v>
      </c>
      <c r="BM226" s="534">
        <v>18.895848307419996</v>
      </c>
      <c r="BN226" s="535">
        <v>294.00333209717923</v>
      </c>
      <c r="BO226" s="534">
        <v>43.819350779150732</v>
      </c>
      <c r="BP226" s="535">
        <v>382.72823506935134</v>
      </c>
      <c r="BQ226" s="534">
        <v>19.637227070928652</v>
      </c>
      <c r="BR226" s="535">
        <v>294.08619129710416</v>
      </c>
      <c r="BS226" s="522">
        <v>1.1954900699239013</v>
      </c>
      <c r="BT226" s="522">
        <v>291.31651598357956</v>
      </c>
      <c r="BU226" s="534">
        <v>10.560751655424154</v>
      </c>
      <c r="BV226" s="535">
        <v>157.59926873020112</v>
      </c>
      <c r="BW226" s="585">
        <v>3.3012273240447275E-2</v>
      </c>
      <c r="BX226" s="589">
        <v>3.1037590559541674E-2</v>
      </c>
      <c r="BY226" s="585">
        <v>9.2318159882461906E-2</v>
      </c>
      <c r="BZ226" s="589">
        <v>8.5332976698019447</v>
      </c>
      <c r="CA226" s="591">
        <v>0.10317138416259054</v>
      </c>
      <c r="CB226" s="589">
        <v>7.8117676458011243</v>
      </c>
      <c r="CC226" s="586">
        <v>5.6634012639096651</v>
      </c>
      <c r="CD226" s="590">
        <v>5.5283040456485786</v>
      </c>
      <c r="CE226" s="586">
        <v>13.63888089509077</v>
      </c>
      <c r="CF226" s="587">
        <v>6.7078986509487883</v>
      </c>
      <c r="CG226" s="590">
        <v>10.77864764396417</v>
      </c>
      <c r="CH226" s="587">
        <v>4.8231343189363187</v>
      </c>
    </row>
    <row r="227" spans="1:155" x14ac:dyDescent="0.25">
      <c r="A227" s="51" t="s">
        <v>1404</v>
      </c>
      <c r="B227" s="584">
        <v>8.3873025366202025</v>
      </c>
      <c r="C227" s="585">
        <v>299.2503209619104</v>
      </c>
      <c r="D227" s="585">
        <v>1523.9746317634251</v>
      </c>
      <c r="E227" s="585">
        <v>1.4742559788345524</v>
      </c>
      <c r="F227" s="585">
        <v>1.4745921115771035</v>
      </c>
      <c r="G227" s="534">
        <v>1.3338744091795731</v>
      </c>
      <c r="H227" s="554">
        <v>9.0041556261852946</v>
      </c>
      <c r="I227" s="533">
        <v>0.22389842005793309</v>
      </c>
      <c r="J227" s="533">
        <v>0.22389842005793301</v>
      </c>
      <c r="K227" s="586">
        <v>0.45575005546911018</v>
      </c>
      <c r="L227" s="587">
        <v>0.90215863650264239</v>
      </c>
      <c r="M227" s="522">
        <v>9.7285992978344105</v>
      </c>
      <c r="N227" s="535">
        <v>12.154355844352116</v>
      </c>
      <c r="O227" s="534">
        <v>27.477421241231248</v>
      </c>
      <c r="P227" s="535">
        <v>57.728302240110594</v>
      </c>
      <c r="Q227" s="534">
        <v>42.494013224735866</v>
      </c>
      <c r="R227" s="535">
        <v>9.7567842789751165</v>
      </c>
      <c r="S227" s="534">
        <v>84.633885371120471</v>
      </c>
      <c r="T227" s="535">
        <v>59.420837480821213</v>
      </c>
      <c r="U227" s="534">
        <v>41.012889255665279</v>
      </c>
      <c r="V227" s="535">
        <v>9.4384724894893299</v>
      </c>
      <c r="W227" s="534">
        <v>0</v>
      </c>
      <c r="X227" s="522">
        <v>17.667803196303197</v>
      </c>
      <c r="Y227" s="534">
        <v>1.7427936381828555</v>
      </c>
      <c r="Z227" s="535">
        <v>10.038292276015808</v>
      </c>
      <c r="AA227" s="534">
        <v>9.7285992978344105</v>
      </c>
      <c r="AB227" s="535">
        <v>12.154355844352116</v>
      </c>
      <c r="AC227" s="534">
        <v>0</v>
      </c>
      <c r="AD227" s="535">
        <v>14.473611405528731</v>
      </c>
      <c r="AE227" s="534">
        <v>37.147377127388502</v>
      </c>
      <c r="AF227" s="535">
        <v>9.484141487304516</v>
      </c>
      <c r="AG227" s="534">
        <v>0</v>
      </c>
      <c r="AH227" s="535">
        <v>18.007984298060748</v>
      </c>
      <c r="AI227" s="534">
        <v>10.444099484909836</v>
      </c>
      <c r="AJ227" s="535">
        <v>12.038637832256063</v>
      </c>
      <c r="AK227" s="522">
        <v>9.835897217332537</v>
      </c>
      <c r="AL227" s="522">
        <v>14.303643074259822</v>
      </c>
      <c r="AM227" s="534">
        <v>27.78047310328235</v>
      </c>
      <c r="AN227" s="535">
        <v>60.3805017996687</v>
      </c>
      <c r="AO227" s="534">
        <v>42.962684928704086</v>
      </c>
      <c r="AP227" s="535">
        <v>11.879614105107066</v>
      </c>
      <c r="AQ227" s="534">
        <v>85.567322913499822</v>
      </c>
      <c r="AR227" s="535">
        <v>62.09171430904351</v>
      </c>
      <c r="AS227" s="534">
        <v>41.465225461013944</v>
      </c>
      <c r="AT227" s="535">
        <v>11.557789718265429</v>
      </c>
      <c r="AU227" s="588">
        <v>1.7233634083240639</v>
      </c>
      <c r="AV227" s="535">
        <v>7.857010468880981</v>
      </c>
      <c r="AW227" s="588">
        <v>9.835897217332537</v>
      </c>
      <c r="AX227" s="535">
        <v>14.303643074259822</v>
      </c>
      <c r="AY227" s="585">
        <v>0</v>
      </c>
      <c r="AZ227" s="589">
        <v>56.649300438513023</v>
      </c>
      <c r="BA227" s="534">
        <v>37.557080123529829</v>
      </c>
      <c r="BB227" s="535">
        <v>11.603962677310667</v>
      </c>
      <c r="BC227" s="534">
        <v>0</v>
      </c>
      <c r="BD227" s="535">
        <v>15.40150522562873</v>
      </c>
      <c r="BE227" s="534">
        <v>0</v>
      </c>
      <c r="BF227" s="535">
        <v>15.737895666034298</v>
      </c>
      <c r="BG227" s="534">
        <v>9.835897217332537</v>
      </c>
      <c r="BH227" s="535">
        <v>14.303643074259822</v>
      </c>
      <c r="BI227" s="534">
        <v>10.256080244759465</v>
      </c>
      <c r="BJ227" s="535">
        <v>251.99127571273428</v>
      </c>
      <c r="BK227" s="534">
        <v>28.967236550883236</v>
      </c>
      <c r="BL227" s="535">
        <v>516.14090960974715</v>
      </c>
      <c r="BM227" s="534">
        <v>44.798022429783416</v>
      </c>
      <c r="BN227" s="535">
        <v>465.56811294295221</v>
      </c>
      <c r="BO227" s="534">
        <v>89.222702386889907</v>
      </c>
      <c r="BP227" s="535">
        <v>517.92522339046138</v>
      </c>
      <c r="BQ227" s="534">
        <v>43.236592483480045</v>
      </c>
      <c r="BR227" s="535">
        <v>465.23254054310951</v>
      </c>
      <c r="BS227" s="522">
        <v>1.6870288395582378</v>
      </c>
      <c r="BT227" s="522">
        <v>461.37366773924549</v>
      </c>
      <c r="BU227" s="534">
        <v>10.256080244759465</v>
      </c>
      <c r="BV227" s="535">
        <v>251.99127571273428</v>
      </c>
      <c r="BW227" s="585">
        <v>3.2059888771464012E-2</v>
      </c>
      <c r="BX227" s="589">
        <v>6.8843049862248901E-2</v>
      </c>
      <c r="BY227" s="585">
        <v>6.2867403986114609E-2</v>
      </c>
      <c r="BZ227" s="589">
        <v>11.911566427715011</v>
      </c>
      <c r="CA227" s="591">
        <v>0.17572594630406596</v>
      </c>
      <c r="CB227" s="589">
        <v>11.020178023794468</v>
      </c>
      <c r="CC227" s="586">
        <v>7.9531391764201125</v>
      </c>
      <c r="CD227" s="590">
        <v>7.7447863296975701</v>
      </c>
      <c r="CE227" s="586">
        <v>17.164931652032614</v>
      </c>
      <c r="CF227" s="587">
        <v>9.0093887799372059</v>
      </c>
      <c r="CG227" s="590">
        <v>13.905905651107222</v>
      </c>
      <c r="CH227" s="587">
        <v>6.8534494843655054</v>
      </c>
    </row>
    <row r="228" spans="1:155" x14ac:dyDescent="0.25">
      <c r="A228" s="51" t="s">
        <v>235</v>
      </c>
      <c r="B228" s="584">
        <v>0.78402163177783801</v>
      </c>
      <c r="C228" s="585">
        <v>23.874966395595614</v>
      </c>
      <c r="D228" s="585">
        <v>108.7855676346183</v>
      </c>
      <c r="E228" s="585">
        <v>0.10741900190179578</v>
      </c>
      <c r="F228" s="585">
        <v>0.10783443970721369</v>
      </c>
      <c r="G228" s="534">
        <v>0.1003378749121306</v>
      </c>
      <c r="H228" s="554">
        <v>0.78628356450060721</v>
      </c>
      <c r="I228" s="533">
        <v>1.9871973395916887E-2</v>
      </c>
      <c r="J228" s="533">
        <v>1.9871973395916884E-2</v>
      </c>
      <c r="K228" s="586">
        <v>3.636092093114518E-2</v>
      </c>
      <c r="L228" s="587">
        <v>8.1138923855418224E-2</v>
      </c>
      <c r="M228" s="522">
        <v>0.90940230939546618</v>
      </c>
      <c r="N228" s="535">
        <v>0.72385082910440757</v>
      </c>
      <c r="O228" s="534">
        <v>2.1922199002604308</v>
      </c>
      <c r="P228" s="535">
        <v>4.8818094835926882</v>
      </c>
      <c r="Q228" s="534">
        <v>3.0333414043623534</v>
      </c>
      <c r="R228" s="535">
        <v>0.56964607141827694</v>
      </c>
      <c r="S228" s="534">
        <v>6.166695352881467</v>
      </c>
      <c r="T228" s="535">
        <v>5.8078306028248354</v>
      </c>
      <c r="U228" s="534">
        <v>2.9992035756441253</v>
      </c>
      <c r="V228" s="535">
        <v>0.58265398365643906</v>
      </c>
      <c r="W228" s="534">
        <v>0</v>
      </c>
      <c r="X228" s="522">
        <v>1.1971385218676132</v>
      </c>
      <c r="Y228" s="534">
        <v>0.17845397760098172</v>
      </c>
      <c r="Z228" s="535">
        <v>0.66323735290598429</v>
      </c>
      <c r="AA228" s="534">
        <v>0.90940230939546618</v>
      </c>
      <c r="AB228" s="535">
        <v>0.72385082910440757</v>
      </c>
      <c r="AC228" s="534">
        <v>0</v>
      </c>
      <c r="AD228" s="535">
        <v>1.2224079287895155</v>
      </c>
      <c r="AE228" s="534">
        <v>2.7943327001934128</v>
      </c>
      <c r="AF228" s="535">
        <v>0.55539169519229026</v>
      </c>
      <c r="AG228" s="534">
        <v>0</v>
      </c>
      <c r="AH228" s="535">
        <v>1.1276705143365888</v>
      </c>
      <c r="AI228" s="534">
        <v>0.91202597022114895</v>
      </c>
      <c r="AJ228" s="535">
        <v>0.67182578660434988</v>
      </c>
      <c r="AK228" s="522">
        <v>0.91943221943674491</v>
      </c>
      <c r="AL228" s="522">
        <v>0.81868486806087448</v>
      </c>
      <c r="AM228" s="534">
        <v>2.2163981634593983</v>
      </c>
      <c r="AN228" s="535">
        <v>5.0225269458401742</v>
      </c>
      <c r="AO228" s="534">
        <v>3.0667965001938837</v>
      </c>
      <c r="AP228" s="535">
        <v>0.66277844791045626</v>
      </c>
      <c r="AQ228" s="534">
        <v>6.2347085952081667</v>
      </c>
      <c r="AR228" s="535">
        <v>5.958766785968999</v>
      </c>
      <c r="AS228" s="534">
        <v>3.0322821611594728</v>
      </c>
      <c r="AT228" s="535">
        <v>0.67592990355367666</v>
      </c>
      <c r="AU228" s="588">
        <v>0.1764644122686122</v>
      </c>
      <c r="AV228" s="535">
        <v>0.44222513239923</v>
      </c>
      <c r="AW228" s="588">
        <v>0.91943221943674491</v>
      </c>
      <c r="AX228" s="535">
        <v>0.81868486806087448</v>
      </c>
      <c r="AY228" s="585">
        <v>0</v>
      </c>
      <c r="AZ228" s="589">
        <v>4.8238053086147996</v>
      </c>
      <c r="BA228" s="534">
        <v>2.8251517395985077</v>
      </c>
      <c r="BB228" s="535">
        <v>0.64836677344452176</v>
      </c>
      <c r="BC228" s="534">
        <v>0</v>
      </c>
      <c r="BD228" s="535">
        <v>0.97017700401156903</v>
      </c>
      <c r="BE228" s="534">
        <v>0</v>
      </c>
      <c r="BF228" s="535">
        <v>0.90148308325369897</v>
      </c>
      <c r="BG228" s="534">
        <v>0.91943221943674491</v>
      </c>
      <c r="BH228" s="535">
        <v>0.81868486806087448</v>
      </c>
      <c r="BI228" s="534">
        <v>0.9587097560905451</v>
      </c>
      <c r="BJ228" s="535">
        <v>0.5323078213077167</v>
      </c>
      <c r="BK228" s="534">
        <v>2.3110812279250137</v>
      </c>
      <c r="BL228" s="535">
        <v>4.9157337898738085</v>
      </c>
      <c r="BM228" s="534">
        <v>3.1978080194768435</v>
      </c>
      <c r="BN228" s="535">
        <v>0.36974123623881927</v>
      </c>
      <c r="BO228" s="534">
        <v>6.5010512251456642</v>
      </c>
      <c r="BP228" s="535">
        <v>5.8919688510621162</v>
      </c>
      <c r="BQ228" s="534">
        <v>3.1618192506934562</v>
      </c>
      <c r="BR228" s="535">
        <v>0.38345450879386034</v>
      </c>
      <c r="BS228" s="522">
        <v>0.17274392111084166</v>
      </c>
      <c r="BT228" s="522">
        <v>0.13976610568492231</v>
      </c>
      <c r="BU228" s="534">
        <v>0.9587097560905451</v>
      </c>
      <c r="BV228" s="535">
        <v>0.5323078213077167</v>
      </c>
      <c r="BW228" s="585">
        <v>2.9968689217389328E-3</v>
      </c>
      <c r="BX228" s="589">
        <v>3.1703806373740498E-3</v>
      </c>
      <c r="BY228" s="585">
        <v>3.5093443149299321E-3</v>
      </c>
      <c r="BZ228" s="589">
        <v>0.68059725881092004</v>
      </c>
      <c r="CA228" s="591">
        <v>1.2714747740832281E-2</v>
      </c>
      <c r="CB228" s="589">
        <v>0.61179145349650799</v>
      </c>
      <c r="CC228" s="586">
        <v>0.55654816508805505</v>
      </c>
      <c r="CD228" s="590">
        <v>0.47180458553332549</v>
      </c>
      <c r="CE228" s="586">
        <v>1.3661269057214671</v>
      </c>
      <c r="CF228" s="587">
        <v>0.54562484678338041</v>
      </c>
      <c r="CG228" s="590">
        <v>1.0752100013460424</v>
      </c>
      <c r="CH228" s="587">
        <v>0.39111991978912608</v>
      </c>
    </row>
    <row r="229" spans="1:155" x14ac:dyDescent="0.25">
      <c r="A229" s="51" t="s">
        <v>236</v>
      </c>
      <c r="B229" s="533">
        <v>0.66535709210259841</v>
      </c>
      <c r="C229" s="534">
        <v>19.952188907161162</v>
      </c>
      <c r="D229" s="534">
        <v>91.221592645132858</v>
      </c>
      <c r="E229" s="534">
        <v>9.337058995529969E-2</v>
      </c>
      <c r="F229" s="534">
        <v>9.2800675963400123E-2</v>
      </c>
      <c r="G229" s="534">
        <v>8.9251068505172296E-2</v>
      </c>
      <c r="H229" s="554">
        <v>0.69856875751168857</v>
      </c>
      <c r="I229" s="533">
        <v>1.5663473637979711E-2</v>
      </c>
      <c r="J229" s="533">
        <v>1.5663473637979708E-2</v>
      </c>
      <c r="K229" s="586">
        <v>3.0386638089274692E-2</v>
      </c>
      <c r="L229" s="587">
        <v>7.1188326540406022E-2</v>
      </c>
      <c r="M229" s="522">
        <v>0.77176094587937438</v>
      </c>
      <c r="N229" s="535">
        <v>0.53864762368449326</v>
      </c>
      <c r="O229" s="534">
        <v>1.8320271053492696</v>
      </c>
      <c r="P229" s="535">
        <v>4.3852561842966846</v>
      </c>
      <c r="Q229" s="534">
        <v>2.5435932353797175</v>
      </c>
      <c r="R229" s="535">
        <v>0.46791862662768169</v>
      </c>
      <c r="S229" s="534">
        <v>5.3602060434292866</v>
      </c>
      <c r="T229" s="535">
        <v>5.397842322572548</v>
      </c>
      <c r="U229" s="534">
        <v>2.5810689045848725</v>
      </c>
      <c r="V229" s="535">
        <v>0.45694095305332744</v>
      </c>
      <c r="W229" s="534">
        <v>0</v>
      </c>
      <c r="X229" s="522">
        <v>0.96104480972322559</v>
      </c>
      <c r="Y229" s="534">
        <v>9.6431502945174372E-2</v>
      </c>
      <c r="Z229" s="535">
        <v>0.55480499200284816</v>
      </c>
      <c r="AA229" s="534">
        <v>0.77176094587937438</v>
      </c>
      <c r="AB229" s="535">
        <v>0.53864762368449326</v>
      </c>
      <c r="AC229" s="534">
        <v>0</v>
      </c>
      <c r="AD229" s="535">
        <v>0.94057310457409005</v>
      </c>
      <c r="AE229" s="534">
        <v>2.4855736626833207</v>
      </c>
      <c r="AF229" s="535">
        <v>0.45380463265841564</v>
      </c>
      <c r="AG229" s="534">
        <v>0</v>
      </c>
      <c r="AH229" s="535">
        <v>0.86813880171684465</v>
      </c>
      <c r="AI229" s="534">
        <v>0.81028381820549711</v>
      </c>
      <c r="AJ229" s="535">
        <v>0.52438372538755718</v>
      </c>
      <c r="AK229" s="522">
        <v>0.78027279237522051</v>
      </c>
      <c r="AL229" s="522">
        <v>0.61481592207107261</v>
      </c>
      <c r="AM229" s="534">
        <v>1.8522327578641089</v>
      </c>
      <c r="AN229" s="535">
        <v>4.5038721315147185</v>
      </c>
      <c r="AO229" s="534">
        <v>2.5716468383548658</v>
      </c>
      <c r="AP229" s="535">
        <v>0.54330642458590694</v>
      </c>
      <c r="AQ229" s="534">
        <v>5.4193244158623335</v>
      </c>
      <c r="AR229" s="535">
        <v>5.5276322429494957</v>
      </c>
      <c r="AS229" s="534">
        <v>2.6095358313299091</v>
      </c>
      <c r="AT229" s="535">
        <v>0.53220761146082174</v>
      </c>
      <c r="AU229" s="588">
        <v>9.5356397880063462E-2</v>
      </c>
      <c r="AV229" s="535">
        <v>0.36519047743598521</v>
      </c>
      <c r="AW229" s="588">
        <v>0.78027279237522051</v>
      </c>
      <c r="AX229" s="535">
        <v>0.61481592207107261</v>
      </c>
      <c r="AY229" s="534">
        <v>0</v>
      </c>
      <c r="AZ229" s="589">
        <v>4.3202663574460844</v>
      </c>
      <c r="BA229" s="534">
        <v>2.51298736064749</v>
      </c>
      <c r="BB229" s="535">
        <v>0.52903668150669747</v>
      </c>
      <c r="BC229" s="534">
        <v>0</v>
      </c>
      <c r="BD229" s="535">
        <v>0.76690353700102787</v>
      </c>
      <c r="BE229" s="534">
        <v>0</v>
      </c>
      <c r="BF229" s="535">
        <v>0.67503278701485403</v>
      </c>
      <c r="BG229" s="534">
        <v>0.78027279237522051</v>
      </c>
      <c r="BH229" s="535">
        <v>0.61481592207107261</v>
      </c>
      <c r="BI229" s="534">
        <v>0.81360553029173144</v>
      </c>
      <c r="BJ229" s="535">
        <v>0.34710179596793084</v>
      </c>
      <c r="BK229" s="534">
        <v>1.9313589169223002</v>
      </c>
      <c r="BL229" s="535">
        <v>4.4022945616043252</v>
      </c>
      <c r="BM229" s="534">
        <v>2.6815058913865202</v>
      </c>
      <c r="BN229" s="535">
        <v>0.2725374849219811</v>
      </c>
      <c r="BO229" s="534">
        <v>5.6508343726411665</v>
      </c>
      <c r="BP229" s="535">
        <v>5.4697886717579376</v>
      </c>
      <c r="BQ229" s="534">
        <v>2.7210134770961805</v>
      </c>
      <c r="BR229" s="535">
        <v>0.26096454170179695</v>
      </c>
      <c r="BS229" s="522">
        <v>9.3345949254254448E-2</v>
      </c>
      <c r="BT229" s="522">
        <v>8.6812604275381677E-2</v>
      </c>
      <c r="BU229" s="534">
        <v>0.81360553029173144</v>
      </c>
      <c r="BV229" s="535">
        <v>0.34710179596793084</v>
      </c>
      <c r="BW229" s="534">
        <v>2.5432818564703665E-3</v>
      </c>
      <c r="BX229" s="589">
        <v>2.4519142126834992E-3</v>
      </c>
      <c r="BY229" s="585">
        <v>9.9923686118820183E-4</v>
      </c>
      <c r="BZ229" s="589">
        <v>0.58054219153796416</v>
      </c>
      <c r="CA229" s="591">
        <v>1.0826935016588653E-2</v>
      </c>
      <c r="CB229" s="589">
        <v>0.53148919996725552</v>
      </c>
      <c r="CC229" s="586">
        <v>0.42347168030686816</v>
      </c>
      <c r="CD229" s="590">
        <v>0.40025242726375199</v>
      </c>
      <c r="CE229" s="586">
        <v>1.0857191643678736</v>
      </c>
      <c r="CF229" s="587">
        <v>0.46181959702974046</v>
      </c>
      <c r="CG229" s="590">
        <v>0.84674080771431792</v>
      </c>
      <c r="CH229" s="587">
        <v>0.3363702962578623</v>
      </c>
    </row>
    <row r="230" spans="1:155" x14ac:dyDescent="0.25">
      <c r="A230" s="51" t="s">
        <v>798</v>
      </c>
      <c r="B230" s="584">
        <v>3.250403678037495</v>
      </c>
      <c r="C230" s="585">
        <v>99.084969902513507</v>
      </c>
      <c r="D230" s="585">
        <v>471.89092619055407</v>
      </c>
      <c r="E230" s="585">
        <v>0.3485027592266457</v>
      </c>
      <c r="F230" s="585">
        <v>0.40957597576361282</v>
      </c>
      <c r="G230" s="534">
        <v>0.2075750368464388</v>
      </c>
      <c r="H230" s="554">
        <v>3.3590354270199168</v>
      </c>
      <c r="I230" s="584">
        <v>0.11602600052056274</v>
      </c>
      <c r="J230" s="533">
        <v>0.11602600052056271</v>
      </c>
      <c r="K230" s="586">
        <v>0.15090369956519947</v>
      </c>
      <c r="L230" s="587">
        <v>0.64531349404767302</v>
      </c>
      <c r="M230" s="522">
        <v>3.7702079782824307</v>
      </c>
      <c r="N230" s="535">
        <v>5.2518004422885536</v>
      </c>
      <c r="O230" s="534">
        <v>9.0980669559001903</v>
      </c>
      <c r="P230" s="535">
        <v>37.114707378878229</v>
      </c>
      <c r="Q230" s="534">
        <v>13.158053185551402</v>
      </c>
      <c r="R230" s="535">
        <v>2.7629915184112983</v>
      </c>
      <c r="S230" s="534">
        <v>20.006798683105224</v>
      </c>
      <c r="T230" s="535">
        <v>49.713812296606534</v>
      </c>
      <c r="U230" s="534">
        <v>11.391552961590472</v>
      </c>
      <c r="V230" s="535">
        <v>2.2740158500354104</v>
      </c>
      <c r="W230" s="534">
        <v>0</v>
      </c>
      <c r="X230" s="522">
        <v>5.8145089233218652</v>
      </c>
      <c r="Y230" s="534">
        <v>0.8861801448354808</v>
      </c>
      <c r="Z230" s="535">
        <v>3.5960409886805595</v>
      </c>
      <c r="AA230" s="534">
        <v>3.7702079782824307</v>
      </c>
      <c r="AB230" s="535">
        <v>5.2518004422885536</v>
      </c>
      <c r="AC230" s="534">
        <v>0</v>
      </c>
      <c r="AD230" s="535">
        <v>9.175523447254152</v>
      </c>
      <c r="AE230" s="534">
        <v>5.7808052414087143</v>
      </c>
      <c r="AF230" s="535">
        <v>2.7216120979294955</v>
      </c>
      <c r="AG230" s="534">
        <v>0</v>
      </c>
      <c r="AH230" s="535">
        <v>4.8533459047326835</v>
      </c>
      <c r="AI230" s="534">
        <v>3.8962121080081218</v>
      </c>
      <c r="AJ230" s="535">
        <v>5.0716093615558613</v>
      </c>
      <c r="AK230" s="522">
        <v>3.8117900662850679</v>
      </c>
      <c r="AL230" s="522">
        <v>5.5282232441653827</v>
      </c>
      <c r="AM230" s="534">
        <v>9.1984106565642794</v>
      </c>
      <c r="AN230" s="535">
        <v>37.742740037355183</v>
      </c>
      <c r="AO230" s="534">
        <v>13.303174974231675</v>
      </c>
      <c r="AP230" s="535">
        <v>3.0119501045914538</v>
      </c>
      <c r="AQ230" s="534">
        <v>20.22745612913581</v>
      </c>
      <c r="AR230" s="535">
        <v>50.480877136994209</v>
      </c>
      <c r="AS230" s="534">
        <v>11.517191801798793</v>
      </c>
      <c r="AT230" s="535">
        <v>2.5175785486093041</v>
      </c>
      <c r="AU230" s="588">
        <v>0.87630021210379827</v>
      </c>
      <c r="AV230" s="535">
        <v>2.2399217265928497</v>
      </c>
      <c r="AW230" s="588">
        <v>3.8117900662850679</v>
      </c>
      <c r="AX230" s="535">
        <v>5.5282232441653827</v>
      </c>
      <c r="AY230" s="585">
        <v>0</v>
      </c>
      <c r="AZ230" s="589">
        <v>38.031155473734628</v>
      </c>
      <c r="BA230" s="534">
        <v>5.8445624541829195</v>
      </c>
      <c r="BB230" s="535">
        <v>2.9701140587260739</v>
      </c>
      <c r="BC230" s="534">
        <v>0</v>
      </c>
      <c r="BD230" s="535">
        <v>4.4336691208601469</v>
      </c>
      <c r="BE230" s="534">
        <v>0</v>
      </c>
      <c r="BF230" s="535">
        <v>3.4832164077191607</v>
      </c>
      <c r="BG230" s="534">
        <v>3.8117900662850679</v>
      </c>
      <c r="BH230" s="535">
        <v>5.5282232441653827</v>
      </c>
      <c r="BI230" s="534">
        <v>3.9746272182578615</v>
      </c>
      <c r="BJ230" s="535">
        <v>4.0626611186971058</v>
      </c>
      <c r="BK230" s="534">
        <v>9.5913606795047865</v>
      </c>
      <c r="BL230" s="535">
        <v>37.653349556420608</v>
      </c>
      <c r="BM230" s="534">
        <v>13.871477815503003</v>
      </c>
      <c r="BN230" s="535">
        <v>1.4388953301781682</v>
      </c>
      <c r="BO230" s="534">
        <v>21.091559684275499</v>
      </c>
      <c r="BP230" s="535">
        <v>50.935647016844911</v>
      </c>
      <c r="BQ230" s="534">
        <v>12.009198622509436</v>
      </c>
      <c r="BR230" s="535">
        <v>0.92340472027463671</v>
      </c>
      <c r="BS230" s="522">
        <v>0.85782471810038508</v>
      </c>
      <c r="BT230" s="522">
        <v>0.6338866790499782</v>
      </c>
      <c r="BU230" s="534">
        <v>3.9746272182578615</v>
      </c>
      <c r="BV230" s="535">
        <v>4.0626611186971058</v>
      </c>
      <c r="BW230" s="585">
        <v>1.2424445156861091E-2</v>
      </c>
      <c r="BX230" s="589">
        <v>1.7503158148551391E-2</v>
      </c>
      <c r="BY230" s="585">
        <v>2.4326962948437053E-3</v>
      </c>
      <c r="BZ230" s="589">
        <v>2.8512291963622323</v>
      </c>
      <c r="CA230" s="591">
        <v>5.567056582992394E-2</v>
      </c>
      <c r="CB230" s="589">
        <v>2.362570334569694</v>
      </c>
      <c r="CC230" s="586">
        <v>2.312570809186675</v>
      </c>
      <c r="CD230" s="590">
        <v>3.1423814051770234</v>
      </c>
      <c r="CE230" s="586">
        <v>7.4848454416152688</v>
      </c>
      <c r="CF230" s="587">
        <v>3.2660842010123443</v>
      </c>
      <c r="CG230" s="590">
        <v>5.5869651335483734</v>
      </c>
      <c r="CH230" s="587">
        <v>2.2436463706178578</v>
      </c>
    </row>
    <row r="231" spans="1:155" x14ac:dyDescent="0.25">
      <c r="A231" s="51" t="s">
        <v>799</v>
      </c>
      <c r="B231" s="533">
        <v>0.23863249715265825</v>
      </c>
      <c r="C231" s="534">
        <v>5.7947299311078488</v>
      </c>
      <c r="D231" s="534">
        <v>16.723031875784002</v>
      </c>
      <c r="E231" s="534">
        <v>3.4609844278403253E-2</v>
      </c>
      <c r="F231" s="534">
        <v>2.827421267352459E-2</v>
      </c>
      <c r="G231" s="534">
        <v>3.9040084733796172E-2</v>
      </c>
      <c r="H231" s="554">
        <v>0.2502469004629756</v>
      </c>
      <c r="I231" s="533">
        <v>4.9094813452750753E-3</v>
      </c>
      <c r="J231" s="533">
        <v>4.9094813452750736E-3</v>
      </c>
      <c r="K231" s="586">
        <v>8.8252152212965011E-3</v>
      </c>
      <c r="L231" s="587">
        <v>1.0469882674590283E-2</v>
      </c>
      <c r="M231" s="522">
        <v>0.2767945873066518</v>
      </c>
      <c r="N231" s="535">
        <v>5.878255547329074E-2</v>
      </c>
      <c r="O231" s="534">
        <v>0.53207707441853636</v>
      </c>
      <c r="P231" s="535">
        <v>0.64651606777836035</v>
      </c>
      <c r="Q231" s="534">
        <v>0.46629958457048626</v>
      </c>
      <c r="R231" s="535">
        <v>5.2768708598440683E-2</v>
      </c>
      <c r="S231" s="534">
        <v>1.98687720139776</v>
      </c>
      <c r="T231" s="535">
        <v>0.73804634340188002</v>
      </c>
      <c r="U231" s="534">
        <v>0.78639180561611077</v>
      </c>
      <c r="V231" s="535">
        <v>8.4343943247130529E-2</v>
      </c>
      <c r="W231" s="534">
        <v>0</v>
      </c>
      <c r="X231" s="522">
        <v>0.11372445098006978</v>
      </c>
      <c r="Y231" s="534">
        <v>5.6152951178700013E-3</v>
      </c>
      <c r="Z231" s="535">
        <v>6.2502003383714214E-2</v>
      </c>
      <c r="AA231" s="534">
        <v>0.2767945873066518</v>
      </c>
      <c r="AB231" s="535">
        <v>5.878255547329074E-2</v>
      </c>
      <c r="AC231" s="534">
        <v>0</v>
      </c>
      <c r="AD231" s="535">
        <v>0.10373231286977543</v>
      </c>
      <c r="AE231" s="534">
        <v>1.0872363550205051</v>
      </c>
      <c r="AF231" s="535">
        <v>5.0296335095016131E-2</v>
      </c>
      <c r="AG231" s="534">
        <v>0</v>
      </c>
      <c r="AH231" s="535">
        <v>0.10616957708978578</v>
      </c>
      <c r="AI231" s="534">
        <v>0.29026636507980114</v>
      </c>
      <c r="AJ231" s="535">
        <v>6.1109302042756095E-2</v>
      </c>
      <c r="AK231" s="522">
        <v>0.27984738889063293</v>
      </c>
      <c r="AL231" s="522">
        <v>6.6332548041215175E-2</v>
      </c>
      <c r="AM231" s="534">
        <v>0.53794541798475426</v>
      </c>
      <c r="AN231" s="535">
        <v>0.66055174906238134</v>
      </c>
      <c r="AO231" s="534">
        <v>0.47144246010225893</v>
      </c>
      <c r="AP231" s="535">
        <v>6.0252337860547178E-2</v>
      </c>
      <c r="AQ231" s="534">
        <v>2.0087907146879718</v>
      </c>
      <c r="AR231" s="535">
        <v>0.75309206897189795</v>
      </c>
      <c r="AS231" s="534">
        <v>0.79506501766543092</v>
      </c>
      <c r="AT231" s="535">
        <v>9.2176007877957003E-2</v>
      </c>
      <c r="AU231" s="588">
        <v>5.5526907610059691E-3</v>
      </c>
      <c r="AV231" s="535">
        <v>3.6300363500154136E-2</v>
      </c>
      <c r="AW231" s="588">
        <v>0.27984738889063293</v>
      </c>
      <c r="AX231" s="535">
        <v>6.6332548041215175E-2</v>
      </c>
      <c r="AY231" s="534">
        <v>0</v>
      </c>
      <c r="AZ231" s="589">
        <v>0.61653410544863674</v>
      </c>
      <c r="BA231" s="534">
        <v>1.0992276186469554</v>
      </c>
      <c r="BB231" s="535">
        <v>5.7752681507672314E-2</v>
      </c>
      <c r="BC231" s="534">
        <v>0</v>
      </c>
      <c r="BD231" s="535">
        <v>8.6952035849282183E-2</v>
      </c>
      <c r="BE231" s="534">
        <v>0</v>
      </c>
      <c r="BF231" s="535">
        <v>7.9481346436992686E-2</v>
      </c>
      <c r="BG231" s="534">
        <v>0.27984738889063293</v>
      </c>
      <c r="BH231" s="535">
        <v>6.6332548041215175E-2</v>
      </c>
      <c r="BI231" s="534">
        <v>0.29180228436009537</v>
      </c>
      <c r="BJ231" s="535">
        <v>3.7646617090362024E-2</v>
      </c>
      <c r="BK231" s="534">
        <v>0.56092609064987387</v>
      </c>
      <c r="BL231" s="535">
        <v>0.65725026265659325</v>
      </c>
      <c r="BM231" s="534">
        <v>0.49158217036623914</v>
      </c>
      <c r="BN231" s="535">
        <v>3.1306666467297899E-2</v>
      </c>
      <c r="BO231" s="534">
        <v>2.094604926174171</v>
      </c>
      <c r="BP231" s="535">
        <v>0.75374381163526272</v>
      </c>
      <c r="BQ231" s="534">
        <v>0.82902966966842373</v>
      </c>
      <c r="BR231" s="535">
        <v>6.4594083448520551E-2</v>
      </c>
      <c r="BS231" s="522">
        <v>5.4356204882378238E-3</v>
      </c>
      <c r="BT231" s="522">
        <v>6.3314879360343041E-3</v>
      </c>
      <c r="BU231" s="534">
        <v>0.29180228436009537</v>
      </c>
      <c r="BV231" s="535">
        <v>3.7646617090362024E-2</v>
      </c>
      <c r="BW231" s="534">
        <v>9.1215635570167841E-4</v>
      </c>
      <c r="BX231" s="589">
        <v>2.8044472236216306E-4</v>
      </c>
      <c r="BY231" s="585">
        <v>9.3415277796711794E-5</v>
      </c>
      <c r="BZ231" s="589">
        <v>7.4014557573135561E-2</v>
      </c>
      <c r="CA231" s="591">
        <v>1.5866959663392297E-3</v>
      </c>
      <c r="CB231" s="589">
        <v>7.2343875426987683E-2</v>
      </c>
      <c r="CC231" s="586">
        <v>5.3395199108694204E-2</v>
      </c>
      <c r="CD231" s="590">
        <v>3.7040043132002015E-2</v>
      </c>
      <c r="CE231" s="586">
        <v>0.32667731230447178</v>
      </c>
      <c r="CF231" s="587">
        <v>4.2959360541595035E-2</v>
      </c>
      <c r="CG231" s="590">
        <v>0.22422860809014475</v>
      </c>
      <c r="CH231" s="587">
        <v>3.7584561574030242E-2</v>
      </c>
    </row>
    <row r="232" spans="1:155" x14ac:dyDescent="0.25">
      <c r="A232" s="51" t="s">
        <v>800</v>
      </c>
      <c r="B232" s="533">
        <v>0.15197030518757776</v>
      </c>
      <c r="C232" s="534">
        <v>3.5619686259914949</v>
      </c>
      <c r="D232" s="534">
        <v>14.411585940460828</v>
      </c>
      <c r="E232" s="534">
        <v>1.6448364875930866E-2</v>
      </c>
      <c r="F232" s="534">
        <v>1.5623417361115501E-2</v>
      </c>
      <c r="G232" s="534">
        <v>1.7726157634854672E-2</v>
      </c>
      <c r="H232" s="554">
        <v>0.17896265682458298</v>
      </c>
      <c r="I232" s="533">
        <v>3.7862111784748281E-3</v>
      </c>
      <c r="J232" s="533">
        <v>3.7862111784748272E-3</v>
      </c>
      <c r="K232" s="586">
        <v>5.4247808111172642E-3</v>
      </c>
      <c r="L232" s="587">
        <v>2.6540196616651995E-2</v>
      </c>
      <c r="M232" s="522">
        <v>0.17627338442656421</v>
      </c>
      <c r="N232" s="535">
        <v>0.16357522402499383</v>
      </c>
      <c r="O232" s="534">
        <v>0.32706301557108658</v>
      </c>
      <c r="P232" s="535">
        <v>1.6618678317043247</v>
      </c>
      <c r="Q232" s="534">
        <v>0.40184797750519713</v>
      </c>
      <c r="R232" s="535">
        <v>0.15296181597206474</v>
      </c>
      <c r="S232" s="534">
        <v>0.94426547861273658</v>
      </c>
      <c r="T232" s="535">
        <v>1.7652489722198514</v>
      </c>
      <c r="U232" s="534">
        <v>0.43453473065250714</v>
      </c>
      <c r="V232" s="535">
        <v>0.13394225535309459</v>
      </c>
      <c r="W232" s="534">
        <v>0</v>
      </c>
      <c r="X232" s="522">
        <v>0.322822782952285</v>
      </c>
      <c r="Y232" s="534">
        <v>2.886200417259753E-2</v>
      </c>
      <c r="Z232" s="535">
        <v>0.17007075139396072</v>
      </c>
      <c r="AA232" s="534">
        <v>0.17627338442656421</v>
      </c>
      <c r="AB232" s="535">
        <v>0.16357522402499383</v>
      </c>
      <c r="AC232" s="534">
        <v>0</v>
      </c>
      <c r="AD232" s="535">
        <v>0.25878102173751033</v>
      </c>
      <c r="AE232" s="534">
        <v>0.49365986643862175</v>
      </c>
      <c r="AF232" s="535">
        <v>0.14713388614171286</v>
      </c>
      <c r="AG232" s="534">
        <v>0</v>
      </c>
      <c r="AH232" s="535">
        <v>0.28567653659072545</v>
      </c>
      <c r="AI232" s="534">
        <v>0.20758235081189819</v>
      </c>
      <c r="AJ232" s="535">
        <v>0.1592149841855213</v>
      </c>
      <c r="AK232" s="522">
        <v>0.17821752528721968</v>
      </c>
      <c r="AL232" s="522">
        <v>0.1912184076873347</v>
      </c>
      <c r="AM232" s="534">
        <v>0.33067023383974048</v>
      </c>
      <c r="AN232" s="535">
        <v>1.7060448002463553</v>
      </c>
      <c r="AO232" s="534">
        <v>0.40628000832698624</v>
      </c>
      <c r="AP232" s="535">
        <v>0.18048787978432551</v>
      </c>
      <c r="AQ232" s="534">
        <v>0.9546798988398707</v>
      </c>
      <c r="AR232" s="535">
        <v>1.810566760338205</v>
      </c>
      <c r="AS232" s="534">
        <v>0.43932726769934299</v>
      </c>
      <c r="AT232" s="535">
        <v>0.16125843671504592</v>
      </c>
      <c r="AU232" s="588">
        <v>2.8540224609617432E-2</v>
      </c>
      <c r="AV232" s="535">
        <v>0.10660963708967422</v>
      </c>
      <c r="AW232" s="588">
        <v>0.17821752528721968</v>
      </c>
      <c r="AX232" s="535">
        <v>0.1912184076873347</v>
      </c>
      <c r="AY232" s="534">
        <v>0</v>
      </c>
      <c r="AZ232" s="589">
        <v>1.6090532066301075</v>
      </c>
      <c r="BA232" s="534">
        <v>0.49910450188787692</v>
      </c>
      <c r="BB232" s="535">
        <v>0.17459563825837085</v>
      </c>
      <c r="BC232" s="534">
        <v>0</v>
      </c>
      <c r="BD232" s="535">
        <v>0.25765954228214694</v>
      </c>
      <c r="BE232" s="534">
        <v>0</v>
      </c>
      <c r="BF232" s="535">
        <v>0.22092721909188279</v>
      </c>
      <c r="BG232" s="534">
        <v>0.17821752528721968</v>
      </c>
      <c r="BH232" s="535">
        <v>0.1912184076873347</v>
      </c>
      <c r="BI232" s="534">
        <v>0.18583086016263509</v>
      </c>
      <c r="BJ232" s="535">
        <v>0.12023426790658266</v>
      </c>
      <c r="BK232" s="534">
        <v>0.3447962476506527</v>
      </c>
      <c r="BL232" s="535">
        <v>1.6997725150997756</v>
      </c>
      <c r="BM232" s="534">
        <v>0.42363602172463011</v>
      </c>
      <c r="BN232" s="535">
        <v>0.10904534268146553</v>
      </c>
      <c r="BO232" s="534">
        <v>0.9954631930584491</v>
      </c>
      <c r="BP232" s="535">
        <v>1.8087595478367595</v>
      </c>
      <c r="BQ232" s="534">
        <v>0.45809503817256614</v>
      </c>
      <c r="BR232" s="535">
        <v>8.8994437211802752E-2</v>
      </c>
      <c r="BS232" s="522">
        <v>2.7938496182135779E-2</v>
      </c>
      <c r="BT232" s="522">
        <v>3.201109602136442E-2</v>
      </c>
      <c r="BU232" s="534">
        <v>0.18583086016263509</v>
      </c>
      <c r="BV232" s="535">
        <v>0.12023426790658266</v>
      </c>
      <c r="BW232" s="534">
        <v>5.8089606993507771E-4</v>
      </c>
      <c r="BX232" s="589">
        <v>8.9810212694979119E-4</v>
      </c>
      <c r="BY232" s="585">
        <v>1.6672674337335836E-4</v>
      </c>
      <c r="BZ232" s="589">
        <v>0.20508250569111636</v>
      </c>
      <c r="CA232" s="591">
        <v>3.1684060385749921E-3</v>
      </c>
      <c r="CB232" s="589">
        <v>0.19846194748583235</v>
      </c>
      <c r="CC232" s="586">
        <v>0.15923146046411449</v>
      </c>
      <c r="CD232" s="590">
        <v>9.9210821571532007E-2</v>
      </c>
      <c r="CE232" s="586">
        <v>0.2770706050395943</v>
      </c>
      <c r="CF232" s="587">
        <v>0.11495151707135544</v>
      </c>
      <c r="CG232" s="590">
        <v>0.23719605080548875</v>
      </c>
      <c r="CH232" s="587">
        <v>0.10079094288898993</v>
      </c>
    </row>
    <row r="233" spans="1:155" x14ac:dyDescent="0.25">
      <c r="A233" s="51" t="s">
        <v>6</v>
      </c>
      <c r="B233" s="584">
        <v>5.0981523730945337</v>
      </c>
      <c r="C233" s="585">
        <v>140.75533438547541</v>
      </c>
      <c r="D233" s="585">
        <v>680.64975969246382</v>
      </c>
      <c r="E233" s="585">
        <v>0.59110948036267219</v>
      </c>
      <c r="F233" s="585">
        <v>0.59305470293077078</v>
      </c>
      <c r="G233" s="534">
        <v>0.63607269510834652</v>
      </c>
      <c r="H233" s="554">
        <v>3.9374813406758071</v>
      </c>
      <c r="I233" s="584">
        <v>0.22802332823836774</v>
      </c>
      <c r="J233" s="533">
        <v>0.22802332823836768</v>
      </c>
      <c r="K233" s="586">
        <v>0.21436652514708146</v>
      </c>
      <c r="L233" s="587">
        <v>1.9209222678576154</v>
      </c>
      <c r="M233" s="522">
        <v>5.9134484991555549</v>
      </c>
      <c r="N233" s="535">
        <v>27.378094628480561</v>
      </c>
      <c r="O233" s="534">
        <v>12.924275577810823</v>
      </c>
      <c r="P233" s="535">
        <v>132.71203513496664</v>
      </c>
      <c r="Q233" s="534">
        <v>18.979016636462493</v>
      </c>
      <c r="R233" s="535">
        <v>27.253242172244676</v>
      </c>
      <c r="S233" s="534">
        <v>33.934332111269896</v>
      </c>
      <c r="T233" s="535">
        <v>35.483941408921432</v>
      </c>
      <c r="U233" s="534">
        <v>16.494654123598558</v>
      </c>
      <c r="V233" s="535">
        <v>23.144955120779937</v>
      </c>
      <c r="W233" s="534">
        <v>0</v>
      </c>
      <c r="X233" s="522">
        <v>48.630089666020702</v>
      </c>
      <c r="Y233" s="534">
        <v>3.2679014538396172</v>
      </c>
      <c r="Z233" s="535">
        <v>29.681612323515267</v>
      </c>
      <c r="AA233" s="534">
        <v>5.9134484991555549</v>
      </c>
      <c r="AB233" s="535">
        <v>27.378094628480561</v>
      </c>
      <c r="AC233" s="534">
        <v>0</v>
      </c>
      <c r="AD233" s="535">
        <v>31.68281317323784</v>
      </c>
      <c r="AE233" s="534">
        <v>17.714135695996525</v>
      </c>
      <c r="AF233" s="535">
        <v>26.433905689052395</v>
      </c>
      <c r="AG233" s="534">
        <v>0</v>
      </c>
      <c r="AH233" s="535">
        <v>45.488886692090936</v>
      </c>
      <c r="AI233" s="534">
        <v>4.5671630466272459</v>
      </c>
      <c r="AJ233" s="535">
        <v>25.790770882723042</v>
      </c>
      <c r="AK233" s="522">
        <v>5.9786686507512679</v>
      </c>
      <c r="AL233" s="522">
        <v>38.719887947808765</v>
      </c>
      <c r="AM233" s="534">
        <v>13.066819004471254</v>
      </c>
      <c r="AN233" s="535">
        <v>145.21619734268029</v>
      </c>
      <c r="AO233" s="534">
        <v>19.188338547754086</v>
      </c>
      <c r="AP233" s="535">
        <v>38.593657734222596</v>
      </c>
      <c r="AQ233" s="534">
        <v>34.308598038319467</v>
      </c>
      <c r="AR233" s="535">
        <v>46.915183428889712</v>
      </c>
      <c r="AS233" s="534">
        <v>16.676575694846466</v>
      </c>
      <c r="AT233" s="535">
        <v>34.440035389781855</v>
      </c>
      <c r="AU233" s="588">
        <v>3.231467951322252</v>
      </c>
      <c r="AV233" s="535">
        <v>30.21945201557816</v>
      </c>
      <c r="AW233" s="588">
        <v>5.9786686507512679</v>
      </c>
      <c r="AX233" s="535">
        <v>38.719887947808765</v>
      </c>
      <c r="AY233" s="585">
        <v>0</v>
      </c>
      <c r="AZ233" s="589">
        <v>35.539272065439462</v>
      </c>
      <c r="BA233" s="534">
        <v>17.909507079656152</v>
      </c>
      <c r="BB233" s="535">
        <v>37.765279804060789</v>
      </c>
      <c r="BC233" s="534">
        <v>0</v>
      </c>
      <c r="BD233" s="535">
        <v>48.956785175263967</v>
      </c>
      <c r="BE233" s="534">
        <v>0</v>
      </c>
      <c r="BF233" s="535">
        <v>45.85058484154704</v>
      </c>
      <c r="BG233" s="534">
        <v>5.9786686507512679</v>
      </c>
      <c r="BH233" s="535">
        <v>38.719887947808765</v>
      </c>
      <c r="BI233" s="534">
        <v>6.2340734235083817</v>
      </c>
      <c r="BJ233" s="535">
        <v>11.259132290972721</v>
      </c>
      <c r="BK233" s="534">
        <v>13.625024874949782</v>
      </c>
      <c r="BL233" s="535">
        <v>122.30485654056875</v>
      </c>
      <c r="BM233" s="534">
        <v>20.008051686691775</v>
      </c>
      <c r="BN233" s="535">
        <v>11.127509650061437</v>
      </c>
      <c r="BO233" s="534">
        <v>35.774238667942086</v>
      </c>
      <c r="BP233" s="535">
        <v>19.804522523809275</v>
      </c>
      <c r="BQ233" s="534">
        <v>17.388987985026464</v>
      </c>
      <c r="BR233" s="535">
        <v>6.7964487511572829</v>
      </c>
      <c r="BS233" s="522">
        <v>3.163337228617594</v>
      </c>
      <c r="BT233" s="522">
        <v>2.3955663148798978</v>
      </c>
      <c r="BU233" s="534">
        <v>6.2340734235083817</v>
      </c>
      <c r="BV233" s="535">
        <v>11.259132290972721</v>
      </c>
      <c r="BW233" s="585">
        <v>1.9487337830936206E-2</v>
      </c>
      <c r="BX233" s="589">
        <v>9.7322726783139551E-2</v>
      </c>
      <c r="BY233" s="585">
        <v>5.0638883295831043E-2</v>
      </c>
      <c r="BZ233" s="589">
        <v>38.589502446961973</v>
      </c>
      <c r="CA233" s="591">
        <v>0.88897672791640048</v>
      </c>
      <c r="CB233" s="589">
        <v>32.97554745841876</v>
      </c>
      <c r="CC233" s="586">
        <v>19.752233014762137</v>
      </c>
      <c r="CD233" s="590">
        <v>30.527378317066958</v>
      </c>
      <c r="CE233" s="586">
        <v>15.263642133561907</v>
      </c>
      <c r="CF233" s="587">
        <v>37.60113760422967</v>
      </c>
      <c r="CG233" s="590">
        <v>17.597786227706482</v>
      </c>
      <c r="CH233" s="587">
        <v>24.256913661007033</v>
      </c>
    </row>
    <row r="234" spans="1:155" x14ac:dyDescent="0.25">
      <c r="A234" s="51" t="s">
        <v>3</v>
      </c>
      <c r="B234" s="584">
        <v>19.662826099943207</v>
      </c>
      <c r="C234" s="585">
        <v>465.42698516614462</v>
      </c>
      <c r="D234" s="585">
        <v>1429.2131854172553</v>
      </c>
      <c r="E234" s="585">
        <v>1.6144384543244481</v>
      </c>
      <c r="F234" s="585">
        <v>2.5236373266476586</v>
      </c>
      <c r="G234" s="534">
        <v>1.0733654384882885</v>
      </c>
      <c r="H234" s="554">
        <v>19.699065552667406</v>
      </c>
      <c r="I234" s="584">
        <v>0.37942953024671566</v>
      </c>
      <c r="J234" s="533">
        <v>0.37942953024671555</v>
      </c>
      <c r="K234" s="586">
        <v>0.70883257075366779</v>
      </c>
      <c r="L234" s="587">
        <v>1.747572139725734E-3</v>
      </c>
      <c r="M234" s="522">
        <v>22.807303701534494</v>
      </c>
      <c r="N234" s="535">
        <v>0.16894946361812777</v>
      </c>
      <c r="O234" s="534">
        <v>42.735905135668126</v>
      </c>
      <c r="P234" s="535">
        <v>0.16543102105324081</v>
      </c>
      <c r="Q234" s="534">
        <v>39.851715859477402</v>
      </c>
      <c r="R234" s="535">
        <v>0.16701635844387983</v>
      </c>
      <c r="S234" s="534">
        <v>92.681461729624203</v>
      </c>
      <c r="T234" s="535">
        <v>4.5481262238865288</v>
      </c>
      <c r="U234" s="534">
        <v>70.190025693658896</v>
      </c>
      <c r="V234" s="535">
        <v>0.12923974464938356</v>
      </c>
      <c r="W234" s="534">
        <v>0</v>
      </c>
      <c r="X234" s="522">
        <v>0.36656382514091174</v>
      </c>
      <c r="Y234" s="534">
        <v>2.9782223388141876E-2</v>
      </c>
      <c r="Z234" s="535">
        <v>0.19079427753034323</v>
      </c>
      <c r="AA234" s="534">
        <v>22.807303701534494</v>
      </c>
      <c r="AB234" s="535">
        <v>0.16894946361812777</v>
      </c>
      <c r="AC234" s="534">
        <v>0</v>
      </c>
      <c r="AD234" s="535">
        <v>0.22480821742915064</v>
      </c>
      <c r="AE234" s="534">
        <v>29.892402511533088</v>
      </c>
      <c r="AF234" s="535">
        <v>0.16070555716993243</v>
      </c>
      <c r="AG234" s="534">
        <v>0</v>
      </c>
      <c r="AH234" s="535">
        <v>0.32456475297942822</v>
      </c>
      <c r="AI234" s="534">
        <v>22.849338564684739</v>
      </c>
      <c r="AJ234" s="535">
        <v>0.169310616647393</v>
      </c>
      <c r="AK234" s="522">
        <v>23.058848262227968</v>
      </c>
      <c r="AL234" s="522">
        <v>0.31283018052773126</v>
      </c>
      <c r="AM234" s="534">
        <v>43.207244695305178</v>
      </c>
      <c r="AN234" s="535">
        <v>0.30927291165336285</v>
      </c>
      <c r="AO234" s="534">
        <v>40.291245340469004</v>
      </c>
      <c r="AP234" s="535">
        <v>0.31087574337537899</v>
      </c>
      <c r="AQ234" s="534">
        <v>93.703656982526397</v>
      </c>
      <c r="AR234" s="535">
        <v>4.7403315244811308</v>
      </c>
      <c r="AS234" s="534">
        <v>70.964160129242657</v>
      </c>
      <c r="AT234" s="535">
        <v>0.27268226147197</v>
      </c>
      <c r="AU234" s="588">
        <v>2.9450184394276345E-2</v>
      </c>
      <c r="AV234" s="535">
        <v>0.23385577427030768</v>
      </c>
      <c r="AW234" s="588">
        <v>23.058848262227968</v>
      </c>
      <c r="AX234" s="535">
        <v>0.31283018052773126</v>
      </c>
      <c r="AY234" s="585">
        <v>0</v>
      </c>
      <c r="AZ234" s="535">
        <v>0.31659596312088817</v>
      </c>
      <c r="BA234" s="534">
        <v>30.222089499361033</v>
      </c>
      <c r="BB234" s="535">
        <v>0.30449530187885615</v>
      </c>
      <c r="BC234" s="534">
        <v>0</v>
      </c>
      <c r="BD234" s="535">
        <v>0.40766670975474206</v>
      </c>
      <c r="BE234" s="534">
        <v>0</v>
      </c>
      <c r="BF234" s="535">
        <v>0.36613563613532751</v>
      </c>
      <c r="BG234" s="534">
        <v>23.058848262227968</v>
      </c>
      <c r="BH234" s="535">
        <v>0.31283018052773126</v>
      </c>
      <c r="BI234" s="534">
        <v>24.043907017694373</v>
      </c>
      <c r="BJ234" s="535">
        <v>0.10714563162294956</v>
      </c>
      <c r="BK234" s="534">
        <v>45.053029627955475</v>
      </c>
      <c r="BL234" s="535">
        <v>0.10343639981248275</v>
      </c>
      <c r="BM234" s="534">
        <v>42.012460708206518</v>
      </c>
      <c r="BN234" s="535">
        <v>0.105107702887987</v>
      </c>
      <c r="BO234" s="534">
        <v>97.706615269088303</v>
      </c>
      <c r="BP234" s="535">
        <v>4.7237853644834136</v>
      </c>
      <c r="BQ234" s="534">
        <v>73.99570214143148</v>
      </c>
      <c r="BR234" s="535">
        <v>6.528263398487498E-2</v>
      </c>
      <c r="BS234" s="522">
        <v>2.8829270810483421E-2</v>
      </c>
      <c r="BT234" s="522">
        <v>2.4797518436036208E-2</v>
      </c>
      <c r="BU234" s="534">
        <v>24.043907017694373</v>
      </c>
      <c r="BV234" s="535">
        <v>0.10714563162294956</v>
      </c>
      <c r="BW234" s="585">
        <v>7.5159804352406698E-2</v>
      </c>
      <c r="BX234" s="535">
        <v>6.7524255911167194E-4</v>
      </c>
      <c r="BY234" s="585">
        <v>1.6459135295696512E-4</v>
      </c>
      <c r="BZ234" s="535">
        <v>0.33987549933154049</v>
      </c>
      <c r="CA234" s="591">
        <v>1.4495233795765298E-3</v>
      </c>
      <c r="CB234" s="535">
        <v>0.30164384026056612</v>
      </c>
      <c r="CC234" s="586">
        <v>0.183225332492295</v>
      </c>
      <c r="CD234" s="590">
        <v>0.18409069406528772</v>
      </c>
      <c r="CE234" s="586">
        <v>24.392164213480768</v>
      </c>
      <c r="CF234" s="587">
        <v>0.22830240699210536</v>
      </c>
      <c r="CG234" s="590">
        <v>15.17307040827755</v>
      </c>
      <c r="CH234" s="587">
        <v>0.19626699198077407</v>
      </c>
    </row>
    <row r="235" spans="1:155" x14ac:dyDescent="0.25">
      <c r="A235" s="51" t="s">
        <v>2</v>
      </c>
      <c r="B235" s="527">
        <v>2820.9435905861014</v>
      </c>
      <c r="C235" s="529">
        <v>72011.794567175762</v>
      </c>
      <c r="D235" s="529">
        <v>289903.03316527203</v>
      </c>
      <c r="E235" s="529">
        <v>306.25626844181062</v>
      </c>
      <c r="F235" s="529">
        <v>285.98122525396963</v>
      </c>
      <c r="G235" s="529">
        <v>336.07172499026188</v>
      </c>
      <c r="H235" s="567">
        <v>2344.9711354533465</v>
      </c>
      <c r="I235" s="527">
        <v>108.17798787771898</v>
      </c>
      <c r="J235" s="527">
        <v>108.17798787771895</v>
      </c>
      <c r="K235" s="514">
        <v>109.67199387765362</v>
      </c>
      <c r="L235" s="587">
        <v>89.115963658440052</v>
      </c>
      <c r="M235" s="531">
        <v>3272.0686674628232</v>
      </c>
      <c r="N235" s="530">
        <v>17261.74053582858</v>
      </c>
      <c r="O235" s="529">
        <v>6612.1847665825962</v>
      </c>
      <c r="P235" s="530">
        <v>7591.7734394640556</v>
      </c>
      <c r="Q235" s="529">
        <v>8083.5619363042506</v>
      </c>
      <c r="R235" s="530">
        <v>6874.1678493428981</v>
      </c>
      <c r="S235" s="529">
        <v>17581.517924710493</v>
      </c>
      <c r="T235" s="530">
        <v>6621.1793989386379</v>
      </c>
      <c r="U235" s="529">
        <v>7954.0072325466526</v>
      </c>
      <c r="V235" s="530">
        <v>5833.3226343015494</v>
      </c>
      <c r="W235" s="529">
        <v>0</v>
      </c>
      <c r="X235" s="531">
        <v>14431.89104573523</v>
      </c>
      <c r="Y235" s="529">
        <v>1693.3051619254049</v>
      </c>
      <c r="Z235" s="530">
        <v>7536.4788333830047</v>
      </c>
      <c r="AA235" s="529">
        <v>3272.0686674628232</v>
      </c>
      <c r="AB235" s="530">
        <v>17261.74053582858</v>
      </c>
      <c r="AC235" s="529">
        <v>0</v>
      </c>
      <c r="AD235" s="530">
        <v>9187.9061954443841</v>
      </c>
      <c r="AE235" s="529">
        <v>9359.3392482459476</v>
      </c>
      <c r="AF235" s="530">
        <v>6653.6847477963092</v>
      </c>
      <c r="AG235" s="529">
        <v>0</v>
      </c>
      <c r="AH235" s="530">
        <v>13892.747906542118</v>
      </c>
      <c r="AI235" s="529">
        <v>2719.9787347847791</v>
      </c>
      <c r="AJ235" s="530">
        <v>16523.640279943975</v>
      </c>
      <c r="AK235" s="531">
        <v>3308.1567156725923</v>
      </c>
      <c r="AL235" s="531">
        <v>23368.836660936762</v>
      </c>
      <c r="AM235" s="529">
        <v>6685.1113665042758</v>
      </c>
      <c r="AN235" s="530">
        <v>13805.777678845256</v>
      </c>
      <c r="AO235" s="529">
        <v>8172.7165361953957</v>
      </c>
      <c r="AP235" s="530">
        <v>13080.253250711605</v>
      </c>
      <c r="AQ235" s="529">
        <v>17775.426650641919</v>
      </c>
      <c r="AR235" s="530">
        <v>12824.473051489664</v>
      </c>
      <c r="AS235" s="529">
        <v>8041.7329576585198</v>
      </c>
      <c r="AT235" s="530">
        <v>12027.922221223636</v>
      </c>
      <c r="AU235" s="531">
        <v>1674.4266740789642</v>
      </c>
      <c r="AV235" s="530">
        <v>10096.625661043086</v>
      </c>
      <c r="AW235" s="531">
        <v>3308.1567156725923</v>
      </c>
      <c r="AX235" s="530">
        <v>23368.836660936762</v>
      </c>
      <c r="AY235" s="529">
        <v>0</v>
      </c>
      <c r="AZ235" s="530">
        <v>13848.843534878566</v>
      </c>
      <c r="BA235" s="529">
        <v>9462.5645531916962</v>
      </c>
      <c r="BB235" s="530">
        <v>12857.33709960454</v>
      </c>
      <c r="BC235" s="529">
        <v>0</v>
      </c>
      <c r="BD235" s="530">
        <v>16915.201822114523</v>
      </c>
      <c r="BE235" s="529">
        <v>0</v>
      </c>
      <c r="BF235" s="530">
        <v>16382.066391904571</v>
      </c>
      <c r="BG235" s="529">
        <v>3308.1567156725923</v>
      </c>
      <c r="BH235" s="530">
        <v>23368.836660936762</v>
      </c>
      <c r="BI235" s="529">
        <v>3449.478983817542</v>
      </c>
      <c r="BJ235" s="530">
        <v>5173.2565391161361</v>
      </c>
      <c r="BK235" s="529">
        <v>6970.6949051075517</v>
      </c>
      <c r="BL235" s="530">
        <v>5124.0511775452715</v>
      </c>
      <c r="BM235" s="529">
        <v>8521.8495843152305</v>
      </c>
      <c r="BN235" s="530">
        <v>4367.5330780856193</v>
      </c>
      <c r="BO235" s="529">
        <v>18534.781127294085</v>
      </c>
      <c r="BP235" s="530">
        <v>4100.8262069020229</v>
      </c>
      <c r="BQ235" s="529">
        <v>8385.270473885661</v>
      </c>
      <c r="BR235" s="530">
        <v>3270.2475290951129</v>
      </c>
      <c r="BS235" s="531">
        <v>1639.1238639816904</v>
      </c>
      <c r="BT235" s="531">
        <v>1256.4479290469028</v>
      </c>
      <c r="BU235" s="529">
        <v>3449.478983817542</v>
      </c>
      <c r="BV235" s="530">
        <v>5173.2565391161361</v>
      </c>
      <c r="BW235" s="529">
        <v>10.78286342359705</v>
      </c>
      <c r="BX235" s="530">
        <v>31.030162503701089</v>
      </c>
      <c r="BY235" s="528">
        <v>41.549638745642326</v>
      </c>
      <c r="BZ235" s="530">
        <v>12791.358530664535</v>
      </c>
      <c r="CA235" s="591">
        <v>89.729528691624367</v>
      </c>
      <c r="CB235" s="530">
        <v>10907.287050114201</v>
      </c>
      <c r="CC235" s="586">
        <v>7187.901502021633</v>
      </c>
      <c r="CD235" s="590">
        <v>7784.7933698231463</v>
      </c>
      <c r="CE235" s="586">
        <v>17478.59295689375</v>
      </c>
      <c r="CF235" s="587">
        <v>9953.2785112191686</v>
      </c>
      <c r="CG235" s="590">
        <v>13784.284260469476</v>
      </c>
      <c r="CH235" s="587">
        <v>8013.7839245779815</v>
      </c>
    </row>
    <row r="236" spans="1:155" x14ac:dyDescent="0.25">
      <c r="A236" s="51" t="s">
        <v>1405</v>
      </c>
      <c r="B236" s="527">
        <v>2840.8357090661002</v>
      </c>
      <c r="C236" s="529">
        <v>72448.314155527507</v>
      </c>
      <c r="D236" s="529">
        <v>292200.09273657954</v>
      </c>
      <c r="E236" s="529">
        <v>308.35232351353341</v>
      </c>
      <c r="F236" s="529">
        <v>288.08512510896151</v>
      </c>
      <c r="G236" s="529">
        <v>338.45885708026088</v>
      </c>
      <c r="H236" s="567">
        <v>2365.5419821342875</v>
      </c>
      <c r="I236" s="527">
        <v>109.41579245075272</v>
      </c>
      <c r="J236" s="527">
        <v>109.41579245075269</v>
      </c>
      <c r="K236" s="586">
        <v>110.33680127356612</v>
      </c>
      <c r="L236" s="587">
        <v>89.440489130040845</v>
      </c>
      <c r="M236" s="531">
        <v>3295.1419319637766</v>
      </c>
      <c r="N236" s="530">
        <v>17330.693938175358</v>
      </c>
      <c r="O236" s="529">
        <v>6652.2663697388944</v>
      </c>
      <c r="P236" s="530">
        <v>7624.6128156065888</v>
      </c>
      <c r="Q236" s="529">
        <v>8147.6123986719867</v>
      </c>
      <c r="R236" s="530">
        <v>7096.0263595054621</v>
      </c>
      <c r="S236" s="529">
        <v>17701.847967266593</v>
      </c>
      <c r="T236" s="530">
        <v>7036.9151715092194</v>
      </c>
      <c r="U236" s="529">
        <v>8012.523083187888</v>
      </c>
      <c r="V236" s="530">
        <v>5933.5070300762454</v>
      </c>
      <c r="W236" s="529">
        <v>0</v>
      </c>
      <c r="X236" s="531">
        <v>14466.538633430946</v>
      </c>
      <c r="Y236" s="529">
        <v>1695.9687040938159</v>
      </c>
      <c r="Z236" s="530">
        <v>7569.6531109186108</v>
      </c>
      <c r="AA236" s="529">
        <v>3295.1419319637762</v>
      </c>
      <c r="AB236" s="530">
        <v>17330.693938175358</v>
      </c>
      <c r="AC236" s="529">
        <v>0</v>
      </c>
      <c r="AD236" s="530">
        <v>9212.2748478140675</v>
      </c>
      <c r="AE236" s="529">
        <v>9425.8190422878961</v>
      </c>
      <c r="AF236" s="530">
        <v>6752.2341486650457</v>
      </c>
      <c r="AG236" s="529">
        <v>0</v>
      </c>
      <c r="AH236" s="530">
        <v>13930.813176172211</v>
      </c>
      <c r="AI236" s="514">
        <v>2743.8392696471237</v>
      </c>
      <c r="AJ236" s="515">
        <v>16592.401156051201</v>
      </c>
      <c r="AK236" s="531">
        <v>3331.4844580486424</v>
      </c>
      <c r="AL236" s="531">
        <v>23440.774409981805</v>
      </c>
      <c r="AM236" s="529">
        <v>6725.6350345968667</v>
      </c>
      <c r="AN236" s="530">
        <v>13841.202880370964</v>
      </c>
      <c r="AO236" s="529">
        <v>8237.4734189988558</v>
      </c>
      <c r="AP236" s="530">
        <v>13306.783428291146</v>
      </c>
      <c r="AQ236" s="529">
        <v>17897.08382805311</v>
      </c>
      <c r="AR236" s="530">
        <v>13247.019943366186</v>
      </c>
      <c r="AS236" s="529">
        <v>8100.8941868212933</v>
      </c>
      <c r="AT236" s="530">
        <v>12131.435600334506</v>
      </c>
      <c r="AU236" s="531">
        <v>1677.0605206853552</v>
      </c>
      <c r="AV236" s="530">
        <v>10114.664490081072</v>
      </c>
      <c r="AW236" s="531">
        <v>3331.4844580486424</v>
      </c>
      <c r="AX236" s="530">
        <v>23440.774409981805</v>
      </c>
      <c r="AY236" s="529">
        <v>0</v>
      </c>
      <c r="AZ236" s="530">
        <v>13881.915267285956</v>
      </c>
      <c r="BA236" s="529">
        <v>9529.7775610675144</v>
      </c>
      <c r="BB236" s="530">
        <v>12959.197441503218</v>
      </c>
      <c r="BC236" s="529">
        <v>0</v>
      </c>
      <c r="BD236" s="530">
        <v>16945.469992563892</v>
      </c>
      <c r="BE236" s="529">
        <v>0</v>
      </c>
      <c r="BF236" s="530">
        <v>16415.714160824082</v>
      </c>
      <c r="BG236" s="529">
        <v>3331.4844580486424</v>
      </c>
      <c r="BH236" s="530">
        <v>23440.774409981805</v>
      </c>
      <c r="BI236" s="529">
        <v>3473.8032719278572</v>
      </c>
      <c r="BJ236" s="530">
        <v>5476.5351841395177</v>
      </c>
      <c r="BK236" s="529">
        <v>7012.9497175142151</v>
      </c>
      <c r="BL236" s="530">
        <v>5603.9882159313083</v>
      </c>
      <c r="BM236" s="529">
        <v>8589.3728383466369</v>
      </c>
      <c r="BN236" s="530">
        <v>5046.7389042276154</v>
      </c>
      <c r="BO236" s="529">
        <v>18661.635418906793</v>
      </c>
      <c r="BP236" s="530">
        <v>4984.4223835436433</v>
      </c>
      <c r="BQ236" s="529">
        <v>8446.9590316516769</v>
      </c>
      <c r="BR236" s="530">
        <v>3821.1814032939742</v>
      </c>
      <c r="BS236" s="531">
        <v>1641.7021798276066</v>
      </c>
      <c r="BT236" s="531">
        <v>1718.2558666599371</v>
      </c>
      <c r="BU236" s="529">
        <v>3473.8032719278572</v>
      </c>
      <c r="BV236" s="530">
        <v>5476.5351841395177</v>
      </c>
      <c r="BW236" s="529">
        <v>10.858899682348069</v>
      </c>
      <c r="BX236" s="530">
        <v>31.265817649910726</v>
      </c>
      <c r="BY236" s="529">
        <v>41.715104172691653</v>
      </c>
      <c r="BZ236" s="530">
        <v>12815.693128253864</v>
      </c>
      <c r="CA236" s="529">
        <v>90.058874240809445</v>
      </c>
      <c r="CB236" s="530">
        <v>10929.503682821738</v>
      </c>
      <c r="CC236" s="586">
        <v>7200.7932406226446</v>
      </c>
      <c r="CD236" s="590">
        <v>7801.3401259712509</v>
      </c>
      <c r="CE236" s="586">
        <v>17560.003673044223</v>
      </c>
      <c r="CF236" s="587">
        <v>9973.2951399967023</v>
      </c>
      <c r="CG236" s="590">
        <v>13839.992747446397</v>
      </c>
      <c r="CH236" s="587">
        <v>8025.9752749868721</v>
      </c>
    </row>
    <row r="237" spans="1:155" x14ac:dyDescent="0.25">
      <c r="A237" s="220" t="s">
        <v>797</v>
      </c>
      <c r="B237" s="592">
        <v>8360.7121750688129</v>
      </c>
      <c r="C237" s="593">
        <v>203704.39007057215</v>
      </c>
      <c r="D237" s="593">
        <v>702658.65519432561</v>
      </c>
      <c r="E237" s="593">
        <v>766.70908405891532</v>
      </c>
      <c r="F237" s="593">
        <v>994.71114543110923</v>
      </c>
      <c r="G237" s="538">
        <v>650.44258810179235</v>
      </c>
      <c r="H237" s="571">
        <v>7860.7238219646288</v>
      </c>
      <c r="I237" s="592">
        <v>219.79514938960943</v>
      </c>
      <c r="J237" s="537">
        <v>219.79514938960938</v>
      </c>
      <c r="K237" s="594">
        <v>310.23621553870043</v>
      </c>
      <c r="L237" s="595">
        <v>147.16105990634293</v>
      </c>
      <c r="M237" s="540">
        <v>9697.7566077575284</v>
      </c>
      <c r="N237" s="539">
        <v>18192.684361671829</v>
      </c>
      <c r="O237" s="538">
        <v>18704.311883995055</v>
      </c>
      <c r="P237" s="539">
        <v>11624.594131376129</v>
      </c>
      <c r="Q237" s="538">
        <v>19592.7055240759</v>
      </c>
      <c r="R237" s="539">
        <v>7953.7684420935329</v>
      </c>
      <c r="S237" s="538">
        <v>44015.130116369837</v>
      </c>
      <c r="T237" s="539">
        <v>9335.9750846161005</v>
      </c>
      <c r="U237" s="538">
        <v>27665.940790440003</v>
      </c>
      <c r="V237" s="539">
        <v>6658.5091429647691</v>
      </c>
      <c r="W237" s="538">
        <v>0</v>
      </c>
      <c r="X237" s="540">
        <v>16015.787229741833</v>
      </c>
      <c r="Y237" s="538">
        <v>1801.4827144031992</v>
      </c>
      <c r="Z237" s="539">
        <v>8506.2519959251495</v>
      </c>
      <c r="AA237" s="538">
        <v>9697.7566077575284</v>
      </c>
      <c r="AB237" s="539">
        <v>18192.684361671829</v>
      </c>
      <c r="AC237" s="538">
        <v>0</v>
      </c>
      <c r="AD237" s="539">
        <v>10217.795323734714</v>
      </c>
      <c r="AE237" s="538">
        <v>18114.326171677123</v>
      </c>
      <c r="AF237" s="539">
        <v>7583.8371553061988</v>
      </c>
      <c r="AG237" s="538">
        <v>0</v>
      </c>
      <c r="AH237" s="539">
        <v>15374.988177159905</v>
      </c>
      <c r="AI237" s="518">
        <v>9117.8101565955494</v>
      </c>
      <c r="AJ237" s="519">
        <v>17407.187926701085</v>
      </c>
      <c r="AK237" s="540">
        <v>9804.7143594292647</v>
      </c>
      <c r="AL237" s="540">
        <v>24680.029710110575</v>
      </c>
      <c r="AM237" s="538">
        <v>18910.604042748422</v>
      </c>
      <c r="AN237" s="539">
        <v>18253.077066064205</v>
      </c>
      <c r="AO237" s="538">
        <v>19808.795885669966</v>
      </c>
      <c r="AP237" s="539">
        <v>14541.743506712459</v>
      </c>
      <c r="AQ237" s="538">
        <v>44500.578405824737</v>
      </c>
      <c r="AR237" s="539">
        <v>15939.202915730448</v>
      </c>
      <c r="AS237" s="538">
        <v>27971.071857810963</v>
      </c>
      <c r="AT237" s="539">
        <v>13232.190912331853</v>
      </c>
      <c r="AU237" s="596">
        <v>1781.3981659743959</v>
      </c>
      <c r="AV237" s="539">
        <v>11079.046786521094</v>
      </c>
      <c r="AW237" s="596">
        <v>9804.7143594292647</v>
      </c>
      <c r="AX237" s="539">
        <v>24680.029710110575</v>
      </c>
      <c r="AY237" s="593">
        <v>0</v>
      </c>
      <c r="AZ237" s="597">
        <v>15027.416272768054</v>
      </c>
      <c r="BA237" s="538">
        <v>18314.11130536683</v>
      </c>
      <c r="BB237" s="539">
        <v>14167.729997077156</v>
      </c>
      <c r="BC237" s="538">
        <v>0</v>
      </c>
      <c r="BD237" s="539">
        <v>18515.675202549803</v>
      </c>
      <c r="BE237" s="538">
        <v>0</v>
      </c>
      <c r="BF237" s="539">
        <v>17882.016617767127</v>
      </c>
      <c r="BG237" s="538">
        <v>9804.7143594292647</v>
      </c>
      <c r="BH237" s="539">
        <v>24680.029710110575</v>
      </c>
      <c r="BI237" s="538">
        <v>10223.565275778972</v>
      </c>
      <c r="BJ237" s="539">
        <v>5841.3080838435699</v>
      </c>
      <c r="BK237" s="538">
        <v>19718.45254721956</v>
      </c>
      <c r="BL237" s="539">
        <v>9276.9110779890652</v>
      </c>
      <c r="BM237" s="538">
        <v>20655.014551950429</v>
      </c>
      <c r="BN237" s="539">
        <v>5407.0330946878667</v>
      </c>
      <c r="BO237" s="538">
        <v>46401.613699672569</v>
      </c>
      <c r="BP237" s="539">
        <v>6864.1905592571311</v>
      </c>
      <c r="BQ237" s="538">
        <v>29165.977558216258</v>
      </c>
      <c r="BR237" s="539">
        <v>4041.537735156332</v>
      </c>
      <c r="BS237" s="540">
        <v>1743.8400201716729</v>
      </c>
      <c r="BT237" s="540">
        <v>1796.4134653763958</v>
      </c>
      <c r="BU237" s="538">
        <v>10223.565275778972</v>
      </c>
      <c r="BV237" s="539">
        <v>5841.3080838435699</v>
      </c>
      <c r="BW237" s="593">
        <v>31.958248937916998</v>
      </c>
      <c r="BX237" s="597">
        <v>34.350376126685774</v>
      </c>
      <c r="BY237" s="593">
        <v>43.269076334264668</v>
      </c>
      <c r="BZ237" s="597">
        <v>14058.446312490842</v>
      </c>
      <c r="CA237" s="593">
        <v>116.94610061534257</v>
      </c>
      <c r="CB237" s="597">
        <v>11994.523765473752</v>
      </c>
      <c r="CC237" s="594">
        <v>7839.4303002329525</v>
      </c>
      <c r="CD237" s="598">
        <v>8761.3127592996698</v>
      </c>
      <c r="CE237" s="594">
        <v>24673.921038904617</v>
      </c>
      <c r="CF237" s="595">
        <v>11156.135597711591</v>
      </c>
      <c r="CG237" s="598">
        <v>18506.65499849182</v>
      </c>
      <c r="CH237" s="595">
        <v>8802.4121908956331</v>
      </c>
    </row>
    <row r="239" spans="1:155" ht="15.75" x14ac:dyDescent="0.25">
      <c r="A239" s="523" t="s">
        <v>1428</v>
      </c>
    </row>
    <row r="240" spans="1:155" ht="63.75" customHeight="1" x14ac:dyDescent="0.25">
      <c r="A240" s="599"/>
      <c r="B240" s="915" t="s">
        <v>1265</v>
      </c>
      <c r="C240" s="916"/>
      <c r="D240" s="915" t="s">
        <v>1539</v>
      </c>
      <c r="E240" s="916"/>
      <c r="F240" s="915" t="s">
        <v>1540</v>
      </c>
      <c r="G240" s="916"/>
      <c r="H240" s="915" t="s">
        <v>1541</v>
      </c>
      <c r="I240" s="916"/>
      <c r="J240" s="915" t="s">
        <v>1542</v>
      </c>
      <c r="K240" s="916"/>
      <c r="L240" s="915" t="s">
        <v>1543</v>
      </c>
      <c r="M240" s="916"/>
      <c r="N240" s="915" t="s">
        <v>1544</v>
      </c>
      <c r="O240" s="916"/>
      <c r="P240" s="915" t="s">
        <v>1271</v>
      </c>
      <c r="Q240" s="916"/>
      <c r="R240" s="915" t="s">
        <v>1270</v>
      </c>
      <c r="S240" s="916"/>
      <c r="T240" s="915" t="s">
        <v>1545</v>
      </c>
      <c r="U240" s="916"/>
      <c r="V240" s="915" t="s">
        <v>1546</v>
      </c>
      <c r="W240" s="916"/>
      <c r="X240" s="915" t="s">
        <v>1547</v>
      </c>
      <c r="Y240" s="916"/>
      <c r="Z240" s="915" t="s">
        <v>1548</v>
      </c>
      <c r="AA240" s="916"/>
      <c r="AB240" s="915" t="s">
        <v>1272</v>
      </c>
      <c r="AC240" s="916"/>
      <c r="AD240" s="915" t="s">
        <v>1549</v>
      </c>
      <c r="AE240" s="916"/>
      <c r="AF240" s="915" t="s">
        <v>1550</v>
      </c>
      <c r="AG240" s="916"/>
      <c r="AH240" s="915" t="s">
        <v>1551</v>
      </c>
      <c r="AI240" s="916"/>
      <c r="AJ240" s="915" t="s">
        <v>1552</v>
      </c>
      <c r="AK240" s="916"/>
      <c r="AL240" s="915" t="s">
        <v>1553</v>
      </c>
      <c r="AM240" s="916"/>
      <c r="AN240" s="915" t="s">
        <v>1554</v>
      </c>
      <c r="AO240" s="916"/>
      <c r="AP240" s="915" t="s">
        <v>1555</v>
      </c>
      <c r="AQ240" s="916"/>
      <c r="AR240" s="915" t="s">
        <v>1556</v>
      </c>
      <c r="AS240" s="916"/>
      <c r="AT240" s="915" t="s">
        <v>1626</v>
      </c>
      <c r="AU240" s="916"/>
      <c r="AV240" s="915" t="s">
        <v>1631</v>
      </c>
      <c r="AW240" s="916"/>
      <c r="AX240" s="915" t="s">
        <v>1651</v>
      </c>
      <c r="AY240" s="916"/>
      <c r="AZ240" s="915" t="s">
        <v>1557</v>
      </c>
      <c r="BA240" s="916"/>
      <c r="BB240" s="915" t="s">
        <v>1648</v>
      </c>
      <c r="BC240" s="916"/>
      <c r="BD240" s="915" t="s">
        <v>1652</v>
      </c>
      <c r="BE240" s="916"/>
      <c r="BF240" s="915" t="s">
        <v>1653</v>
      </c>
      <c r="BG240" s="916"/>
      <c r="BH240" s="915" t="s">
        <v>1654</v>
      </c>
      <c r="BI240" s="916"/>
      <c r="BJ240" s="915" t="s">
        <v>1558</v>
      </c>
      <c r="BK240" s="916"/>
      <c r="BL240" s="915" t="s">
        <v>1559</v>
      </c>
      <c r="BM240" s="916"/>
      <c r="BN240" s="915" t="s">
        <v>1560</v>
      </c>
      <c r="BO240" s="916"/>
      <c r="BP240" s="915" t="s">
        <v>1561</v>
      </c>
      <c r="BQ240" s="916"/>
      <c r="BR240" s="915" t="s">
        <v>1562</v>
      </c>
      <c r="BS240" s="916"/>
      <c r="BT240" s="915" t="s">
        <v>1563</v>
      </c>
      <c r="BU240" s="916"/>
      <c r="BV240" s="915" t="s">
        <v>1564</v>
      </c>
      <c r="BW240" s="916"/>
      <c r="BX240" s="915" t="s">
        <v>1565</v>
      </c>
      <c r="BY240" s="916"/>
      <c r="BZ240" s="915" t="s">
        <v>1566</v>
      </c>
      <c r="CA240" s="916"/>
      <c r="CB240" s="915" t="s">
        <v>1567</v>
      </c>
      <c r="CC240" s="916"/>
      <c r="CD240" s="915" t="s">
        <v>1568</v>
      </c>
      <c r="CE240" s="917"/>
      <c r="CF240" s="915" t="s">
        <v>1569</v>
      </c>
      <c r="CG240" s="916"/>
      <c r="CH240" s="915" t="s">
        <v>1570</v>
      </c>
      <c r="CI240" s="916"/>
      <c r="CJ240" s="915" t="s">
        <v>1571</v>
      </c>
      <c r="CK240" s="916"/>
      <c r="CL240" s="915" t="s">
        <v>1572</v>
      </c>
      <c r="CM240" s="916"/>
      <c r="CN240" s="915" t="s">
        <v>1573</v>
      </c>
      <c r="CO240" s="916"/>
      <c r="CP240" s="915" t="s">
        <v>1574</v>
      </c>
      <c r="CQ240" s="916"/>
      <c r="CR240" s="915" t="s">
        <v>1626</v>
      </c>
      <c r="CS240" s="916"/>
      <c r="CT240" s="915" t="s">
        <v>1627</v>
      </c>
      <c r="CU240" s="916"/>
      <c r="CV240" s="915" t="s">
        <v>1628</v>
      </c>
      <c r="CW240" s="916"/>
      <c r="CX240" s="915" t="s">
        <v>1629</v>
      </c>
      <c r="CY240" s="916"/>
      <c r="CZ240" s="915" t="s">
        <v>1630</v>
      </c>
      <c r="DA240" s="916"/>
      <c r="DB240" s="915" t="s">
        <v>1631</v>
      </c>
      <c r="DC240" s="916"/>
      <c r="DD240" s="915" t="s">
        <v>1632</v>
      </c>
      <c r="DE240" s="916"/>
      <c r="DF240" s="915" t="s">
        <v>1633</v>
      </c>
      <c r="DG240" s="916"/>
      <c r="DH240" s="915" t="s">
        <v>1634</v>
      </c>
      <c r="DI240" s="916"/>
      <c r="DJ240" s="915" t="s">
        <v>1635</v>
      </c>
      <c r="DK240" s="916"/>
      <c r="DL240" s="915" t="s">
        <v>1636</v>
      </c>
      <c r="DM240" s="916"/>
      <c r="DN240" s="915" t="s">
        <v>1637</v>
      </c>
      <c r="DO240" s="916"/>
      <c r="DP240" s="915" t="s">
        <v>1638</v>
      </c>
      <c r="DQ240" s="916"/>
      <c r="DR240" s="915" t="s">
        <v>1639</v>
      </c>
      <c r="DS240" s="916"/>
      <c r="DT240" s="915" t="s">
        <v>1640</v>
      </c>
      <c r="DU240" s="916"/>
      <c r="DV240" s="915" t="s">
        <v>1641</v>
      </c>
      <c r="DW240" s="916"/>
      <c r="DX240" s="915" t="s">
        <v>1642</v>
      </c>
      <c r="DY240" s="916"/>
      <c r="DZ240" s="915" t="s">
        <v>1643</v>
      </c>
      <c r="EA240" s="916"/>
      <c r="EB240" s="915" t="s">
        <v>1644</v>
      </c>
      <c r="EC240" s="916"/>
      <c r="ED240" s="915" t="s">
        <v>1645</v>
      </c>
      <c r="EE240" s="916"/>
      <c r="EF240" s="915" t="s">
        <v>1646</v>
      </c>
      <c r="EG240" s="916"/>
      <c r="EH240" s="915" t="s">
        <v>1647</v>
      </c>
      <c r="EI240" s="916"/>
      <c r="EJ240" s="915" t="s">
        <v>1648</v>
      </c>
      <c r="EK240" s="916"/>
      <c r="EL240" s="915" t="s">
        <v>1649</v>
      </c>
      <c r="EM240" s="916"/>
      <c r="EN240" s="915" t="s">
        <v>1575</v>
      </c>
      <c r="EO240" s="916"/>
      <c r="EP240" s="915" t="s">
        <v>1576</v>
      </c>
      <c r="EQ240" s="916"/>
      <c r="ER240" s="915" t="s">
        <v>1577</v>
      </c>
      <c r="ES240" s="916"/>
      <c r="ET240" s="915" t="s">
        <v>1578</v>
      </c>
      <c r="EU240" s="916"/>
      <c r="EV240" s="915" t="s">
        <v>1579</v>
      </c>
      <c r="EW240" s="916"/>
      <c r="EX240" s="915" t="s">
        <v>1650</v>
      </c>
      <c r="EY240" s="916"/>
    </row>
    <row r="241" spans="1:155" x14ac:dyDescent="0.25">
      <c r="A241" s="600"/>
      <c r="B241" s="524" t="s">
        <v>1427</v>
      </c>
      <c r="C241" s="525" t="s">
        <v>208</v>
      </c>
      <c r="D241" s="524" t="s">
        <v>1427</v>
      </c>
      <c r="E241" s="525" t="s">
        <v>208</v>
      </c>
      <c r="F241" s="524" t="s">
        <v>1427</v>
      </c>
      <c r="G241" s="525" t="s">
        <v>208</v>
      </c>
      <c r="H241" s="524" t="s">
        <v>1427</v>
      </c>
      <c r="I241" s="525" t="s">
        <v>208</v>
      </c>
      <c r="J241" s="524" t="s">
        <v>1427</v>
      </c>
      <c r="K241" s="525" t="s">
        <v>208</v>
      </c>
      <c r="L241" s="524" t="s">
        <v>1427</v>
      </c>
      <c r="M241" s="525" t="s">
        <v>208</v>
      </c>
      <c r="N241" s="524" t="s">
        <v>1427</v>
      </c>
      <c r="O241" s="525" t="s">
        <v>208</v>
      </c>
      <c r="P241" s="524" t="s">
        <v>1427</v>
      </c>
      <c r="Q241" s="525" t="s">
        <v>208</v>
      </c>
      <c r="R241" s="524" t="s">
        <v>1427</v>
      </c>
      <c r="S241" s="525" t="s">
        <v>208</v>
      </c>
      <c r="T241" s="524" t="s">
        <v>1427</v>
      </c>
      <c r="U241" s="525" t="s">
        <v>208</v>
      </c>
      <c r="V241" s="524" t="s">
        <v>1427</v>
      </c>
      <c r="W241" s="525" t="s">
        <v>208</v>
      </c>
      <c r="X241" s="524" t="s">
        <v>1427</v>
      </c>
      <c r="Y241" s="525" t="s">
        <v>208</v>
      </c>
      <c r="Z241" s="524" t="s">
        <v>1427</v>
      </c>
      <c r="AA241" s="525" t="s">
        <v>208</v>
      </c>
      <c r="AB241" s="524" t="s">
        <v>1427</v>
      </c>
      <c r="AC241" s="525" t="s">
        <v>208</v>
      </c>
      <c r="AD241" s="524" t="s">
        <v>1427</v>
      </c>
      <c r="AE241" s="525" t="s">
        <v>208</v>
      </c>
      <c r="AF241" s="524" t="s">
        <v>1427</v>
      </c>
      <c r="AG241" s="525" t="s">
        <v>208</v>
      </c>
      <c r="AH241" s="524" t="s">
        <v>1427</v>
      </c>
      <c r="AI241" s="525" t="s">
        <v>208</v>
      </c>
      <c r="AJ241" s="524" t="s">
        <v>1427</v>
      </c>
      <c r="AK241" s="525" t="s">
        <v>208</v>
      </c>
      <c r="AL241" s="524" t="s">
        <v>1427</v>
      </c>
      <c r="AM241" s="525" t="s">
        <v>208</v>
      </c>
      <c r="AN241" s="524" t="s">
        <v>1427</v>
      </c>
      <c r="AO241" s="525" t="s">
        <v>208</v>
      </c>
      <c r="AP241" s="524" t="s">
        <v>1427</v>
      </c>
      <c r="AQ241" s="525" t="s">
        <v>208</v>
      </c>
      <c r="AR241" s="524" t="s">
        <v>1427</v>
      </c>
      <c r="AS241" s="525" t="s">
        <v>208</v>
      </c>
      <c r="AT241" s="524" t="s">
        <v>1427</v>
      </c>
      <c r="AU241" s="525" t="s">
        <v>208</v>
      </c>
      <c r="AV241" s="524" t="s">
        <v>1427</v>
      </c>
      <c r="AW241" s="525" t="s">
        <v>208</v>
      </c>
      <c r="AX241" s="524" t="s">
        <v>1427</v>
      </c>
      <c r="AY241" s="525" t="s">
        <v>208</v>
      </c>
      <c r="AZ241" s="524" t="s">
        <v>1427</v>
      </c>
      <c r="BA241" s="525" t="s">
        <v>208</v>
      </c>
      <c r="BB241" s="524" t="s">
        <v>1427</v>
      </c>
      <c r="BC241" s="525" t="s">
        <v>208</v>
      </c>
      <c r="BD241" s="524" t="s">
        <v>1427</v>
      </c>
      <c r="BE241" s="525" t="s">
        <v>208</v>
      </c>
      <c r="BF241" s="524" t="s">
        <v>1427</v>
      </c>
      <c r="BG241" s="525" t="s">
        <v>208</v>
      </c>
      <c r="BH241" s="524" t="s">
        <v>1427</v>
      </c>
      <c r="BI241" s="525" t="s">
        <v>208</v>
      </c>
      <c r="BJ241" s="524" t="s">
        <v>1427</v>
      </c>
      <c r="BK241" s="525" t="s">
        <v>208</v>
      </c>
      <c r="BL241" s="524" t="s">
        <v>1427</v>
      </c>
      <c r="BM241" s="525" t="s">
        <v>208</v>
      </c>
      <c r="BN241" s="524" t="s">
        <v>1427</v>
      </c>
      <c r="BO241" s="525" t="s">
        <v>208</v>
      </c>
      <c r="BP241" s="524" t="s">
        <v>1427</v>
      </c>
      <c r="BQ241" s="525" t="s">
        <v>208</v>
      </c>
      <c r="BR241" s="524" t="s">
        <v>1427</v>
      </c>
      <c r="BS241" s="525" t="s">
        <v>208</v>
      </c>
      <c r="BT241" s="524" t="s">
        <v>1427</v>
      </c>
      <c r="BU241" s="525" t="s">
        <v>208</v>
      </c>
      <c r="BV241" s="524" t="s">
        <v>1427</v>
      </c>
      <c r="BW241" s="525" t="s">
        <v>208</v>
      </c>
      <c r="BX241" s="524" t="s">
        <v>1427</v>
      </c>
      <c r="BY241" s="525" t="s">
        <v>208</v>
      </c>
      <c r="BZ241" s="524" t="s">
        <v>1427</v>
      </c>
      <c r="CA241" s="525" t="s">
        <v>208</v>
      </c>
      <c r="CB241" s="524" t="s">
        <v>1427</v>
      </c>
      <c r="CC241" s="525" t="s">
        <v>208</v>
      </c>
      <c r="CD241" s="524" t="s">
        <v>1427</v>
      </c>
      <c r="CE241" s="526" t="s">
        <v>208</v>
      </c>
      <c r="CF241" s="524" t="s">
        <v>1427</v>
      </c>
      <c r="CG241" s="525" t="s">
        <v>208</v>
      </c>
      <c r="CH241" s="524" t="s">
        <v>1427</v>
      </c>
      <c r="CI241" s="525" t="s">
        <v>208</v>
      </c>
      <c r="CJ241" s="524" t="s">
        <v>1427</v>
      </c>
      <c r="CK241" s="525" t="s">
        <v>208</v>
      </c>
      <c r="CL241" s="524" t="s">
        <v>1427</v>
      </c>
      <c r="CM241" s="525" t="s">
        <v>208</v>
      </c>
      <c r="CN241" s="524" t="s">
        <v>1427</v>
      </c>
      <c r="CO241" s="525" t="s">
        <v>208</v>
      </c>
      <c r="CP241" s="524" t="s">
        <v>1427</v>
      </c>
      <c r="CQ241" s="525" t="s">
        <v>208</v>
      </c>
      <c r="CR241" s="524" t="s">
        <v>1427</v>
      </c>
      <c r="CS241" s="525" t="s">
        <v>208</v>
      </c>
      <c r="CT241" s="524" t="s">
        <v>1427</v>
      </c>
      <c r="CU241" s="525" t="s">
        <v>208</v>
      </c>
      <c r="CV241" s="524" t="s">
        <v>1427</v>
      </c>
      <c r="CW241" s="525" t="s">
        <v>208</v>
      </c>
      <c r="CX241" s="524" t="s">
        <v>1427</v>
      </c>
      <c r="CY241" s="525" t="s">
        <v>208</v>
      </c>
      <c r="CZ241" s="524" t="s">
        <v>1427</v>
      </c>
      <c r="DA241" s="525" t="s">
        <v>208</v>
      </c>
      <c r="DB241" s="524" t="s">
        <v>1427</v>
      </c>
      <c r="DC241" s="525" t="s">
        <v>208</v>
      </c>
      <c r="DD241" s="524" t="s">
        <v>1427</v>
      </c>
      <c r="DE241" s="525" t="s">
        <v>208</v>
      </c>
      <c r="DF241" s="524" t="s">
        <v>1427</v>
      </c>
      <c r="DG241" s="525" t="s">
        <v>208</v>
      </c>
      <c r="DH241" s="524" t="s">
        <v>1427</v>
      </c>
      <c r="DI241" s="525" t="s">
        <v>208</v>
      </c>
      <c r="DJ241" s="524" t="s">
        <v>1427</v>
      </c>
      <c r="DK241" s="525" t="s">
        <v>208</v>
      </c>
      <c r="DL241" s="524" t="s">
        <v>1427</v>
      </c>
      <c r="DM241" s="525" t="s">
        <v>208</v>
      </c>
      <c r="DN241" s="524" t="s">
        <v>1427</v>
      </c>
      <c r="DO241" s="525" t="s">
        <v>208</v>
      </c>
      <c r="DP241" s="524" t="s">
        <v>1427</v>
      </c>
      <c r="DQ241" s="525" t="s">
        <v>208</v>
      </c>
      <c r="DR241" s="524" t="s">
        <v>1427</v>
      </c>
      <c r="DS241" s="525" t="s">
        <v>208</v>
      </c>
      <c r="DT241" s="524" t="s">
        <v>1427</v>
      </c>
      <c r="DU241" s="525" t="s">
        <v>208</v>
      </c>
      <c r="DV241" s="524" t="s">
        <v>1427</v>
      </c>
      <c r="DW241" s="525" t="s">
        <v>208</v>
      </c>
      <c r="DX241" s="524" t="s">
        <v>1427</v>
      </c>
      <c r="DY241" s="525" t="s">
        <v>208</v>
      </c>
      <c r="DZ241" s="524" t="s">
        <v>1427</v>
      </c>
      <c r="EA241" s="525" t="s">
        <v>208</v>
      </c>
      <c r="EB241" s="524" t="s">
        <v>1427</v>
      </c>
      <c r="EC241" s="525" t="s">
        <v>208</v>
      </c>
      <c r="ED241" s="524" t="s">
        <v>1427</v>
      </c>
      <c r="EE241" s="525" t="s">
        <v>208</v>
      </c>
      <c r="EF241" s="524" t="s">
        <v>1427</v>
      </c>
      <c r="EG241" s="525" t="s">
        <v>208</v>
      </c>
      <c r="EH241" s="524" t="s">
        <v>1427</v>
      </c>
      <c r="EI241" s="525" t="s">
        <v>208</v>
      </c>
      <c r="EJ241" s="524" t="s">
        <v>1427</v>
      </c>
      <c r="EK241" s="525" t="s">
        <v>208</v>
      </c>
      <c r="EL241" s="524" t="s">
        <v>1427</v>
      </c>
      <c r="EM241" s="525" t="s">
        <v>208</v>
      </c>
      <c r="EN241" s="524" t="s">
        <v>1427</v>
      </c>
      <c r="EO241" s="525" t="s">
        <v>208</v>
      </c>
      <c r="EP241" s="524" t="s">
        <v>1427</v>
      </c>
      <c r="EQ241" s="525" t="s">
        <v>208</v>
      </c>
      <c r="ER241" s="524" t="s">
        <v>1427</v>
      </c>
      <c r="ES241" s="525" t="s">
        <v>208</v>
      </c>
      <c r="ET241" s="524" t="s">
        <v>1427</v>
      </c>
      <c r="EU241" s="525" t="s">
        <v>208</v>
      </c>
      <c r="EV241" s="524" t="s">
        <v>1427</v>
      </c>
      <c r="EW241" s="525" t="s">
        <v>208</v>
      </c>
      <c r="EX241" s="524" t="s">
        <v>1427</v>
      </c>
      <c r="EY241" s="525" t="s">
        <v>208</v>
      </c>
    </row>
    <row r="242" spans="1:155" x14ac:dyDescent="0.25">
      <c r="A242" s="601" t="s">
        <v>1399</v>
      </c>
      <c r="B242" s="68"/>
      <c r="C242" s="511">
        <v>1.0089449040965557</v>
      </c>
      <c r="D242" s="68"/>
      <c r="E242" s="511">
        <v>1.0089450080412237</v>
      </c>
      <c r="F242" s="68"/>
      <c r="G242" s="511">
        <v>1.0089449040965557</v>
      </c>
      <c r="H242" s="68"/>
      <c r="I242" s="511">
        <v>1.0089450080412237</v>
      </c>
      <c r="J242" s="68"/>
      <c r="K242" s="511">
        <v>1.0089449040965557</v>
      </c>
      <c r="L242" s="68"/>
      <c r="M242" s="511">
        <v>1.0000454352250641</v>
      </c>
      <c r="N242" s="68"/>
      <c r="O242" s="511">
        <v>1.0000454352250641</v>
      </c>
      <c r="P242" s="68"/>
      <c r="Q242" s="511">
        <v>1.0000454352250641</v>
      </c>
      <c r="R242" s="68"/>
      <c r="S242" s="511">
        <v>1.0000454352250641</v>
      </c>
      <c r="T242" s="68"/>
      <c r="U242" s="511">
        <v>1.0000454352250641</v>
      </c>
      <c r="V242" s="68"/>
      <c r="W242" s="511">
        <v>1.0000454352250641</v>
      </c>
      <c r="X242" s="68"/>
      <c r="Y242" s="511">
        <v>1.0000454352250641</v>
      </c>
      <c r="Z242" s="68"/>
      <c r="AA242" s="511">
        <v>1.0000454352250641</v>
      </c>
      <c r="AB242" s="68"/>
      <c r="AC242" s="511">
        <v>1.0000454352250641</v>
      </c>
      <c r="AD242" s="68"/>
      <c r="AE242" s="511">
        <v>1.0000454352250641</v>
      </c>
      <c r="AF242" s="68"/>
      <c r="AG242" s="511">
        <v>1.0000454352250641</v>
      </c>
      <c r="AH242" s="68"/>
      <c r="AI242" s="511">
        <v>1.0000454352250641</v>
      </c>
      <c r="AJ242" s="68"/>
      <c r="AK242" s="511">
        <v>1.0000454352250641</v>
      </c>
      <c r="AL242" s="68"/>
      <c r="AM242" s="511">
        <v>1.0000454352250641</v>
      </c>
      <c r="AN242" s="68"/>
      <c r="AO242" s="511">
        <v>1.0000454352250641</v>
      </c>
      <c r="AP242" s="68"/>
      <c r="AQ242" s="511">
        <v>1.0000454352250641</v>
      </c>
      <c r="AR242" s="68"/>
      <c r="AS242" s="511">
        <v>1.0000454352250641</v>
      </c>
      <c r="AT242" s="68"/>
      <c r="AU242" s="511">
        <v>1.0000454352250641</v>
      </c>
      <c r="AV242" s="68"/>
      <c r="AW242" s="511">
        <v>1.0000454352250641</v>
      </c>
      <c r="AX242" s="68"/>
      <c r="AY242" s="511">
        <v>1.0000454352250641</v>
      </c>
      <c r="AZ242" s="68"/>
      <c r="BA242" s="511">
        <v>1.0000454352250641</v>
      </c>
      <c r="BB242" s="68"/>
      <c r="BC242" s="511">
        <v>1.0000454352250641</v>
      </c>
      <c r="BD242" s="68"/>
      <c r="BE242" s="511">
        <v>1.0000454352250641</v>
      </c>
      <c r="BF242" s="68"/>
      <c r="BG242" s="511">
        <v>1.0000454352250641</v>
      </c>
      <c r="BH242" s="68"/>
      <c r="BI242" s="511">
        <v>1.0000454352250641</v>
      </c>
      <c r="BJ242" s="68"/>
      <c r="BK242" s="511">
        <v>1.0000454352250641</v>
      </c>
      <c r="BL242" s="68"/>
      <c r="BM242" s="511">
        <v>1.0000454352250641</v>
      </c>
      <c r="BN242" s="68"/>
      <c r="BO242" s="511">
        <v>1.0000454352250641</v>
      </c>
      <c r="BP242" s="68"/>
      <c r="BQ242" s="511">
        <v>1.0000454352250641</v>
      </c>
      <c r="BR242" s="68"/>
      <c r="BS242" s="511">
        <v>1.0000454352250641</v>
      </c>
      <c r="BT242" s="68"/>
      <c r="BU242" s="511">
        <v>1.0000454352250641</v>
      </c>
      <c r="BV242" s="68"/>
      <c r="BW242" s="511">
        <v>1.0000454352250641</v>
      </c>
      <c r="BX242" s="68"/>
      <c r="BY242" s="511">
        <v>1.0000454352250641</v>
      </c>
      <c r="BZ242" s="68"/>
      <c r="CA242" s="511">
        <v>1.0000454352250641</v>
      </c>
      <c r="CB242" s="68"/>
      <c r="CC242" s="511">
        <v>1.0000454352250641</v>
      </c>
      <c r="CD242" s="68"/>
      <c r="CE242" s="512">
        <v>1.0000454352250641</v>
      </c>
      <c r="CF242" s="68"/>
      <c r="CG242" s="511">
        <v>1.0000454352250641</v>
      </c>
      <c r="CH242" s="68"/>
      <c r="CI242" s="511">
        <v>1.0000454352250641</v>
      </c>
      <c r="CJ242" s="68"/>
      <c r="CK242" s="511">
        <v>1.0000454352250641</v>
      </c>
      <c r="CL242" s="68"/>
      <c r="CM242" s="511">
        <v>1.0000454352250641</v>
      </c>
      <c r="CN242" s="68"/>
      <c r="CO242" s="511">
        <v>1.0000454352250641</v>
      </c>
      <c r="CP242" s="68"/>
      <c r="CQ242" s="511">
        <v>1.0000454352250641</v>
      </c>
      <c r="CR242" s="68"/>
      <c r="CS242" s="511">
        <v>1.0000454352250641</v>
      </c>
      <c r="CT242" s="68"/>
      <c r="CU242" s="511">
        <v>1.0000454352250641</v>
      </c>
      <c r="CV242" s="68"/>
      <c r="CW242" s="511">
        <v>1.0000454352250641</v>
      </c>
      <c r="CX242" s="68"/>
      <c r="CY242" s="511">
        <v>1.0000454352250641</v>
      </c>
      <c r="CZ242" s="68"/>
      <c r="DA242" s="511">
        <v>1.0000454352250641</v>
      </c>
      <c r="DB242" s="68"/>
      <c r="DC242" s="511">
        <v>1.0000454352250641</v>
      </c>
      <c r="DD242" s="68"/>
      <c r="DE242" s="511">
        <v>1.0000454352250641</v>
      </c>
      <c r="DF242" s="68"/>
      <c r="DG242" s="511">
        <v>1.0000454352250641</v>
      </c>
      <c r="DH242" s="68"/>
      <c r="DI242" s="511">
        <v>1.0000454352250641</v>
      </c>
      <c r="DJ242" s="68"/>
      <c r="DK242" s="511">
        <v>1.0000454352250641</v>
      </c>
      <c r="DL242" s="68"/>
      <c r="DM242" s="511">
        <v>1.0000454352250641</v>
      </c>
      <c r="DN242" s="68"/>
      <c r="DO242" s="511">
        <v>1.0000454352250641</v>
      </c>
      <c r="DP242" s="68"/>
      <c r="DQ242" s="511">
        <v>1.0000454352250641</v>
      </c>
      <c r="DR242" s="68"/>
      <c r="DS242" s="511">
        <v>1.0000454352250641</v>
      </c>
      <c r="DT242" s="68"/>
      <c r="DU242" s="511">
        <v>1.0000454352250641</v>
      </c>
      <c r="DV242" s="68"/>
      <c r="DW242" s="511">
        <v>1.0000454352250641</v>
      </c>
      <c r="DX242" s="68"/>
      <c r="DY242" s="511">
        <v>1.0000454352250641</v>
      </c>
      <c r="DZ242" s="68"/>
      <c r="EA242" s="511">
        <v>1.0000454352250641</v>
      </c>
      <c r="EB242" s="68"/>
      <c r="EC242" s="511">
        <v>1.0000454352250641</v>
      </c>
      <c r="ED242" s="68"/>
      <c r="EE242" s="511">
        <v>1.0000454352250641</v>
      </c>
      <c r="EF242" s="68"/>
      <c r="EG242" s="511">
        <v>1.0000454352250641</v>
      </c>
      <c r="EH242" s="68"/>
      <c r="EI242" s="511">
        <v>1.0000454352250641</v>
      </c>
      <c r="EJ242" s="68"/>
      <c r="EK242" s="511">
        <v>1.0000454352250641</v>
      </c>
      <c r="EL242" s="68"/>
      <c r="EM242" s="511">
        <v>1.0000454352250641</v>
      </c>
      <c r="EN242" s="68"/>
      <c r="EO242" s="511">
        <v>1.0000454352250641</v>
      </c>
      <c r="EP242" s="68"/>
      <c r="EQ242" s="511">
        <v>1.0000454352250641</v>
      </c>
      <c r="ER242" s="68"/>
      <c r="ES242" s="511">
        <v>1.0000454352250641</v>
      </c>
      <c r="ET242" s="68"/>
      <c r="EU242" s="511">
        <v>1.0000454352250641</v>
      </c>
      <c r="EV242" s="68"/>
      <c r="EW242" s="511">
        <v>1.0000454352250641</v>
      </c>
      <c r="EX242" s="68"/>
      <c r="EY242" s="511">
        <v>1.0000454352250641</v>
      </c>
    </row>
    <row r="243" spans="1:155" x14ac:dyDescent="0.25">
      <c r="A243" s="601" t="s">
        <v>1400</v>
      </c>
      <c r="B243" s="529">
        <v>62542.194705720562</v>
      </c>
      <c r="C243" s="515">
        <v>58537.117057555697</v>
      </c>
      <c r="D243" s="529">
        <v>62542.194705720562</v>
      </c>
      <c r="E243" s="515">
        <v>78086.373103087899</v>
      </c>
      <c r="F243" s="529">
        <v>34502.52348829589</v>
      </c>
      <c r="G243" s="515">
        <v>911353.95703854354</v>
      </c>
      <c r="H243" s="529">
        <v>34502.52348829589</v>
      </c>
      <c r="I243" s="515">
        <v>930903.21308407572</v>
      </c>
      <c r="J243" s="529">
        <v>62542.194705720562</v>
      </c>
      <c r="K243" s="515">
        <v>58537.117057555697</v>
      </c>
      <c r="L243" s="529">
        <v>83586.96705688248</v>
      </c>
      <c r="M243" s="515">
        <v>590862.32192304684</v>
      </c>
      <c r="N243" s="529">
        <v>78903.563888471064</v>
      </c>
      <c r="O243" s="515">
        <v>590208.44220011728</v>
      </c>
      <c r="P243" s="529">
        <v>-897421.46301051194</v>
      </c>
      <c r="Q243" s="515">
        <v>66046.160412012265</v>
      </c>
      <c r="R243" s="529">
        <v>24409.635839949318</v>
      </c>
      <c r="S243" s="515">
        <v>1033690.1539529648</v>
      </c>
      <c r="T243" s="529">
        <v>20045.13603885637</v>
      </c>
      <c r="U243" s="515">
        <v>1029325.455849841</v>
      </c>
      <c r="V243" s="529">
        <v>21934.968546190641</v>
      </c>
      <c r="W243" s="515">
        <v>1031215.3742221406</v>
      </c>
      <c r="X243" s="529">
        <v>77853.689497169573</v>
      </c>
      <c r="Y243" s="515">
        <v>1074056.8776158195</v>
      </c>
      <c r="Z243" s="529">
        <v>24409.635839949318</v>
      </c>
      <c r="AA243" s="515">
        <v>1033690.1539529648</v>
      </c>
      <c r="AB243" s="529">
        <v>48258.847278045272</v>
      </c>
      <c r="AC243" s="515">
        <v>472269.82106672827</v>
      </c>
      <c r="AD243" s="529">
        <v>97563.966237979257</v>
      </c>
      <c r="AE243" s="515">
        <v>338803.47433948051</v>
      </c>
      <c r="AF243" s="529">
        <v>124819.75364605545</v>
      </c>
      <c r="AG243" s="515">
        <v>386740.53272683674</v>
      </c>
      <c r="AH243" s="529">
        <v>257286.17246384837</v>
      </c>
      <c r="AI243" s="515">
        <v>323281.61029246269</v>
      </c>
      <c r="AJ243" s="529">
        <v>118357.2143003363</v>
      </c>
      <c r="AK243" s="515">
        <v>691883.95272887009</v>
      </c>
      <c r="AL243" s="529">
        <v>2547202.4276991477</v>
      </c>
      <c r="AM243" s="515">
        <v>143435.03026173331</v>
      </c>
      <c r="AN243" s="529">
        <v>1001785.6813495074</v>
      </c>
      <c r="AO243" s="515">
        <v>143435.03026173331</v>
      </c>
      <c r="AP243" s="529">
        <v>138286.90852375596</v>
      </c>
      <c r="AQ243" s="515">
        <v>751299.98494485184</v>
      </c>
      <c r="AR243" s="529">
        <v>48258.847278045272</v>
      </c>
      <c r="AS243" s="515">
        <v>472269.82106672827</v>
      </c>
      <c r="AT243" s="529">
        <v>994158.54430275946</v>
      </c>
      <c r="AU243" s="515">
        <v>-207826.72081393059</v>
      </c>
      <c r="AV243" s="529">
        <v>2246210.4783078465</v>
      </c>
      <c r="AW243" s="515">
        <v>381387.65357723186</v>
      </c>
      <c r="AX243" s="529">
        <v>1099392.4035237357</v>
      </c>
      <c r="AY243" s="515">
        <v>147091.71663807079</v>
      </c>
      <c r="AZ243" s="529">
        <v>994158.54430275946</v>
      </c>
      <c r="BA243" s="515">
        <v>-207826.72081393059</v>
      </c>
      <c r="BB243" s="529">
        <v>3592512.5528020435</v>
      </c>
      <c r="BC243" s="515">
        <v>478904.44223442127</v>
      </c>
      <c r="BD243" s="529">
        <v>1420400.4752654834</v>
      </c>
      <c r="BE243" s="515">
        <v>710501.06688742596</v>
      </c>
      <c r="BF243" s="529">
        <v>3187437.9926909208</v>
      </c>
      <c r="BG243" s="515">
        <v>237010.59160227457</v>
      </c>
      <c r="BH243" s="529">
        <v>2629421.8440635903</v>
      </c>
      <c r="BI243" s="515">
        <v>114817.58005098737</v>
      </c>
      <c r="BJ243" s="529">
        <v>243974.59580027996</v>
      </c>
      <c r="BK243" s="515">
        <v>147033.87793884589</v>
      </c>
      <c r="BL243" s="529">
        <v>269770.55382691458</v>
      </c>
      <c r="BM243" s="515">
        <v>147432.65912672825</v>
      </c>
      <c r="BN243" s="529">
        <v>172551.57541333576</v>
      </c>
      <c r="BO243" s="515">
        <v>59091.91649632113</v>
      </c>
      <c r="BP243" s="529">
        <v>422775.72174476698</v>
      </c>
      <c r="BQ243" s="515">
        <v>495194.8022613537</v>
      </c>
      <c r="BR243" s="529">
        <v>61926.89824480503</v>
      </c>
      <c r="BS243" s="515">
        <v>469876.16447388765</v>
      </c>
      <c r="BT243" s="529">
        <v>131792.8470175993</v>
      </c>
      <c r="BU243" s="515">
        <v>215415.08822319156</v>
      </c>
      <c r="BV243" s="529">
        <v>830300.79659700766</v>
      </c>
      <c r="BW243" s="515">
        <v>347936.1925365685</v>
      </c>
      <c r="BX243" s="529">
        <v>816254.14792337653</v>
      </c>
      <c r="BY243" s="515">
        <v>345864.71438127261</v>
      </c>
      <c r="BZ243" s="529">
        <v>245102.33676781855</v>
      </c>
      <c r="CA243" s="515">
        <v>11294.848113754448</v>
      </c>
      <c r="CB243" s="529">
        <v>3592512.5528020435</v>
      </c>
      <c r="CC243" s="515">
        <v>478904.44223442127</v>
      </c>
      <c r="CD243" s="529">
        <v>48258.847278045272</v>
      </c>
      <c r="CE243" s="227">
        <v>472269.82106672827</v>
      </c>
      <c r="CF243" s="556">
        <v>30523.646952687817</v>
      </c>
      <c r="CG243" s="515">
        <v>1039804.4428571742</v>
      </c>
      <c r="CH243" s="556">
        <v>38322.064364718448</v>
      </c>
      <c r="CI243" s="515">
        <v>1047603.2145920552</v>
      </c>
      <c r="CJ243" s="556">
        <v>297952.14188380138</v>
      </c>
      <c r="CK243" s="515">
        <v>1307245.0884621437</v>
      </c>
      <c r="CL243" s="556">
        <v>288817.65238986735</v>
      </c>
      <c r="CM243" s="515">
        <v>1298110.1839406234</v>
      </c>
      <c r="CN243" s="556">
        <v>186980.50948011293</v>
      </c>
      <c r="CO243" s="515">
        <v>1196268.4140373613</v>
      </c>
      <c r="CP243" s="556">
        <v>24409.635839949318</v>
      </c>
      <c r="CQ243" s="515">
        <v>1033690.1539529648</v>
      </c>
      <c r="CR243" s="556">
        <v>994158.54430275946</v>
      </c>
      <c r="CS243" s="515">
        <v>-207826.72081393059</v>
      </c>
      <c r="CT243" s="556">
        <v>1948554.5881957309</v>
      </c>
      <c r="CU243" s="515">
        <v>381387.65357723186</v>
      </c>
      <c r="CV243" s="556">
        <v>2073717.1723336484</v>
      </c>
      <c r="CW243" s="515">
        <v>381387.65357723186</v>
      </c>
      <c r="CX243" s="556">
        <v>2484814.4631123506</v>
      </c>
      <c r="CY243" s="515">
        <v>381387.65357723186</v>
      </c>
      <c r="CZ243" s="556">
        <v>2674656.6204553419</v>
      </c>
      <c r="DA243" s="515">
        <v>381387.65357723186</v>
      </c>
      <c r="DB243" s="556">
        <v>2246210.4783078465</v>
      </c>
      <c r="DC243" s="515">
        <v>381387.65357723186</v>
      </c>
      <c r="DD243" s="556">
        <v>2291446.7815548205</v>
      </c>
      <c r="DE243" s="515">
        <v>381387.65357723186</v>
      </c>
      <c r="DF243" s="556">
        <v>1099392.4035237357</v>
      </c>
      <c r="DG243" s="515">
        <v>147091.71663807079</v>
      </c>
      <c r="DH243" s="556">
        <v>1070209.9671891266</v>
      </c>
      <c r="DI243" s="515">
        <v>147091.71663807079</v>
      </c>
      <c r="DJ243" s="556">
        <v>1138708.7535548499</v>
      </c>
      <c r="DK243" s="515">
        <v>147091.71663807079</v>
      </c>
      <c r="DL243" s="556">
        <v>776369.70710827911</v>
      </c>
      <c r="DM243" s="515">
        <v>147091.71663807079</v>
      </c>
      <c r="DN243" s="556">
        <v>2030999.4149154825</v>
      </c>
      <c r="DO243" s="515">
        <v>147091.71663807079</v>
      </c>
      <c r="DP243" s="556">
        <v>2154600.0599023313</v>
      </c>
      <c r="DQ243" s="515">
        <v>147091.71663807079</v>
      </c>
      <c r="DR243" s="556">
        <v>2675040.3532360345</v>
      </c>
      <c r="DS243" s="515">
        <v>147091.71663807079</v>
      </c>
      <c r="DT243" s="556">
        <v>2862513.4168109517</v>
      </c>
      <c r="DU243" s="515">
        <v>147091.71663807079</v>
      </c>
      <c r="DV243" s="556">
        <v>2439413.9747827724</v>
      </c>
      <c r="DW243" s="515">
        <v>147091.71663807079</v>
      </c>
      <c r="DX243" s="556">
        <v>2484085.7614565417</v>
      </c>
      <c r="DY243" s="515">
        <v>147091.71663807079</v>
      </c>
      <c r="DZ243" s="556">
        <v>888476.22135676187</v>
      </c>
      <c r="EA243" s="515">
        <v>147091.71663807079</v>
      </c>
      <c r="EB243" s="556">
        <v>3171409.7250926318</v>
      </c>
      <c r="EC243" s="515">
        <v>478904.44223442127</v>
      </c>
      <c r="ED243" s="556">
        <v>3348481.0341268387</v>
      </c>
      <c r="EE243" s="515">
        <v>478904.44223442127</v>
      </c>
      <c r="EF243" s="556">
        <v>3930072.8566349852</v>
      </c>
      <c r="EG243" s="515">
        <v>478904.44223442127</v>
      </c>
      <c r="EH243" s="556">
        <v>4198648.3222354716</v>
      </c>
      <c r="EI243" s="515">
        <v>478904.44223442127</v>
      </c>
      <c r="EJ243" s="556">
        <v>3592512.5528020435</v>
      </c>
      <c r="EK243" s="515">
        <v>478904.44223442127</v>
      </c>
      <c r="EL243" s="556">
        <v>3656509.7248561438</v>
      </c>
      <c r="EM243" s="515">
        <v>478904.44223442127</v>
      </c>
      <c r="EN243" s="556">
        <v>39790.618087462455</v>
      </c>
      <c r="EO243" s="515">
        <v>1049071.8350388682</v>
      </c>
      <c r="EP243" s="556">
        <v>106339.16362369308</v>
      </c>
      <c r="EQ243" s="515">
        <v>873612.710405563</v>
      </c>
      <c r="ER243" s="529">
        <v>0</v>
      </c>
      <c r="ES243" s="515">
        <v>242744.90393068513</v>
      </c>
      <c r="ET243" s="529">
        <v>0</v>
      </c>
      <c r="EU243" s="515">
        <v>155483.9440088491</v>
      </c>
      <c r="EV243" s="529">
        <v>0</v>
      </c>
      <c r="EW243" s="515">
        <v>218875.04066284263</v>
      </c>
      <c r="EX243" s="556">
        <v>202.6397688513639</v>
      </c>
      <c r="EY243" s="515">
        <v>-360988.94887761102</v>
      </c>
    </row>
    <row r="244" spans="1:155" x14ac:dyDescent="0.25">
      <c r="A244" s="601" t="s">
        <v>1538</v>
      </c>
      <c r="B244" s="529">
        <v>58507.798279955925</v>
      </c>
      <c r="C244" s="515">
        <v>57512.518243702696</v>
      </c>
      <c r="D244" s="529">
        <v>58507.798279955925</v>
      </c>
      <c r="E244" s="515">
        <v>76733.418487961404</v>
      </c>
      <c r="F244" s="529">
        <v>34329.44758956218</v>
      </c>
      <c r="G244" s="515">
        <v>312297.26877632376</v>
      </c>
      <c r="H244" s="529">
        <v>34329.44758956218</v>
      </c>
      <c r="I244" s="515">
        <v>331518.16902058251</v>
      </c>
      <c r="J244" s="529">
        <v>58507.798279955925</v>
      </c>
      <c r="K244" s="515">
        <v>57512.518243702696</v>
      </c>
      <c r="L244" s="529">
        <v>83182.317889032143</v>
      </c>
      <c r="M244" s="515">
        <v>589503.3140505394</v>
      </c>
      <c r="N244" s="529">
        <v>78500.721693776853</v>
      </c>
      <c r="O244" s="515">
        <v>51978.838055285618</v>
      </c>
      <c r="P244" s="529">
        <v>96755.490385813129</v>
      </c>
      <c r="Q244" s="515">
        <v>598647.73036425747</v>
      </c>
      <c r="R244" s="529">
        <v>24287.189153920841</v>
      </c>
      <c r="S244" s="515">
        <v>32334.697564057828</v>
      </c>
      <c r="T244" s="529">
        <v>19142.438125470311</v>
      </c>
      <c r="U244" s="515">
        <v>1027280.5832328146</v>
      </c>
      <c r="V244" s="529">
        <v>21370.12014604744</v>
      </c>
      <c r="W244" s="515">
        <v>596487.75507432444</v>
      </c>
      <c r="X244" s="529">
        <v>77413.332948462543</v>
      </c>
      <c r="Y244" s="515">
        <v>687032.39630783978</v>
      </c>
      <c r="Z244" s="529">
        <v>24287.189153920841</v>
      </c>
      <c r="AA244" s="515">
        <v>32334.697564057828</v>
      </c>
      <c r="AB244" s="529">
        <v>45429.271919488747</v>
      </c>
      <c r="AC244" s="515">
        <v>216005.47642996561</v>
      </c>
      <c r="AD244" s="529">
        <v>94846.769175917449</v>
      </c>
      <c r="AE244" s="515">
        <v>208648.39488426718</v>
      </c>
      <c r="AF244" s="529">
        <v>122126.45239480905</v>
      </c>
      <c r="AG244" s="515">
        <v>213284.60008248556</v>
      </c>
      <c r="AH244" s="529">
        <v>252480.43560382989</v>
      </c>
      <c r="AI244" s="515">
        <v>214247.86725032984</v>
      </c>
      <c r="AJ244" s="529">
        <v>116504.88634770566</v>
      </c>
      <c r="AK244" s="515">
        <v>193422.58255000319</v>
      </c>
      <c r="AL244" s="529">
        <v>743553.40454581776</v>
      </c>
      <c r="AM244" s="515">
        <v>164076.40786683763</v>
      </c>
      <c r="AN244" s="529">
        <v>22003.587532950096</v>
      </c>
      <c r="AO244" s="515">
        <v>164076.40786683763</v>
      </c>
      <c r="AP244" s="529">
        <v>132846.3942083414</v>
      </c>
      <c r="AQ244" s="515">
        <v>207924.0375097233</v>
      </c>
      <c r="AR244" s="529">
        <v>45429.271919488747</v>
      </c>
      <c r="AS244" s="515">
        <v>216005.47642996561</v>
      </c>
      <c r="AT244" s="529">
        <v>219135.00676085852</v>
      </c>
      <c r="AU244" s="515">
        <v>470790.69583815528</v>
      </c>
      <c r="AV244" s="529">
        <v>134005.00441418745</v>
      </c>
      <c r="AW244" s="515">
        <v>70799.657541706809</v>
      </c>
      <c r="AX244" s="529">
        <v>608911.18664784124</v>
      </c>
      <c r="AY244" s="515">
        <v>134267.21894509645</v>
      </c>
      <c r="AZ244" s="529">
        <v>219135.00676085852</v>
      </c>
      <c r="BA244" s="515">
        <v>470790.69583815528</v>
      </c>
      <c r="BB244" s="529">
        <v>189580.94954805553</v>
      </c>
      <c r="BC244" s="515">
        <v>147116.57230995261</v>
      </c>
      <c r="BD244" s="529">
        <v>99915.202214837394</v>
      </c>
      <c r="BE244" s="515">
        <v>676957.46527976124</v>
      </c>
      <c r="BF244" s="529">
        <v>172859.29253336263</v>
      </c>
      <c r="BG244" s="515">
        <v>147359.20837642413</v>
      </c>
      <c r="BH244" s="529">
        <v>149824.13909532299</v>
      </c>
      <c r="BI244" s="515">
        <v>68679.621944115439</v>
      </c>
      <c r="BJ244" s="529">
        <v>215112.26464010018</v>
      </c>
      <c r="BK244" s="515">
        <v>146346.35941413607</v>
      </c>
      <c r="BL244" s="529">
        <v>251071.40003888204</v>
      </c>
      <c r="BM244" s="515">
        <v>146369.81538750895</v>
      </c>
      <c r="BN244" s="529">
        <v>152138.62751827171</v>
      </c>
      <c r="BO244" s="515">
        <v>58833.778825280075</v>
      </c>
      <c r="BP244" s="529">
        <v>110790.27254417841</v>
      </c>
      <c r="BQ244" s="515">
        <v>219007.92296805955</v>
      </c>
      <c r="BR244" s="529">
        <v>61616.252747435952</v>
      </c>
      <c r="BS244" s="515">
        <v>206124.68783770449</v>
      </c>
      <c r="BT244" s="529">
        <v>127133.21795418183</v>
      </c>
      <c r="BU244" s="515">
        <v>189892.9847653349</v>
      </c>
      <c r="BV244" s="529">
        <v>106596.97252789715</v>
      </c>
      <c r="BW244" s="515">
        <v>239642.63883210771</v>
      </c>
      <c r="BX244" s="529">
        <v>83054.856897242091</v>
      </c>
      <c r="BY244" s="515">
        <v>240571.62215248344</v>
      </c>
      <c r="BZ244" s="529">
        <v>216106.59322033168</v>
      </c>
      <c r="CA244" s="515">
        <v>11076.288444337952</v>
      </c>
      <c r="CB244" s="529">
        <v>189580.94954805553</v>
      </c>
      <c r="CC244" s="515">
        <v>147116.57230995261</v>
      </c>
      <c r="CD244" s="529">
        <v>45429.271919488747</v>
      </c>
      <c r="CE244" s="227">
        <v>216005.47642996561</v>
      </c>
      <c r="CF244" s="556">
        <v>30197.001709360764</v>
      </c>
      <c r="CG244" s="515">
        <v>38244.778633161295</v>
      </c>
      <c r="CH244" s="556">
        <v>37892.728056659806</v>
      </c>
      <c r="CI244" s="515">
        <v>45940.854637518962</v>
      </c>
      <c r="CJ244" s="556">
        <v>38252.156824595964</v>
      </c>
      <c r="CK244" s="515">
        <v>46300.299736182082</v>
      </c>
      <c r="CL244" s="556">
        <v>29387.549024607983</v>
      </c>
      <c r="CM244" s="515">
        <v>37435.289170743599</v>
      </c>
      <c r="CN244" s="556">
        <v>48999.080458686389</v>
      </c>
      <c r="CO244" s="515">
        <v>57047.711659166569</v>
      </c>
      <c r="CP244" s="556">
        <v>24287.189153920841</v>
      </c>
      <c r="CQ244" s="515">
        <v>32334.697564057828</v>
      </c>
      <c r="CR244" s="556">
        <v>219135.00676085852</v>
      </c>
      <c r="CS244" s="515">
        <v>470790.69583815528</v>
      </c>
      <c r="CT244" s="556">
        <v>86400.256998641969</v>
      </c>
      <c r="CU244" s="515">
        <v>70799.657541706809</v>
      </c>
      <c r="CV244" s="556">
        <v>112172.8343561548</v>
      </c>
      <c r="CW244" s="515">
        <v>70799.657541706809</v>
      </c>
      <c r="CX244" s="556">
        <v>102701.52885153727</v>
      </c>
      <c r="CY244" s="515">
        <v>70799.657541706809</v>
      </c>
      <c r="CZ244" s="556">
        <v>83789.31758265903</v>
      </c>
      <c r="DA244" s="515">
        <v>70799.657541706809</v>
      </c>
      <c r="DB244" s="556">
        <v>134005.00441418745</v>
      </c>
      <c r="DC244" s="515">
        <v>70799.657541706809</v>
      </c>
      <c r="DD244" s="556">
        <v>78035.180241291164</v>
      </c>
      <c r="DE244" s="515">
        <v>70799.657541706809</v>
      </c>
      <c r="DF244" s="556">
        <v>608911.18664784124</v>
      </c>
      <c r="DG244" s="515">
        <v>134267.21894509645</v>
      </c>
      <c r="DH244" s="556">
        <v>581397.07852713112</v>
      </c>
      <c r="DI244" s="515">
        <v>134267.21894509645</v>
      </c>
      <c r="DJ244" s="556">
        <v>576456.81846277881</v>
      </c>
      <c r="DK244" s="515">
        <v>134267.21894509645</v>
      </c>
      <c r="DL244" s="556">
        <v>898777.38328444387</v>
      </c>
      <c r="DM244" s="515">
        <v>134267.21894509645</v>
      </c>
      <c r="DN244" s="556">
        <v>68718.764015186753</v>
      </c>
      <c r="DO244" s="515">
        <v>134267.21894509645</v>
      </c>
      <c r="DP244" s="556">
        <v>94169.718118626552</v>
      </c>
      <c r="DQ244" s="515">
        <v>134267.21894509645</v>
      </c>
      <c r="DR244" s="556">
        <v>109000.01513900139</v>
      </c>
      <c r="DS244" s="515">
        <v>134267.21894509645</v>
      </c>
      <c r="DT244" s="556">
        <v>90323.81468291991</v>
      </c>
      <c r="DU244" s="515">
        <v>134267.21894509645</v>
      </c>
      <c r="DV244" s="556">
        <v>139912.8458105879</v>
      </c>
      <c r="DW244" s="515">
        <v>134267.21894509645</v>
      </c>
      <c r="DX244" s="556">
        <v>84641.484842619655</v>
      </c>
      <c r="DY244" s="515">
        <v>134267.21894509645</v>
      </c>
      <c r="DZ244" s="556">
        <v>156239.12450699948</v>
      </c>
      <c r="EA244" s="515">
        <v>134267.21894509645</v>
      </c>
      <c r="EB244" s="556">
        <v>122233.06759776802</v>
      </c>
      <c r="EC244" s="515">
        <v>147116.57230995261</v>
      </c>
      <c r="ED244" s="556">
        <v>158694.31551233251</v>
      </c>
      <c r="EE244" s="515">
        <v>147116.57230995261</v>
      </c>
      <c r="EF244" s="556">
        <v>145294.9719663611</v>
      </c>
      <c r="EG244" s="515">
        <v>147116.57230995261</v>
      </c>
      <c r="EH244" s="556">
        <v>118539.2923103573</v>
      </c>
      <c r="EI244" s="515">
        <v>147116.57230995261</v>
      </c>
      <c r="EJ244" s="556">
        <v>189580.94954805553</v>
      </c>
      <c r="EK244" s="515">
        <v>147116.57230995261</v>
      </c>
      <c r="EL244" s="556">
        <v>110398.73945731064</v>
      </c>
      <c r="EM244" s="515">
        <v>147116.57230995261</v>
      </c>
      <c r="EN244" s="556">
        <v>39334.039626351398</v>
      </c>
      <c r="EO244" s="515">
        <v>47382.231693526104</v>
      </c>
      <c r="EP244" s="556">
        <v>105857.04550241477</v>
      </c>
      <c r="EQ244" s="515">
        <v>20337.34741308033</v>
      </c>
      <c r="ER244" s="529">
        <v>0</v>
      </c>
      <c r="ES244" s="515">
        <v>269389.46764457249</v>
      </c>
      <c r="ET244" s="529">
        <v>0</v>
      </c>
      <c r="EU244" s="515">
        <v>213259.33542810287</v>
      </c>
      <c r="EV244" s="529">
        <v>0</v>
      </c>
      <c r="EW244" s="515">
        <v>259902.46209651823</v>
      </c>
      <c r="EX244" s="556">
        <v>178.66737084153948</v>
      </c>
      <c r="EY244" s="515">
        <v>-269879.13355648838</v>
      </c>
    </row>
    <row r="245" spans="1:155" x14ac:dyDescent="0.25">
      <c r="A245" s="601" t="s">
        <v>1275</v>
      </c>
      <c r="B245" s="529">
        <v>5522.0215761373074</v>
      </c>
      <c r="C245" s="515">
        <v>1465.3209034627575</v>
      </c>
      <c r="D245" s="529">
        <v>5522.0215761373074</v>
      </c>
      <c r="E245" s="515">
        <v>1934.843487331701</v>
      </c>
      <c r="F245" s="529">
        <v>240.195958363291</v>
      </c>
      <c r="G245" s="515">
        <v>28212.183290607943</v>
      </c>
      <c r="H245" s="529">
        <v>240.195958363291</v>
      </c>
      <c r="I245" s="515">
        <v>28681.705874476887</v>
      </c>
      <c r="J245" s="529">
        <v>5522.0215761373074</v>
      </c>
      <c r="K245" s="515">
        <v>1465.3209034627575</v>
      </c>
      <c r="L245" s="529">
        <v>579.86519956446671</v>
      </c>
      <c r="M245" s="515">
        <v>1946.9668481906583</v>
      </c>
      <c r="N245" s="529">
        <v>577.28247763029924</v>
      </c>
      <c r="O245" s="515">
        <v>1947.0260553607313</v>
      </c>
      <c r="P245" s="529">
        <v>37347.640029766022</v>
      </c>
      <c r="Q245" s="515">
        <v>21687.903508548923</v>
      </c>
      <c r="R245" s="529">
        <v>169.9323783045744</v>
      </c>
      <c r="S245" s="515">
        <v>1806.107620263685</v>
      </c>
      <c r="T245" s="529">
        <v>1925.1796668829509</v>
      </c>
      <c r="U245" s="515">
        <v>1003652.3051090257</v>
      </c>
      <c r="V245" s="529">
        <v>1165.1559446834249</v>
      </c>
      <c r="W245" s="515">
        <v>569871.63546067593</v>
      </c>
      <c r="X245" s="529">
        <v>628.94318069007534</v>
      </c>
      <c r="Y245" s="515">
        <v>2302.9422753069744</v>
      </c>
      <c r="Z245" s="529">
        <v>169.9323783045744</v>
      </c>
      <c r="AA245" s="515">
        <v>1806.107620263685</v>
      </c>
      <c r="AB245" s="529">
        <v>4050.0793264967992</v>
      </c>
      <c r="AC245" s="515">
        <v>20798.90122809256</v>
      </c>
      <c r="AD245" s="529">
        <v>3884.1346667242196</v>
      </c>
      <c r="AE245" s="515">
        <v>11423.68110475202</v>
      </c>
      <c r="AF245" s="529">
        <v>3852.8348597288805</v>
      </c>
      <c r="AG245" s="515">
        <v>9704.6331208343418</v>
      </c>
      <c r="AH245" s="529">
        <v>6858.6469486868755</v>
      </c>
      <c r="AI245" s="515">
        <v>6545.1427557250745</v>
      </c>
      <c r="AJ245" s="529">
        <v>2643.5588840952046</v>
      </c>
      <c r="AK245" s="515">
        <v>7112.1277403933764</v>
      </c>
      <c r="AL245" s="529">
        <v>158676.76810102159</v>
      </c>
      <c r="AM245" s="515">
        <v>6436.1178474561948</v>
      </c>
      <c r="AN245" s="529">
        <v>7041.613111288606</v>
      </c>
      <c r="AO245" s="515">
        <v>6436.1178474561948</v>
      </c>
      <c r="AP245" s="529">
        <v>7782.5418535085</v>
      </c>
      <c r="AQ245" s="515">
        <v>9728.6625815114166</v>
      </c>
      <c r="AR245" s="529">
        <v>4050.0793264967992</v>
      </c>
      <c r="AS245" s="515">
        <v>20798.90122809256</v>
      </c>
      <c r="AT245" s="529">
        <v>11526.081322937138</v>
      </c>
      <c r="AU245" s="515">
        <v>41090.98130225511</v>
      </c>
      <c r="AV245" s="529">
        <v>4937.0516816718218</v>
      </c>
      <c r="AW245" s="515">
        <v>-41034.817880977243</v>
      </c>
      <c r="AX245" s="529">
        <v>44931.698814187876</v>
      </c>
      <c r="AY245" s="515">
        <v>18907.720563783398</v>
      </c>
      <c r="AZ245" s="529">
        <v>11526.081322937138</v>
      </c>
      <c r="BA245" s="515">
        <v>41090.98130225511</v>
      </c>
      <c r="BB245" s="529">
        <v>6984.5969549483107</v>
      </c>
      <c r="BC245" s="515">
        <v>-42852.188869297584</v>
      </c>
      <c r="BD245" s="529">
        <v>3681.1051891366351</v>
      </c>
      <c r="BE245" s="515">
        <v>-14422.455000726522</v>
      </c>
      <c r="BF245" s="529">
        <v>6368.5327620800863</v>
      </c>
      <c r="BG245" s="515">
        <v>20362.597217659768</v>
      </c>
      <c r="BH245" s="529">
        <v>5519.8648819811142</v>
      </c>
      <c r="BI245" s="515">
        <v>3740.7001661578365</v>
      </c>
      <c r="BJ245" s="529">
        <v>1930.074756565821</v>
      </c>
      <c r="BK245" s="515">
        <v>3836.5182558166844</v>
      </c>
      <c r="BL245" s="529">
        <v>18043.716120257883</v>
      </c>
      <c r="BM245" s="515">
        <v>2274.3520201919132</v>
      </c>
      <c r="BN245" s="529">
        <v>1365.0496635459976</v>
      </c>
      <c r="BO245" s="515">
        <v>370.94861167025118</v>
      </c>
      <c r="BP245" s="529">
        <v>4081.7677203046728</v>
      </c>
      <c r="BQ245" s="515">
        <v>7311.2540163794374</v>
      </c>
      <c r="BR245" s="529">
        <v>431.11602191714394</v>
      </c>
      <c r="BS245" s="515">
        <v>6954.3134004044141</v>
      </c>
      <c r="BT245" s="529">
        <v>6686.9635785108558</v>
      </c>
      <c r="BU245" s="515">
        <v>35361.454689202146</v>
      </c>
      <c r="BV245" s="529">
        <v>3887.4780636828532</v>
      </c>
      <c r="BW245" s="515">
        <v>8831.2171507720523</v>
      </c>
      <c r="BX245" s="529">
        <v>2851.8072215875227</v>
      </c>
      <c r="BY245" s="515">
        <v>11402.362467121591</v>
      </c>
      <c r="BZ245" s="529">
        <v>1938.9962771292699</v>
      </c>
      <c r="CA245" s="515">
        <v>521.28904672616432</v>
      </c>
      <c r="CB245" s="529">
        <v>6984.5969549483107</v>
      </c>
      <c r="CC245" s="515">
        <v>-42852.188869297584</v>
      </c>
      <c r="CD245" s="529">
        <v>4050.0793264967992</v>
      </c>
      <c r="CE245" s="227">
        <v>20798.90122809256</v>
      </c>
      <c r="CF245" s="556">
        <v>462.57573664977758</v>
      </c>
      <c r="CG245" s="515">
        <v>2098.7642749257379</v>
      </c>
      <c r="CH245" s="556">
        <v>614.00798537128071</v>
      </c>
      <c r="CI245" s="515">
        <v>2250.2034040055437</v>
      </c>
      <c r="CJ245" s="556">
        <v>1395.0154213362503</v>
      </c>
      <c r="CK245" s="515">
        <v>3031.2463252191428</v>
      </c>
      <c r="CL245" s="556">
        <v>1009.0634992824521</v>
      </c>
      <c r="CM245" s="515">
        <v>2645.2768673529026</v>
      </c>
      <c r="CN245" s="556">
        <v>1805.238495655158</v>
      </c>
      <c r="CO245" s="515">
        <v>3441.4880381157591</v>
      </c>
      <c r="CP245" s="556">
        <v>169.9323783045744</v>
      </c>
      <c r="CQ245" s="515">
        <v>1806.107620263685</v>
      </c>
      <c r="CR245" s="556">
        <v>11526.081322937138</v>
      </c>
      <c r="CS245" s="515">
        <v>41090.98130225511</v>
      </c>
      <c r="CT245" s="556">
        <v>1323.5308231110789</v>
      </c>
      <c r="CU245" s="515">
        <v>-41034.817880977243</v>
      </c>
      <c r="CV245" s="556">
        <v>1817.6314973527992</v>
      </c>
      <c r="CW245" s="515">
        <v>-41034.817880977243</v>
      </c>
      <c r="CX245" s="556">
        <v>3745.4153814035981</v>
      </c>
      <c r="CY245" s="515">
        <v>-41034.817880977243</v>
      </c>
      <c r="CZ245" s="556">
        <v>2877.0259789834399</v>
      </c>
      <c r="DA245" s="515">
        <v>-41034.817880977243</v>
      </c>
      <c r="DB245" s="556">
        <v>4937.0516816718218</v>
      </c>
      <c r="DC245" s="515">
        <v>-41034.817880977243</v>
      </c>
      <c r="DD245" s="556">
        <v>545.9958205039128</v>
      </c>
      <c r="DE245" s="515">
        <v>-41034.817880977243</v>
      </c>
      <c r="DF245" s="556">
        <v>44931.698814187876</v>
      </c>
      <c r="DG245" s="515">
        <v>18907.720563783398</v>
      </c>
      <c r="DH245" s="556">
        <v>27717.874391381043</v>
      </c>
      <c r="DI245" s="515">
        <v>18907.720563783398</v>
      </c>
      <c r="DJ245" s="556">
        <v>27754.620371058947</v>
      </c>
      <c r="DK245" s="515">
        <v>18907.720563783398</v>
      </c>
      <c r="DL245" s="556">
        <v>199541.94049320347</v>
      </c>
      <c r="DM245" s="515">
        <v>18907.720563783398</v>
      </c>
      <c r="DN245" s="556">
        <v>-38682.499595724847</v>
      </c>
      <c r="DO245" s="515">
        <v>18907.720563783398</v>
      </c>
      <c r="DP245" s="556">
        <v>-38194.564943006117</v>
      </c>
      <c r="DQ245" s="515">
        <v>18907.720563783398</v>
      </c>
      <c r="DR245" s="556">
        <v>-35131.479436749578</v>
      </c>
      <c r="DS245" s="515">
        <v>18907.720563783398</v>
      </c>
      <c r="DT245" s="556">
        <v>-35989.031963154805</v>
      </c>
      <c r="DU245" s="515">
        <v>18907.720563783398</v>
      </c>
      <c r="DV245" s="556">
        <v>-33954.713901606927</v>
      </c>
      <c r="DW245" s="515">
        <v>18907.720563783398</v>
      </c>
      <c r="DX245" s="556">
        <v>-38290.972539536553</v>
      </c>
      <c r="DY245" s="515">
        <v>18907.720563783398</v>
      </c>
      <c r="DZ245" s="556">
        <v>-17235.182049262592</v>
      </c>
      <c r="EA245" s="515">
        <v>18907.720563783398</v>
      </c>
      <c r="EB245" s="556">
        <v>1872.4392517907545</v>
      </c>
      <c r="EC245" s="515">
        <v>-42852.188869297584</v>
      </c>
      <c r="ED245" s="556">
        <v>2571.4584817409645</v>
      </c>
      <c r="EE245" s="515">
        <v>-42852.188869297584</v>
      </c>
      <c r="EF245" s="556">
        <v>5298.7528903301991</v>
      </c>
      <c r="EG245" s="515">
        <v>-42852.188869297584</v>
      </c>
      <c r="EH245" s="556">
        <v>4070.2160292780727</v>
      </c>
      <c r="EI245" s="515">
        <v>-42852.188869297584</v>
      </c>
      <c r="EJ245" s="556">
        <v>6984.5969549483107</v>
      </c>
      <c r="EK245" s="515">
        <v>-42852.188869297584</v>
      </c>
      <c r="EL245" s="556">
        <v>772.43686945054571</v>
      </c>
      <c r="EM245" s="515">
        <v>-42852.188869297584</v>
      </c>
      <c r="EN245" s="556">
        <v>648.90178284157741</v>
      </c>
      <c r="EO245" s="515">
        <v>2285.0987868833818</v>
      </c>
      <c r="EP245" s="556">
        <v>665.94128532387356</v>
      </c>
      <c r="EQ245" s="515">
        <v>1916.0887425483199</v>
      </c>
      <c r="ER245" s="529">
        <v>0</v>
      </c>
      <c r="ES245" s="515">
        <v>18290.774992064402</v>
      </c>
      <c r="ET245" s="529">
        <v>0</v>
      </c>
      <c r="EU245" s="515">
        <v>3506.5145944555593</v>
      </c>
      <c r="EV245" s="529">
        <v>0</v>
      </c>
      <c r="EW245" s="515">
        <v>10741.045283604031</v>
      </c>
      <c r="EX245" s="556">
        <v>1.6030763418356757</v>
      </c>
      <c r="EY245" s="515">
        <v>-128016.8916426202</v>
      </c>
    </row>
    <row r="246" spans="1:155" x14ac:dyDescent="0.25">
      <c r="A246" s="601" t="s">
        <v>233</v>
      </c>
      <c r="B246" s="529">
        <v>42426.363096203786</v>
      </c>
      <c r="C246" s="515">
        <v>34291.16617272023</v>
      </c>
      <c r="D246" s="529">
        <v>42426.363096203786</v>
      </c>
      <c r="E246" s="515">
        <v>48655.094591408313</v>
      </c>
      <c r="F246" s="529">
        <v>3529.0782863182753</v>
      </c>
      <c r="G246" s="515">
        <v>257133.43231755419</v>
      </c>
      <c r="H246" s="529">
        <v>3529.0782863182753</v>
      </c>
      <c r="I246" s="515">
        <v>271497.36073624226</v>
      </c>
      <c r="J246" s="529">
        <v>42426.363096203786</v>
      </c>
      <c r="K246" s="515">
        <v>34291.16617272023</v>
      </c>
      <c r="L246" s="529">
        <v>82039.793500938715</v>
      </c>
      <c r="M246" s="515">
        <v>583723.74413355242</v>
      </c>
      <c r="N246" s="529">
        <v>77389.196473200005</v>
      </c>
      <c r="O246" s="515">
        <v>46147.023263720024</v>
      </c>
      <c r="P246" s="529">
        <v>58242.168331212662</v>
      </c>
      <c r="Q246" s="515">
        <v>572736.19644253398</v>
      </c>
      <c r="R246" s="529">
        <v>2496.7308796680845</v>
      </c>
      <c r="S246" s="515">
        <v>5309.9752177733717</v>
      </c>
      <c r="T246" s="529">
        <v>3416.7557828622284</v>
      </c>
      <c r="U246" s="515">
        <v>6230.0419225061814</v>
      </c>
      <c r="V246" s="529">
        <v>3018.3841368885078</v>
      </c>
      <c r="W246" s="515">
        <v>5831.6521764271893</v>
      </c>
      <c r="X246" s="529">
        <v>68068.253181710636</v>
      </c>
      <c r="Y246" s="515">
        <v>672521.58527774375</v>
      </c>
      <c r="Z246" s="529">
        <v>2496.7308796680845</v>
      </c>
      <c r="AA246" s="515">
        <v>5309.9752177733717</v>
      </c>
      <c r="AB246" s="529">
        <v>19135.48924680852</v>
      </c>
      <c r="AC246" s="515">
        <v>183662.63154665811</v>
      </c>
      <c r="AD246" s="529">
        <v>49867.462461771676</v>
      </c>
      <c r="AE246" s="515">
        <v>157162.43292896761</v>
      </c>
      <c r="AF246" s="529">
        <v>88617.344755876053</v>
      </c>
      <c r="AG246" s="515">
        <v>191832.80597839033</v>
      </c>
      <c r="AH246" s="529">
        <v>130386.52121270803</v>
      </c>
      <c r="AI246" s="515">
        <v>193937.97818699965</v>
      </c>
      <c r="AJ246" s="529">
        <v>69271.470392965086</v>
      </c>
      <c r="AK246" s="515">
        <v>169241.94017684952</v>
      </c>
      <c r="AL246" s="529">
        <v>491941.10985563439</v>
      </c>
      <c r="AM246" s="515">
        <v>153046.50239837053</v>
      </c>
      <c r="AN246" s="529">
        <v>10478.530037995652</v>
      </c>
      <c r="AO246" s="515">
        <v>153046.50239837053</v>
      </c>
      <c r="AP246" s="529">
        <v>64184.60663676745</v>
      </c>
      <c r="AQ246" s="515">
        <v>188247.62302697106</v>
      </c>
      <c r="AR246" s="529">
        <v>19135.48924680852</v>
      </c>
      <c r="AS246" s="515">
        <v>183662.63154665811</v>
      </c>
      <c r="AT246" s="529">
        <v>143016.2200018802</v>
      </c>
      <c r="AU246" s="515">
        <v>453082.40045111708</v>
      </c>
      <c r="AV246" s="529">
        <v>53621.327146310185</v>
      </c>
      <c r="AW246" s="515">
        <v>94257.606891962845</v>
      </c>
      <c r="AX246" s="529">
        <v>508885.4320635685</v>
      </c>
      <c r="AY246" s="515">
        <v>110818.81966724274</v>
      </c>
      <c r="AZ246" s="529">
        <v>143016.2200018802</v>
      </c>
      <c r="BA246" s="515">
        <v>453082.40045111708</v>
      </c>
      <c r="BB246" s="529">
        <v>75859.720022128924</v>
      </c>
      <c r="BC246" s="515">
        <v>172482.80685591741</v>
      </c>
      <c r="BD246" s="529">
        <v>39980.490044178601</v>
      </c>
      <c r="BE246" s="515">
        <v>684070.37554911198</v>
      </c>
      <c r="BF246" s="529">
        <v>69168.645721337278</v>
      </c>
      <c r="BG246" s="515">
        <v>116011.03457420533</v>
      </c>
      <c r="BH246" s="529">
        <v>59951.262357438027</v>
      </c>
      <c r="BI246" s="515">
        <v>56963.469560630874</v>
      </c>
      <c r="BJ246" s="529">
        <v>73229.452902093966</v>
      </c>
      <c r="BK246" s="515">
        <v>137907.74871834496</v>
      </c>
      <c r="BL246" s="529">
        <v>98540.460502437665</v>
      </c>
      <c r="BM246" s="515">
        <v>139468.22903250158</v>
      </c>
      <c r="BN246" s="529">
        <v>51791.693407525199</v>
      </c>
      <c r="BO246" s="515">
        <v>54032.548976679864</v>
      </c>
      <c r="BP246" s="529">
        <v>44332.086511922062</v>
      </c>
      <c r="BQ246" s="515">
        <v>193946.94922146117</v>
      </c>
      <c r="BR246" s="529">
        <v>6334.1706588191673</v>
      </c>
      <c r="BS246" s="515">
        <v>182041.5547234689</v>
      </c>
      <c r="BT246" s="529">
        <v>82972.193887416361</v>
      </c>
      <c r="BU246" s="515">
        <v>148528.42056421074</v>
      </c>
      <c r="BV246" s="529">
        <v>63120.139735618985</v>
      </c>
      <c r="BW246" s="515">
        <v>219043.65966823703</v>
      </c>
      <c r="BX246" s="529">
        <v>52607.745788405453</v>
      </c>
      <c r="BY246" s="515">
        <v>217642.77552039345</v>
      </c>
      <c r="BZ246" s="529">
        <v>73567.946562867292</v>
      </c>
      <c r="CA246" s="515">
        <v>6152.7639379547863</v>
      </c>
      <c r="CB246" s="529">
        <v>75859.720022128924</v>
      </c>
      <c r="CC246" s="515">
        <v>172482.80685591741</v>
      </c>
      <c r="CD246" s="529">
        <v>19135.48924680852</v>
      </c>
      <c r="CE246" s="227">
        <v>183662.63154665811</v>
      </c>
      <c r="CF246" s="556">
        <v>7928.0812320065088</v>
      </c>
      <c r="CG246" s="557">
        <v>10741.572344737462</v>
      </c>
      <c r="CH246" s="556">
        <v>10234.058343301785</v>
      </c>
      <c r="CI246" s="557">
        <v>13047.654228621785</v>
      </c>
      <c r="CJ246" s="556">
        <v>22650.563394991568</v>
      </c>
      <c r="CK246" s="557">
        <v>25464.72342701309</v>
      </c>
      <c r="CL246" s="556">
        <v>18614.356416791517</v>
      </c>
      <c r="CM246" s="557">
        <v>21428.333062840586</v>
      </c>
      <c r="CN246" s="556">
        <v>19606.698530621648</v>
      </c>
      <c r="CO246" s="557">
        <v>22420.720263958006</v>
      </c>
      <c r="CP246" s="556">
        <v>2496.7308796680845</v>
      </c>
      <c r="CQ246" s="557">
        <v>5309.9752177733717</v>
      </c>
      <c r="CR246" s="556">
        <v>143016.2200018802</v>
      </c>
      <c r="CS246" s="515">
        <v>453082.40045111708</v>
      </c>
      <c r="CT246" s="556">
        <v>22683.982421312154</v>
      </c>
      <c r="CU246" s="515">
        <v>94257.606891962845</v>
      </c>
      <c r="CV246" s="556">
        <v>30295.610535558997</v>
      </c>
      <c r="CW246" s="515">
        <v>94257.606891962845</v>
      </c>
      <c r="CX246" s="556">
        <v>60813.498718026101</v>
      </c>
      <c r="CY246" s="515">
        <v>94257.606891962845</v>
      </c>
      <c r="CZ246" s="556">
        <v>53072.960255968705</v>
      </c>
      <c r="DA246" s="515">
        <v>94257.606891962845</v>
      </c>
      <c r="DB246" s="556">
        <v>53621.327146310185</v>
      </c>
      <c r="DC246" s="515">
        <v>94257.606891962845</v>
      </c>
      <c r="DD246" s="556">
        <v>8022.0417016615829</v>
      </c>
      <c r="DE246" s="515">
        <v>94257.606891962845</v>
      </c>
      <c r="DF246" s="556">
        <v>508885.4320635685</v>
      </c>
      <c r="DG246" s="515">
        <v>110818.81966724274</v>
      </c>
      <c r="DH246" s="556">
        <v>498745.42464515584</v>
      </c>
      <c r="DI246" s="515">
        <v>110818.81966724274</v>
      </c>
      <c r="DJ246" s="556">
        <v>493240.74135070096</v>
      </c>
      <c r="DK246" s="515">
        <v>110818.81966724274</v>
      </c>
      <c r="DL246" s="556">
        <v>647210.54099687131</v>
      </c>
      <c r="DM246" s="515">
        <v>110818.81966724274</v>
      </c>
      <c r="DN246" s="556">
        <v>19265.236617112852</v>
      </c>
      <c r="DO246" s="515">
        <v>110818.81966724274</v>
      </c>
      <c r="DP246" s="556">
        <v>26781.877079603393</v>
      </c>
      <c r="DQ246" s="515">
        <v>110818.81966724274</v>
      </c>
      <c r="DR246" s="556">
        <v>78982.71989018927</v>
      </c>
      <c r="DS246" s="515">
        <v>110818.81966724274</v>
      </c>
      <c r="DT246" s="556">
        <v>71338.777788438063</v>
      </c>
      <c r="DU246" s="515">
        <v>110818.81966724274</v>
      </c>
      <c r="DV246" s="556">
        <v>71880.301453856751</v>
      </c>
      <c r="DW246" s="515">
        <v>110818.81966724274</v>
      </c>
      <c r="DX246" s="556">
        <v>26850.062339525553</v>
      </c>
      <c r="DY246" s="515">
        <v>110818.81966724274</v>
      </c>
      <c r="DZ246" s="556">
        <v>194815.64969138525</v>
      </c>
      <c r="EA246" s="515">
        <v>110818.81966724274</v>
      </c>
      <c r="EB246" s="556">
        <v>32091.718856049367</v>
      </c>
      <c r="EC246" s="515">
        <v>172482.80685591741</v>
      </c>
      <c r="ED246" s="556">
        <v>42860.120318471309</v>
      </c>
      <c r="EE246" s="515">
        <v>172482.80685591741</v>
      </c>
      <c r="EF246" s="556">
        <v>86034.70357471396</v>
      </c>
      <c r="EG246" s="515">
        <v>172482.80685591741</v>
      </c>
      <c r="EH246" s="556">
        <v>75083.928728168539</v>
      </c>
      <c r="EI246" s="515">
        <v>172482.80685591741</v>
      </c>
      <c r="EJ246" s="556">
        <v>75859.720022128924</v>
      </c>
      <c r="EK246" s="515">
        <v>172482.80685591741</v>
      </c>
      <c r="EL246" s="556">
        <v>11349.026029016648</v>
      </c>
      <c r="EM246" s="515">
        <v>172482.80685591741</v>
      </c>
      <c r="EN246" s="556">
        <v>13472.859396069787</v>
      </c>
      <c r="EO246" s="557">
        <v>16286.602437044545</v>
      </c>
      <c r="EP246" s="556">
        <v>7871.5599044276751</v>
      </c>
      <c r="EQ246" s="557">
        <v>3998.5134182189686</v>
      </c>
      <c r="ER246" s="529">
        <v>0</v>
      </c>
      <c r="ES246" s="515">
        <v>242285.01080109124</v>
      </c>
      <c r="ET246" s="529">
        <v>0</v>
      </c>
      <c r="EU246" s="515">
        <v>169000.61272163675</v>
      </c>
      <c r="EV246" s="529">
        <v>0</v>
      </c>
      <c r="EW246" s="515">
        <v>223084.81887427438</v>
      </c>
      <c r="EX246" s="556">
        <v>60.822723613976905</v>
      </c>
      <c r="EY246" s="515">
        <v>-141564.98308336828</v>
      </c>
    </row>
    <row r="247" spans="1:155" x14ac:dyDescent="0.25">
      <c r="A247" s="601" t="s">
        <v>1402</v>
      </c>
      <c r="B247" s="529">
        <v>10559.413607614832</v>
      </c>
      <c r="C247" s="515">
        <v>21756.031167519708</v>
      </c>
      <c r="D247" s="529">
        <v>10559.413607614832</v>
      </c>
      <c r="E247" s="515">
        <v>26143.480409221393</v>
      </c>
      <c r="F247" s="529">
        <v>30560.173344880619</v>
      </c>
      <c r="G247" s="515">
        <v>26951.653168161691</v>
      </c>
      <c r="H247" s="529">
        <v>30560.173344880619</v>
      </c>
      <c r="I247" s="515">
        <v>31339.102409863375</v>
      </c>
      <c r="J247" s="529">
        <v>10559.413607614832</v>
      </c>
      <c r="K247" s="515">
        <v>21756.031167519708</v>
      </c>
      <c r="L247" s="529">
        <v>562.65918852897255</v>
      </c>
      <c r="M247" s="515">
        <v>3832.6030687962925</v>
      </c>
      <c r="N247" s="529">
        <v>534.24274294654515</v>
      </c>
      <c r="O247" s="515">
        <v>3884.7887362048614</v>
      </c>
      <c r="P247" s="529">
        <v>1165.682024834447</v>
      </c>
      <c r="Q247" s="515">
        <v>4223.6304131745055</v>
      </c>
      <c r="R247" s="529">
        <v>21620.525895948183</v>
      </c>
      <c r="S247" s="515">
        <v>25218.614726020769</v>
      </c>
      <c r="T247" s="529">
        <v>13800.502675725131</v>
      </c>
      <c r="U247" s="515">
        <v>17398.236201282703</v>
      </c>
      <c r="V247" s="529">
        <v>17186.580064475507</v>
      </c>
      <c r="W247" s="515">
        <v>20784.467437221319</v>
      </c>
      <c r="X247" s="529">
        <v>8716.1365860618389</v>
      </c>
      <c r="Y247" s="515">
        <v>12207.868754788975</v>
      </c>
      <c r="Z247" s="529">
        <v>21620.525895948183</v>
      </c>
      <c r="AA247" s="515">
        <v>25218.614726020769</v>
      </c>
      <c r="AB247" s="529">
        <v>22243.70334618344</v>
      </c>
      <c r="AC247" s="515">
        <v>11543.943655214942</v>
      </c>
      <c r="AD247" s="529">
        <v>41095.172047421569</v>
      </c>
      <c r="AE247" s="515">
        <v>40062.280850547526</v>
      </c>
      <c r="AF247" s="529">
        <v>29656.272779204086</v>
      </c>
      <c r="AG247" s="515">
        <v>11747.160983260866</v>
      </c>
      <c r="AH247" s="529">
        <v>115235.26744243498</v>
      </c>
      <c r="AI247" s="515">
        <v>13764.746307605114</v>
      </c>
      <c r="AJ247" s="529">
        <v>44589.857070645383</v>
      </c>
      <c r="AK247" s="515">
        <v>17068.514632760271</v>
      </c>
      <c r="AL247" s="529">
        <v>92935.526589161658</v>
      </c>
      <c r="AM247" s="515">
        <v>4593.7876210108798</v>
      </c>
      <c r="AN247" s="529">
        <v>4041.9362900274323</v>
      </c>
      <c r="AO247" s="515">
        <v>4593.7876210108798</v>
      </c>
      <c r="AP247" s="529">
        <v>60879.245718065453</v>
      </c>
      <c r="AQ247" s="515">
        <v>9947.7519012408866</v>
      </c>
      <c r="AR247" s="529">
        <v>22243.70334618344</v>
      </c>
      <c r="AS247" s="515">
        <v>11543.943655214942</v>
      </c>
      <c r="AT247" s="529">
        <v>64592.705436041215</v>
      </c>
      <c r="AU247" s="515">
        <v>-23382.685915216931</v>
      </c>
      <c r="AV247" s="529">
        <v>75446.625586205453</v>
      </c>
      <c r="AW247" s="515">
        <v>17576.868530721196</v>
      </c>
      <c r="AX247" s="529">
        <v>55094.055770084815</v>
      </c>
      <c r="AY247" s="515">
        <v>4540.6787140703082</v>
      </c>
      <c r="AZ247" s="529">
        <v>64592.705436041215</v>
      </c>
      <c r="BA247" s="515">
        <v>-23382.685915216931</v>
      </c>
      <c r="BB247" s="529">
        <v>106736.63257097831</v>
      </c>
      <c r="BC247" s="515">
        <v>17485.954323332793</v>
      </c>
      <c r="BD247" s="529">
        <v>56253.606981522156</v>
      </c>
      <c r="BE247" s="515">
        <v>7309.5447313758186</v>
      </c>
      <c r="BF247" s="529">
        <v>97322.114049945274</v>
      </c>
      <c r="BG247" s="515">
        <v>10985.576584559023</v>
      </c>
      <c r="BH247" s="529">
        <v>84353.011855903853</v>
      </c>
      <c r="BI247" s="515">
        <v>7975.4522173267233</v>
      </c>
      <c r="BJ247" s="529">
        <v>139952.73698144039</v>
      </c>
      <c r="BK247" s="515">
        <v>4602.0924399744372</v>
      </c>
      <c r="BL247" s="529">
        <v>134487.22341618646</v>
      </c>
      <c r="BM247" s="515">
        <v>4627.2343348155082</v>
      </c>
      <c r="BN247" s="529">
        <v>98981.8844472005</v>
      </c>
      <c r="BO247" s="515">
        <v>4430.3023978913807</v>
      </c>
      <c r="BP247" s="529">
        <v>62376.418311951667</v>
      </c>
      <c r="BQ247" s="515">
        <v>17749.842673118757</v>
      </c>
      <c r="BR247" s="529">
        <v>54850.966066699642</v>
      </c>
      <c r="BS247" s="515">
        <v>17128.896388507375</v>
      </c>
      <c r="BT247" s="529">
        <v>37474.060488254596</v>
      </c>
      <c r="BU247" s="515">
        <v>6003.5116026114265</v>
      </c>
      <c r="BV247" s="529">
        <v>39589.354728595317</v>
      </c>
      <c r="BW247" s="515">
        <v>11767.908989776239</v>
      </c>
      <c r="BX247" s="529">
        <v>27595.303887249109</v>
      </c>
      <c r="BY247" s="515">
        <v>11526.640442068585</v>
      </c>
      <c r="BZ247" s="529">
        <v>140599.65038033511</v>
      </c>
      <c r="CA247" s="515">
        <v>4402.2354596570021</v>
      </c>
      <c r="CB247" s="529">
        <v>106736.63257097831</v>
      </c>
      <c r="CC247" s="515">
        <v>17485.954323332793</v>
      </c>
      <c r="CD247" s="529">
        <v>22243.70334618344</v>
      </c>
      <c r="CE247" s="227">
        <v>11543.943655214942</v>
      </c>
      <c r="CF247" s="556">
        <v>21806.344740704477</v>
      </c>
      <c r="CG247" s="515">
        <v>25404.442013498097</v>
      </c>
      <c r="CH247" s="556">
        <v>27044.661727986739</v>
      </c>
      <c r="CI247" s="515">
        <v>30642.997004891633</v>
      </c>
      <c r="CJ247" s="556">
        <v>14206.578008268149</v>
      </c>
      <c r="CK247" s="515">
        <v>17804.329983949847</v>
      </c>
      <c r="CL247" s="556">
        <v>9764.1291085340126</v>
      </c>
      <c r="CM247" s="515">
        <v>13361.679240550115</v>
      </c>
      <c r="CN247" s="556">
        <v>27587.143432409579</v>
      </c>
      <c r="CO247" s="515">
        <v>31185.503357092806</v>
      </c>
      <c r="CP247" s="556">
        <v>21620.525895948183</v>
      </c>
      <c r="CQ247" s="515">
        <v>25218.614726020769</v>
      </c>
      <c r="CR247" s="556">
        <v>64592.705436041215</v>
      </c>
      <c r="CS247" s="515">
        <v>-23382.685915216931</v>
      </c>
      <c r="CT247" s="556">
        <v>62392.743754218733</v>
      </c>
      <c r="CU247" s="515">
        <v>17576.868530721196</v>
      </c>
      <c r="CV247" s="556">
        <v>80059.592323242992</v>
      </c>
      <c r="CW247" s="515">
        <v>17576.868530721196</v>
      </c>
      <c r="CX247" s="556">
        <v>38142.614752107569</v>
      </c>
      <c r="CY247" s="515">
        <v>17576.868530721196</v>
      </c>
      <c r="CZ247" s="556">
        <v>27839.331347706888</v>
      </c>
      <c r="DA247" s="515">
        <v>17576.868530721196</v>
      </c>
      <c r="DB247" s="556">
        <v>75446.625586205453</v>
      </c>
      <c r="DC247" s="515">
        <v>17576.868530721196</v>
      </c>
      <c r="DD247" s="556">
        <v>69467.142719125666</v>
      </c>
      <c r="DE247" s="515">
        <v>17576.868530721196</v>
      </c>
      <c r="DF247" s="556">
        <v>55094.055770084815</v>
      </c>
      <c r="DG247" s="515">
        <v>4540.6787140703082</v>
      </c>
      <c r="DH247" s="556">
        <v>54933.77949059425</v>
      </c>
      <c r="DI247" s="515">
        <v>4540.6787140703082</v>
      </c>
      <c r="DJ247" s="556">
        <v>55461.456741018905</v>
      </c>
      <c r="DK247" s="515">
        <v>4540.6787140703082</v>
      </c>
      <c r="DL247" s="556">
        <v>52024.901794369129</v>
      </c>
      <c r="DM247" s="515">
        <v>4540.6787140703082</v>
      </c>
      <c r="DN247" s="556">
        <v>88136.026993798747</v>
      </c>
      <c r="DO247" s="515">
        <v>4540.6787140703082</v>
      </c>
      <c r="DP247" s="556">
        <v>105582.40598202926</v>
      </c>
      <c r="DQ247" s="515">
        <v>4540.6787140703082</v>
      </c>
      <c r="DR247" s="556">
        <v>65148.774685561686</v>
      </c>
      <c r="DS247" s="515">
        <v>4540.6787140703082</v>
      </c>
      <c r="DT247" s="556">
        <v>54974.068857636652</v>
      </c>
      <c r="DU247" s="515">
        <v>4540.6787140703082</v>
      </c>
      <c r="DV247" s="556">
        <v>101987.25825833809</v>
      </c>
      <c r="DW247" s="515">
        <v>4540.6787140703082</v>
      </c>
      <c r="DX247" s="556">
        <v>96082.395042630655</v>
      </c>
      <c r="DY247" s="515">
        <v>4540.6787140703082</v>
      </c>
      <c r="DZ247" s="556">
        <v>-21341.343135123174</v>
      </c>
      <c r="EA247" s="515">
        <v>4540.6787140703082</v>
      </c>
      <c r="EB247" s="556">
        <v>88268.909489927901</v>
      </c>
      <c r="EC247" s="515">
        <v>17485.954323332793</v>
      </c>
      <c r="ED247" s="556">
        <v>113262.73671212024</v>
      </c>
      <c r="EE247" s="515">
        <v>17485.954323332793</v>
      </c>
      <c r="EF247" s="556">
        <v>53961.515501316964</v>
      </c>
      <c r="EG247" s="515">
        <v>17485.954323332793</v>
      </c>
      <c r="EH247" s="556">
        <v>39385.147552910683</v>
      </c>
      <c r="EI247" s="515">
        <v>17485.954323332793</v>
      </c>
      <c r="EJ247" s="556">
        <v>106736.63257097831</v>
      </c>
      <c r="EK247" s="515">
        <v>17485.954323332793</v>
      </c>
      <c r="EL247" s="556">
        <v>98277.276558843456</v>
      </c>
      <c r="EM247" s="515">
        <v>17485.954323332793</v>
      </c>
      <c r="EN247" s="556">
        <v>25212.278447440036</v>
      </c>
      <c r="EO247" s="515">
        <v>28810.530469598176</v>
      </c>
      <c r="EP247" s="556">
        <v>97319.544312663216</v>
      </c>
      <c r="EQ247" s="515">
        <v>14422.745252313041</v>
      </c>
      <c r="ER247" s="529">
        <v>0</v>
      </c>
      <c r="ES247" s="515">
        <v>8813.6818514168317</v>
      </c>
      <c r="ET247" s="529">
        <v>0</v>
      </c>
      <c r="EU247" s="515">
        <v>40752.208112010558</v>
      </c>
      <c r="EV247" s="529">
        <v>0</v>
      </c>
      <c r="EW247" s="515">
        <v>26076.597938639774</v>
      </c>
      <c r="EX247" s="556">
        <v>116.2415708857269</v>
      </c>
      <c r="EY247" s="515">
        <v>-297.25883049990574</v>
      </c>
    </row>
    <row r="248" spans="1:155" x14ac:dyDescent="0.25">
      <c r="A248" s="601" t="s">
        <v>1403</v>
      </c>
      <c r="B248" s="529">
        <v>18.689131581536152</v>
      </c>
      <c r="C248" s="515">
        <v>2.0752803302878569</v>
      </c>
      <c r="D248" s="529">
        <v>18.689131581536152</v>
      </c>
      <c r="E248" s="515">
        <v>2.3890522648074151</v>
      </c>
      <c r="F248" s="529">
        <v>0.68118866288168867</v>
      </c>
      <c r="G248" s="515">
        <v>9.9525824221889057</v>
      </c>
      <c r="H248" s="529">
        <v>0.68118866288168867</v>
      </c>
      <c r="I248" s="515">
        <v>10.266354356708465</v>
      </c>
      <c r="J248" s="529">
        <v>18.689131581536152</v>
      </c>
      <c r="K248" s="515">
        <v>2.0752803302878569</v>
      </c>
      <c r="L248" s="529">
        <v>2.1076081597926817</v>
      </c>
      <c r="M248" s="515">
        <v>2.2790127313208566</v>
      </c>
      <c r="N248" s="529">
        <v>0.1735126902796702</v>
      </c>
      <c r="O248" s="515">
        <v>0.60922873905317654</v>
      </c>
      <c r="P248" s="529">
        <v>10.148156491267398</v>
      </c>
      <c r="Q248" s="515">
        <v>5.9693071003306004</v>
      </c>
      <c r="R248" s="529">
        <v>0.48192321946783118</v>
      </c>
      <c r="S248" s="515">
        <v>0.99773969965136078</v>
      </c>
      <c r="T248" s="529">
        <v>3.8624533410229009</v>
      </c>
      <c r="U248" s="515">
        <v>4.3784234163533391</v>
      </c>
      <c r="V248" s="529">
        <v>2.3986806277929413</v>
      </c>
      <c r="W248" s="515">
        <v>2.9145841962807109</v>
      </c>
      <c r="X248" s="529">
        <v>2.296393558845113</v>
      </c>
      <c r="Y248" s="515">
        <v>2.7844257361455633</v>
      </c>
      <c r="Z248" s="529">
        <v>0.48192321946783118</v>
      </c>
      <c r="AA248" s="515">
        <v>0.99773969965136078</v>
      </c>
      <c r="AB248" s="529">
        <v>625.61764478688406</v>
      </c>
      <c r="AC248" s="515">
        <v>8.8518790295012408</v>
      </c>
      <c r="AD248" s="529">
        <v>9.1166215582029935</v>
      </c>
      <c r="AE248" s="515">
        <v>7.1387483609147964</v>
      </c>
      <c r="AF248" s="529">
        <v>11.656961880190163</v>
      </c>
      <c r="AG248" s="515">
        <v>7.0410792473536477</v>
      </c>
      <c r="AH248" s="529">
        <v>20.255724996262671</v>
      </c>
      <c r="AI248" s="515">
        <v>6.2463473609248528</v>
      </c>
      <c r="AJ248" s="529">
        <v>10.337173559613486</v>
      </c>
      <c r="AK248" s="515">
        <v>6.3870143184231374</v>
      </c>
      <c r="AL248" s="529">
        <v>47.390829342778169</v>
      </c>
      <c r="AM248" s="515">
        <v>5.9100820238505856</v>
      </c>
      <c r="AN248" s="529">
        <v>36.472981010052713</v>
      </c>
      <c r="AO248" s="515">
        <v>5.9100820238505856</v>
      </c>
      <c r="AP248" s="529">
        <v>6.9662018181952661</v>
      </c>
      <c r="AQ248" s="515">
        <v>6.9979847584133106</v>
      </c>
      <c r="AR248" s="529">
        <v>625.61764478688406</v>
      </c>
      <c r="AS248" s="515">
        <v>8.8518790295012408</v>
      </c>
      <c r="AT248" s="529">
        <v>808.25381491217286</v>
      </c>
      <c r="AU248" s="515">
        <v>-456.41243719367384</v>
      </c>
      <c r="AV248" s="529">
        <v>10.277036557409865</v>
      </c>
      <c r="AW248" s="515">
        <v>208.61752800615642</v>
      </c>
      <c r="AX248" s="529">
        <v>456.67671027785065</v>
      </c>
      <c r="AY248" s="515">
        <v>19.572467934264534</v>
      </c>
      <c r="AZ248" s="529">
        <v>808.25381491217286</v>
      </c>
      <c r="BA248" s="515">
        <v>-456.41243719367384</v>
      </c>
      <c r="BB248" s="529">
        <v>14.539235736837659</v>
      </c>
      <c r="BC248" s="515">
        <v>267.04450541458522</v>
      </c>
      <c r="BD248" s="529">
        <v>7.6626405878777</v>
      </c>
      <c r="BE248" s="515">
        <v>86.018141295541511</v>
      </c>
      <c r="BF248" s="529">
        <v>13.256827805941951</v>
      </c>
      <c r="BG248" s="515">
        <v>121.99595135581522</v>
      </c>
      <c r="BH248" s="529">
        <v>11.490228752248587</v>
      </c>
      <c r="BI248" s="515">
        <v>118.41321182093239</v>
      </c>
      <c r="BJ248" s="529">
        <v>27.60890028781105</v>
      </c>
      <c r="BK248" s="515">
        <v>894.31314154552183</v>
      </c>
      <c r="BL248" s="529">
        <v>28.002571681980168</v>
      </c>
      <c r="BM248" s="515">
        <v>376.19412740653036</v>
      </c>
      <c r="BN248" s="529">
        <v>19.526456123289659</v>
      </c>
      <c r="BO248" s="515">
        <v>1.9348745175389006</v>
      </c>
      <c r="BP248" s="529">
        <v>8.4966653754415908</v>
      </c>
      <c r="BQ248" s="515">
        <v>114.7919897533797</v>
      </c>
      <c r="BR248" s="529">
        <v>1.2226323395185557</v>
      </c>
      <c r="BS248" s="515">
        <v>109.49734265552001</v>
      </c>
      <c r="BT248" s="529">
        <v>468.91598897142649</v>
      </c>
      <c r="BU248" s="515">
        <v>13.674243951545289</v>
      </c>
      <c r="BV248" s="529">
        <v>9.5162880207323362</v>
      </c>
      <c r="BW248" s="515">
        <v>49.532172283903343</v>
      </c>
      <c r="BX248" s="529">
        <v>6.5340744771070511</v>
      </c>
      <c r="BY248" s="515">
        <v>48.169931511770706</v>
      </c>
      <c r="BZ248" s="529">
        <v>27.736518853265057</v>
      </c>
      <c r="CA248" s="515">
        <v>0.45557521412740759</v>
      </c>
      <c r="CB248" s="529">
        <v>14.539235736837659</v>
      </c>
      <c r="CC248" s="515">
        <v>267.04450541458522</v>
      </c>
      <c r="CD248" s="529">
        <v>625.61764478688406</v>
      </c>
      <c r="CE248" s="227">
        <v>8.8518790295012408</v>
      </c>
      <c r="CF248" s="556">
        <v>1.3068996338216168</v>
      </c>
      <c r="CG248" s="515">
        <v>1.8227535969942052</v>
      </c>
      <c r="CH248" s="556">
        <v>1.5370619373379326</v>
      </c>
      <c r="CI248" s="515">
        <v>2.0529263579865824</v>
      </c>
      <c r="CJ248" s="556">
        <v>3.4149050683574624</v>
      </c>
      <c r="CK248" s="515">
        <v>3.9308548092314051</v>
      </c>
      <c r="CL248" s="556">
        <v>2.311971162192195</v>
      </c>
      <c r="CM248" s="515">
        <v>2.8278707910158802</v>
      </c>
      <c r="CN248" s="556">
        <v>3.7578099665363967</v>
      </c>
      <c r="CO248" s="515">
        <v>4.2737752873715635</v>
      </c>
      <c r="CP248" s="556">
        <v>0.48192321946783118</v>
      </c>
      <c r="CQ248" s="515">
        <v>0.99773969965136078</v>
      </c>
      <c r="CR248" s="556">
        <v>808.25381491217286</v>
      </c>
      <c r="CS248" s="515">
        <v>-456.41243719367384</v>
      </c>
      <c r="CT248" s="556">
        <v>3.7393270140000623</v>
      </c>
      <c r="CU248" s="515">
        <v>208.61752800615642</v>
      </c>
      <c r="CV248" s="556">
        <v>4.5501235444001082</v>
      </c>
      <c r="CW248" s="515">
        <v>208.61752800615642</v>
      </c>
      <c r="CX248" s="556">
        <v>9.1685280129790243</v>
      </c>
      <c r="CY248" s="515">
        <v>208.61752800615642</v>
      </c>
      <c r="CZ248" s="556">
        <v>6.591855815830673</v>
      </c>
      <c r="DA248" s="515">
        <v>208.61752800615642</v>
      </c>
      <c r="DB248" s="556">
        <v>10.277036557409865</v>
      </c>
      <c r="DC248" s="515">
        <v>208.61752800615642</v>
      </c>
      <c r="DD248" s="556">
        <v>1.5484280644952439</v>
      </c>
      <c r="DE248" s="515">
        <v>208.61752800615642</v>
      </c>
      <c r="DF248" s="556">
        <v>456.67671027785065</v>
      </c>
      <c r="DG248" s="515">
        <v>19.572467934264534</v>
      </c>
      <c r="DH248" s="556">
        <v>447.40226096950687</v>
      </c>
      <c r="DI248" s="515">
        <v>19.572467934264534</v>
      </c>
      <c r="DJ248" s="556">
        <v>459.69735031098475</v>
      </c>
      <c r="DK248" s="515">
        <v>19.572467934264534</v>
      </c>
      <c r="DL248" s="556">
        <v>435.02374018330914</v>
      </c>
      <c r="DM248" s="515">
        <v>19.572467934264534</v>
      </c>
      <c r="DN248" s="556">
        <v>142.17564296653924</v>
      </c>
      <c r="DO248" s="515">
        <v>19.572467934264534</v>
      </c>
      <c r="DP248" s="556">
        <v>142.97632133860063</v>
      </c>
      <c r="DQ248" s="515">
        <v>19.572467934264534</v>
      </c>
      <c r="DR248" s="556">
        <v>182.80527751275093</v>
      </c>
      <c r="DS248" s="515">
        <v>19.572467934264534</v>
      </c>
      <c r="DT248" s="556">
        <v>180.26076033390873</v>
      </c>
      <c r="DU248" s="515">
        <v>19.572467934264534</v>
      </c>
      <c r="DV248" s="556">
        <v>183.89995266674197</v>
      </c>
      <c r="DW248" s="515">
        <v>19.572467934264534</v>
      </c>
      <c r="DX248" s="556">
        <v>175.28027093842985</v>
      </c>
      <c r="DY248" s="515">
        <v>19.572467934264534</v>
      </c>
      <c r="DZ248" s="556">
        <v>153.23022980242885</v>
      </c>
      <c r="EA248" s="515">
        <v>19.572467934264534</v>
      </c>
      <c r="EB248" s="556">
        <v>5.2901394920574587</v>
      </c>
      <c r="EC248" s="515">
        <v>267.04450541458522</v>
      </c>
      <c r="ED248" s="556">
        <v>6.4371979679365552</v>
      </c>
      <c r="EE248" s="515">
        <v>267.04450541458522</v>
      </c>
      <c r="EF248" s="556">
        <v>12.970995033036878</v>
      </c>
      <c r="EG248" s="515">
        <v>267.04450541458522</v>
      </c>
      <c r="EH248" s="556">
        <v>9.3256986208251149</v>
      </c>
      <c r="EI248" s="515">
        <v>267.04450541458522</v>
      </c>
      <c r="EJ248" s="556">
        <v>14.539235736837659</v>
      </c>
      <c r="EK248" s="515">
        <v>267.04450541458522</v>
      </c>
      <c r="EL248" s="556">
        <v>2.1906082094258492</v>
      </c>
      <c r="EM248" s="515">
        <v>267.04450541458522</v>
      </c>
      <c r="EN248" s="556">
        <v>2.5557614326316829</v>
      </c>
      <c r="EO248" s="515">
        <v>3.071672138121174</v>
      </c>
      <c r="EP248" s="556">
        <v>2.0292082135466263</v>
      </c>
      <c r="EQ248" s="515">
        <v>0.79738604071653696</v>
      </c>
      <c r="ER248" s="529">
        <v>0</v>
      </c>
      <c r="ES248" s="587">
        <v>9.4120219352882213</v>
      </c>
      <c r="ET248" s="529">
        <v>0</v>
      </c>
      <c r="EU248" s="587">
        <v>6.0695932987953904</v>
      </c>
      <c r="EV248" s="529">
        <v>0</v>
      </c>
      <c r="EW248" s="587">
        <v>7.6865859683377842</v>
      </c>
      <c r="EX248" s="556">
        <v>24.193830425327548</v>
      </c>
      <c r="EY248" s="515">
        <v>-32.852410182281709</v>
      </c>
    </row>
    <row r="249" spans="1:155" x14ac:dyDescent="0.25">
      <c r="A249" s="601" t="s">
        <v>237</v>
      </c>
      <c r="B249" s="534">
        <v>3.7140376581436518</v>
      </c>
      <c r="C249" s="511">
        <v>3.1362062166890174</v>
      </c>
      <c r="D249" s="534">
        <v>3.7140376581436518</v>
      </c>
      <c r="E249" s="511">
        <v>3.3354136280602202</v>
      </c>
      <c r="F249" s="534">
        <v>0.80642634733254615</v>
      </c>
      <c r="G249" s="511">
        <v>5.9699548322648015</v>
      </c>
      <c r="H249" s="534">
        <v>0.80642634733254615</v>
      </c>
      <c r="I249" s="511">
        <v>6.1691622436360039</v>
      </c>
      <c r="J249" s="534">
        <v>3.7140376581436518</v>
      </c>
      <c r="K249" s="511">
        <v>3.1362062166890174</v>
      </c>
      <c r="L249" s="534">
        <v>7.7005820946249743</v>
      </c>
      <c r="M249" s="511">
        <v>6.288002230692463</v>
      </c>
      <c r="N249" s="534">
        <v>7.3830287190739812</v>
      </c>
      <c r="O249" s="511">
        <v>2.3989551539534619</v>
      </c>
      <c r="P249" s="534">
        <v>-22.99278136137243</v>
      </c>
      <c r="Q249" s="511">
        <v>-10.115703469861433</v>
      </c>
      <c r="R249" s="534">
        <v>0.54159436763418656</v>
      </c>
      <c r="S249" s="511">
        <v>1.7407997891608651</v>
      </c>
      <c r="T249" s="534">
        <v>7.3216657182889158</v>
      </c>
      <c r="U249" s="511">
        <v>8.521179193883361</v>
      </c>
      <c r="V249" s="534">
        <v>4.3858884644316865</v>
      </c>
      <c r="W249" s="511">
        <v>5.5852685523258643</v>
      </c>
      <c r="X249" s="534">
        <v>6.9849891733649008</v>
      </c>
      <c r="Y249" s="511">
        <v>8.0997244842915528</v>
      </c>
      <c r="Z249" s="534">
        <v>0.54159436763418656</v>
      </c>
      <c r="AA249" s="511">
        <v>1.7407997891608651</v>
      </c>
      <c r="AB249" s="534">
        <v>2.3782388931368419</v>
      </c>
      <c r="AC249" s="511">
        <v>18.808597087822459</v>
      </c>
      <c r="AD249" s="534">
        <v>6.1788821924385759</v>
      </c>
      <c r="AE249" s="511">
        <v>5.227114957170703</v>
      </c>
      <c r="AF249" s="534">
        <v>11.640617248697847</v>
      </c>
      <c r="AG249" s="511">
        <v>68.52785795701557</v>
      </c>
      <c r="AH249" s="534">
        <v>17.84576227072797</v>
      </c>
      <c r="AI249" s="511">
        <v>88.518438453655563</v>
      </c>
      <c r="AJ249" s="534">
        <v>9.4867303943680668</v>
      </c>
      <c r="AK249" s="511">
        <v>29.017139450229823</v>
      </c>
      <c r="AL249" s="534">
        <v>17.46016287610367</v>
      </c>
      <c r="AM249" s="511">
        <v>2.9313987008486402</v>
      </c>
      <c r="AN249" s="534">
        <v>0.22933418600143751</v>
      </c>
      <c r="AO249" s="511">
        <v>2.9313987008486402</v>
      </c>
      <c r="AP249" s="534">
        <v>9.1056455052959357</v>
      </c>
      <c r="AQ249" s="511">
        <v>28.628644161504639</v>
      </c>
      <c r="AR249" s="534">
        <v>2.3782388931368419</v>
      </c>
      <c r="AS249" s="511">
        <v>18.808597087822459</v>
      </c>
      <c r="AT249" s="534">
        <v>18.061674637058278</v>
      </c>
      <c r="AU249" s="511">
        <v>-8.1979936946065717</v>
      </c>
      <c r="AV249" s="534">
        <v>6.742607786061928</v>
      </c>
      <c r="AW249" s="511">
        <v>66.121082856588785</v>
      </c>
      <c r="AX249" s="534">
        <v>67.860053352375587</v>
      </c>
      <c r="AY249" s="511">
        <v>2.5435796117609115</v>
      </c>
      <c r="AZ249" s="534">
        <v>18.061674637058278</v>
      </c>
      <c r="BA249" s="511">
        <v>-8.1979936946065717</v>
      </c>
      <c r="BB249" s="534">
        <v>9.5389720115288412</v>
      </c>
      <c r="BC249" s="511">
        <v>11.744399154654714</v>
      </c>
      <c r="BD249" s="534">
        <v>5.0273422499763702</v>
      </c>
      <c r="BE249" s="511">
        <v>11.938202378565613</v>
      </c>
      <c r="BF249" s="534">
        <v>8.6976036217734745</v>
      </c>
      <c r="BG249" s="511">
        <v>8.5677714618103682</v>
      </c>
      <c r="BH249" s="534">
        <v>7.538564781370189</v>
      </c>
      <c r="BI249" s="511">
        <v>5.4846681461146503</v>
      </c>
      <c r="BJ249" s="534">
        <v>221.05359284510982</v>
      </c>
      <c r="BK249" s="511">
        <v>1.6879010584724385</v>
      </c>
      <c r="BL249" s="534">
        <v>15.544973177764247</v>
      </c>
      <c r="BM249" s="511">
        <v>1.6666277685770108</v>
      </c>
      <c r="BN249" s="534">
        <v>156.34064510317356</v>
      </c>
      <c r="BO249" s="511">
        <v>0.9555647237588446</v>
      </c>
      <c r="BP249" s="534">
        <v>5.574533261216116</v>
      </c>
      <c r="BQ249" s="511">
        <v>19.66965489162536</v>
      </c>
      <c r="BR249" s="534">
        <v>1.3740171919955786</v>
      </c>
      <c r="BS249" s="511">
        <v>18.247959119738802</v>
      </c>
      <c r="BT249" s="534">
        <v>10.478648994482784</v>
      </c>
      <c r="BU249" s="511">
        <v>6.8681790079588989</v>
      </c>
      <c r="BV249" s="534">
        <v>7.6998747364784643</v>
      </c>
      <c r="BW249" s="511">
        <v>19.109423518549537</v>
      </c>
      <c r="BX249" s="534">
        <v>6.4327129602877173</v>
      </c>
      <c r="BY249" s="511">
        <v>18.571744177217465</v>
      </c>
      <c r="BZ249" s="534">
        <v>222.07538444540043</v>
      </c>
      <c r="CA249" s="511">
        <v>0.18360235872967751</v>
      </c>
      <c r="CB249" s="534">
        <v>9.5389720115288412</v>
      </c>
      <c r="CC249" s="511">
        <v>11.744399154654714</v>
      </c>
      <c r="CD249" s="534">
        <v>2.3782388931368419</v>
      </c>
      <c r="CE249" s="512">
        <v>18.808597087822459</v>
      </c>
      <c r="CF249" s="560">
        <v>1.2783442922094164</v>
      </c>
      <c r="CG249" s="511">
        <v>2.4775831881347341</v>
      </c>
      <c r="CH249" s="560">
        <v>1.7473693117005418</v>
      </c>
      <c r="CI249" s="511">
        <v>2.9466295178831805</v>
      </c>
      <c r="CJ249" s="560">
        <v>2.7630880030146865</v>
      </c>
      <c r="CK249" s="511">
        <v>3.9623943586046666</v>
      </c>
      <c r="CL249" s="560">
        <v>2.2761061128017395</v>
      </c>
      <c r="CM249" s="511">
        <v>3.4753903422599359</v>
      </c>
      <c r="CN249" s="560">
        <v>2.4654421143068546</v>
      </c>
      <c r="CO249" s="511">
        <v>3.6647349462888918</v>
      </c>
      <c r="CP249" s="560">
        <v>0.54159436763418656</v>
      </c>
      <c r="CQ249" s="511">
        <v>1.7407997891608651</v>
      </c>
      <c r="CR249" s="560">
        <v>18.061674637058278</v>
      </c>
      <c r="CS249" s="511">
        <v>-8.1979936946065717</v>
      </c>
      <c r="CT249" s="560">
        <v>3.657623907257074</v>
      </c>
      <c r="CU249" s="511">
        <v>66.121082856588785</v>
      </c>
      <c r="CV249" s="560">
        <v>5.1726908674226211</v>
      </c>
      <c r="CW249" s="511">
        <v>66.121082856588785</v>
      </c>
      <c r="CX249" s="560">
        <v>7.4184931208502292</v>
      </c>
      <c r="CY249" s="511">
        <v>66.121082856588785</v>
      </c>
      <c r="CZ249" s="560">
        <v>6.4895979510805946</v>
      </c>
      <c r="DA249" s="511">
        <v>66.121082856588785</v>
      </c>
      <c r="DB249" s="560">
        <v>6.742607786061928</v>
      </c>
      <c r="DC249" s="511">
        <v>66.121082856588785</v>
      </c>
      <c r="DD249" s="560">
        <v>1.7401525482490428</v>
      </c>
      <c r="DE249" s="511">
        <v>66.121082856588785</v>
      </c>
      <c r="DF249" s="560">
        <v>67.860053352375587</v>
      </c>
      <c r="DG249" s="511">
        <v>2.5435796117609115</v>
      </c>
      <c r="DH249" s="560">
        <v>67.222650634522296</v>
      </c>
      <c r="DI249" s="511">
        <v>2.5435796117609115</v>
      </c>
      <c r="DJ249" s="560">
        <v>67.576018987644986</v>
      </c>
      <c r="DK249" s="511">
        <v>2.5435796117609115</v>
      </c>
      <c r="DL249" s="560">
        <v>70.575378393856056</v>
      </c>
      <c r="DM249" s="511">
        <v>2.5435796117609115</v>
      </c>
      <c r="DN249" s="560">
        <v>41.926054375317996</v>
      </c>
      <c r="DO249" s="511">
        <v>2.5435796117609115</v>
      </c>
      <c r="DP249" s="560">
        <v>43.447673546830501</v>
      </c>
      <c r="DQ249" s="511">
        <v>2.5435796117609115</v>
      </c>
      <c r="DR249" s="560">
        <v>46.485768558994643</v>
      </c>
      <c r="DS249" s="511">
        <v>2.5435796117609115</v>
      </c>
      <c r="DT249" s="560">
        <v>45.60186395161827</v>
      </c>
      <c r="DU249" s="511">
        <v>2.5435796117609115</v>
      </c>
      <c r="DV249" s="560">
        <v>45.826351939511135</v>
      </c>
      <c r="DW249" s="511">
        <v>2.5435796117609115</v>
      </c>
      <c r="DX249" s="560">
        <v>40.976003707377068</v>
      </c>
      <c r="DY249" s="511">
        <v>2.5435796117609115</v>
      </c>
      <c r="DZ249" s="560">
        <v>42.511598124609229</v>
      </c>
      <c r="EA249" s="511">
        <v>2.5435796117609115</v>
      </c>
      <c r="EB249" s="560">
        <v>5.1745516255813158</v>
      </c>
      <c r="EC249" s="511">
        <v>11.744399154654714</v>
      </c>
      <c r="ED249" s="560">
        <v>7.3179628675174495</v>
      </c>
      <c r="EE249" s="511">
        <v>11.744399154654714</v>
      </c>
      <c r="EF249" s="560">
        <v>10.495167521651192</v>
      </c>
      <c r="EG249" s="511">
        <v>11.744399154654714</v>
      </c>
      <c r="EH249" s="560">
        <v>9.1810313139374049</v>
      </c>
      <c r="EI249" s="511">
        <v>11.744399154654714</v>
      </c>
      <c r="EJ249" s="560">
        <v>9.5389720115288412</v>
      </c>
      <c r="EK249" s="511">
        <v>11.744399154654714</v>
      </c>
      <c r="EL249" s="560">
        <v>2.4618466593669597</v>
      </c>
      <c r="EM249" s="511">
        <v>11.744399154654714</v>
      </c>
      <c r="EN249" s="560">
        <v>2.0313164422070615</v>
      </c>
      <c r="EO249" s="511">
        <v>3.2305895495914809</v>
      </c>
      <c r="EP249" s="560">
        <v>7.1665934103036726</v>
      </c>
      <c r="EQ249" s="511">
        <v>1.9955421226774492</v>
      </c>
      <c r="ER249" s="534">
        <v>0</v>
      </c>
      <c r="ES249" s="511">
        <v>4.1464755571531091</v>
      </c>
      <c r="ET249" s="534">
        <v>0</v>
      </c>
      <c r="EU249" s="511">
        <v>5.0920607783321898</v>
      </c>
      <c r="EV249" s="534">
        <v>0</v>
      </c>
      <c r="EW249" s="511">
        <v>4.0775389892790574</v>
      </c>
      <c r="EX249" s="560">
        <v>193.71047323334037</v>
      </c>
      <c r="EY249" s="511">
        <v>-1.2162690940011096</v>
      </c>
    </row>
    <row r="250" spans="1:155" x14ac:dyDescent="0.25">
      <c r="A250" s="601" t="s">
        <v>234</v>
      </c>
      <c r="B250" s="534">
        <v>7.5372286138659108</v>
      </c>
      <c r="C250" s="511">
        <v>2.5750490957926964</v>
      </c>
      <c r="D250" s="534">
        <v>7.5372286138659108</v>
      </c>
      <c r="E250" s="511">
        <v>3.2682246641412744</v>
      </c>
      <c r="F250" s="534">
        <v>5.9962990491101129</v>
      </c>
      <c r="G250" s="511">
        <v>11.38970862624476</v>
      </c>
      <c r="H250" s="534">
        <v>5.9962990491101129</v>
      </c>
      <c r="I250" s="511">
        <v>12.082884194593339</v>
      </c>
      <c r="J250" s="534">
        <v>7.5372286138659108</v>
      </c>
      <c r="K250" s="511">
        <v>2.5750490957926964</v>
      </c>
      <c r="L250" s="534">
        <v>17.569485518384575</v>
      </c>
      <c r="M250" s="511">
        <v>10.993428933449824</v>
      </c>
      <c r="N250" s="534">
        <v>16.016790544774445</v>
      </c>
      <c r="O250" s="511">
        <v>-29.182121247784885</v>
      </c>
      <c r="P250" s="534">
        <v>-37.759623398745603</v>
      </c>
      <c r="Q250" s="511">
        <v>-18.180151978518317</v>
      </c>
      <c r="R250" s="534">
        <v>4.2339192425534069</v>
      </c>
      <c r="S250" s="511">
        <v>7.0542637985440635</v>
      </c>
      <c r="T250" s="534">
        <v>1.7542122132851741</v>
      </c>
      <c r="U250" s="511">
        <v>2.5133504612300062</v>
      </c>
      <c r="V250" s="534">
        <v>2.8279276826736446</v>
      </c>
      <c r="W250" s="511">
        <v>3.5871147151224827</v>
      </c>
      <c r="X250" s="534">
        <v>22.999737313786458</v>
      </c>
      <c r="Y250" s="511">
        <v>23.480738965372279</v>
      </c>
      <c r="Z250" s="534">
        <v>4.2339192425534069</v>
      </c>
      <c r="AA250" s="511">
        <v>7.0542637985440635</v>
      </c>
      <c r="AB250" s="534">
        <v>10.128086495189329</v>
      </c>
      <c r="AC250" s="511">
        <v>8.472686077302976</v>
      </c>
      <c r="AD250" s="534">
        <v>13.533005771191039</v>
      </c>
      <c r="AE250" s="511">
        <v>12.174021958866664</v>
      </c>
      <c r="AF250" s="534">
        <v>18.121701210465616</v>
      </c>
      <c r="AG250" s="511">
        <v>8.2398729930111188</v>
      </c>
      <c r="AH250" s="534">
        <v>42.024108636844545</v>
      </c>
      <c r="AI250" s="511">
        <v>93.329866327295477</v>
      </c>
      <c r="AJ250" s="534">
        <v>18.832706306268193</v>
      </c>
      <c r="AK250" s="511">
        <v>8.3193375912593694</v>
      </c>
      <c r="AL250" s="534">
        <v>80.944214700656232</v>
      </c>
      <c r="AM250" s="511">
        <v>5.6631312041996171</v>
      </c>
      <c r="AN250" s="534">
        <v>1.2212380684974682</v>
      </c>
      <c r="AO250" s="511">
        <v>5.6631312041996171</v>
      </c>
      <c r="AP250" s="534">
        <v>24.712383850623457</v>
      </c>
      <c r="AQ250" s="511">
        <v>8.0379198948942854</v>
      </c>
      <c r="AR250" s="534">
        <v>10.128086495189329</v>
      </c>
      <c r="AS250" s="511">
        <v>8.472686077302976</v>
      </c>
      <c r="AT250" s="534">
        <v>37.844380880983337</v>
      </c>
      <c r="AU250" s="511">
        <v>8.8870440995406934</v>
      </c>
      <c r="AV250" s="534">
        <v>19.077578296757483</v>
      </c>
      <c r="AW250" s="511">
        <v>138.59378218776908</v>
      </c>
      <c r="AX250" s="534">
        <v>48.231198327490858</v>
      </c>
      <c r="AY250" s="511">
        <v>130.17455310436463</v>
      </c>
      <c r="AZ250" s="534">
        <v>37.844380880983337</v>
      </c>
      <c r="BA250" s="511">
        <v>8.8870440995406934</v>
      </c>
      <c r="BB250" s="534">
        <v>26.989629412629206</v>
      </c>
      <c r="BC250" s="511">
        <v>169.36914630441746</v>
      </c>
      <c r="BD250" s="534">
        <v>14.224394839750545</v>
      </c>
      <c r="BE250" s="511">
        <v>87.669251198490471</v>
      </c>
      <c r="BF250" s="534">
        <v>24.609056221770416</v>
      </c>
      <c r="BG250" s="511">
        <v>122.74961252478475</v>
      </c>
      <c r="BH250" s="534">
        <v>21.329664192994088</v>
      </c>
      <c r="BI250" s="511">
        <v>70.947025235063293</v>
      </c>
      <c r="BJ250" s="534">
        <v>2760.1173772326865</v>
      </c>
      <c r="BK250" s="511">
        <v>4.8995804208336331</v>
      </c>
      <c r="BL250" s="534">
        <v>40.322390686792581</v>
      </c>
      <c r="BM250" s="511">
        <v>4.7352515331207599</v>
      </c>
      <c r="BN250" s="534">
        <v>1952.0991528031786</v>
      </c>
      <c r="BO250" s="511">
        <v>3.3249734329890455</v>
      </c>
      <c r="BP250" s="534">
        <v>15.772620643687626</v>
      </c>
      <c r="BQ250" s="511">
        <v>29.661774113509932</v>
      </c>
      <c r="BR250" s="534">
        <v>10.741392777405368</v>
      </c>
      <c r="BS250" s="511">
        <v>26.004753231107049</v>
      </c>
      <c r="BT250" s="534">
        <v>21.955770527041629</v>
      </c>
      <c r="BU250" s="511">
        <v>25.436201390859893</v>
      </c>
      <c r="BV250" s="534">
        <v>15.666398753735285</v>
      </c>
      <c r="BW250" s="511">
        <v>30.793821840193747</v>
      </c>
      <c r="BX250" s="534">
        <v>11.341961597517237</v>
      </c>
      <c r="BY250" s="511">
        <v>30.679585049738851</v>
      </c>
      <c r="BZ250" s="534">
        <v>2772.8756622963847</v>
      </c>
      <c r="CA250" s="511">
        <v>0.83116659042637586</v>
      </c>
      <c r="CB250" s="534">
        <v>26.989629412629206</v>
      </c>
      <c r="CC250" s="511">
        <v>169.36914630441746</v>
      </c>
      <c r="CD250" s="534">
        <v>10.128086495189329</v>
      </c>
      <c r="CE250" s="512">
        <v>8.472686077302976</v>
      </c>
      <c r="CF250" s="560">
        <v>5.8077959431386583</v>
      </c>
      <c r="CG250" s="511">
        <v>8.6282120085714293</v>
      </c>
      <c r="CH250" s="560">
        <v>7.552013579302292</v>
      </c>
      <c r="CI250" s="511">
        <v>10.372508893655924</v>
      </c>
      <c r="CJ250" s="560">
        <v>5.6218626832737009</v>
      </c>
      <c r="CK250" s="511">
        <v>8.4422703007869639</v>
      </c>
      <c r="CL250" s="560">
        <v>4.0131602766427346</v>
      </c>
      <c r="CM250" s="511">
        <v>6.8334948024000912</v>
      </c>
      <c r="CN250" s="560">
        <v>6.9757379435654956</v>
      </c>
      <c r="CO250" s="511">
        <v>9.7962070747059169</v>
      </c>
      <c r="CP250" s="560">
        <v>4.2339192425534069</v>
      </c>
      <c r="CQ250" s="511">
        <v>7.0542637985440635</v>
      </c>
      <c r="CR250" s="560">
        <v>37.844380880983337</v>
      </c>
      <c r="CS250" s="511">
        <v>8.8870440995406934</v>
      </c>
      <c r="CT250" s="560">
        <v>16.617380325123435</v>
      </c>
      <c r="CU250" s="511">
        <v>138.59378218776908</v>
      </c>
      <c r="CV250" s="560">
        <v>22.356024802960075</v>
      </c>
      <c r="CW250" s="511">
        <v>138.59378218776908</v>
      </c>
      <c r="CX250" s="560">
        <v>15.093891181434403</v>
      </c>
      <c r="CY250" s="511">
        <v>138.59378218776908</v>
      </c>
      <c r="CZ250" s="560">
        <v>11.442259463290355</v>
      </c>
      <c r="DA250" s="511">
        <v>138.59378218776908</v>
      </c>
      <c r="DB250" s="560">
        <v>19.077578296757483</v>
      </c>
      <c r="DC250" s="511">
        <v>138.59378218776908</v>
      </c>
      <c r="DD250" s="560">
        <v>13.603659490023297</v>
      </c>
      <c r="DE250" s="511">
        <v>138.59378218776908</v>
      </c>
      <c r="DF250" s="560">
        <v>48.231198327490858</v>
      </c>
      <c r="DG250" s="511">
        <v>130.17455310436463</v>
      </c>
      <c r="DH250" s="560">
        <v>47.244961708103467</v>
      </c>
      <c r="DI250" s="511">
        <v>130.17455310436463</v>
      </c>
      <c r="DJ250" s="560">
        <v>47.230179278976884</v>
      </c>
      <c r="DK250" s="511">
        <v>130.17455310436463</v>
      </c>
      <c r="DL250" s="560">
        <v>57.23371767100965</v>
      </c>
      <c r="DM250" s="511">
        <v>130.17455310436463</v>
      </c>
      <c r="DN250" s="560">
        <v>190.62986017593622</v>
      </c>
      <c r="DO250" s="511">
        <v>130.17455310436463</v>
      </c>
      <c r="DP250" s="560">
        <v>196.70057576771288</v>
      </c>
      <c r="DQ250" s="511">
        <v>130.17455310436463</v>
      </c>
      <c r="DR250" s="560">
        <v>189.26871366706638</v>
      </c>
      <c r="DS250" s="511">
        <v>130.17455310436463</v>
      </c>
      <c r="DT250" s="560">
        <v>186.19222654147799</v>
      </c>
      <c r="DU250" s="511">
        <v>130.17455310436463</v>
      </c>
      <c r="DV250" s="560">
        <v>193.33007827076702</v>
      </c>
      <c r="DW250" s="511">
        <v>130.17455310436463</v>
      </c>
      <c r="DX250" s="560">
        <v>189.34645253855021</v>
      </c>
      <c r="DY250" s="511">
        <v>130.17455310436463</v>
      </c>
      <c r="DZ250" s="560">
        <v>177.76196693966142</v>
      </c>
      <c r="EA250" s="511">
        <v>130.17455310436463</v>
      </c>
      <c r="EB250" s="560">
        <v>23.509112624636742</v>
      </c>
      <c r="EC250" s="511">
        <v>169.36914630441746</v>
      </c>
      <c r="ED250" s="560">
        <v>31.627747253119271</v>
      </c>
      <c r="EE250" s="511">
        <v>169.36914630441746</v>
      </c>
      <c r="EF250" s="560">
        <v>21.353786263883741</v>
      </c>
      <c r="EG250" s="511">
        <v>169.36914630441746</v>
      </c>
      <c r="EH250" s="560">
        <v>16.187711970226598</v>
      </c>
      <c r="EI250" s="511">
        <v>169.36914630441746</v>
      </c>
      <c r="EJ250" s="560">
        <v>26.989629412629206</v>
      </c>
      <c r="EK250" s="511">
        <v>169.36914630441746</v>
      </c>
      <c r="EL250" s="560">
        <v>19.245510230914846</v>
      </c>
      <c r="EM250" s="511">
        <v>169.36914630441746</v>
      </c>
      <c r="EN250" s="560">
        <v>7.2597637344971702</v>
      </c>
      <c r="EO250" s="511">
        <v>10.080245770413327</v>
      </c>
      <c r="EP250" s="560">
        <v>16.475744573054829</v>
      </c>
      <c r="EQ250" s="511">
        <v>4.6637208824616811</v>
      </c>
      <c r="ER250" s="534">
        <v>0</v>
      </c>
      <c r="ES250" s="511">
        <v>11.035541241274805</v>
      </c>
      <c r="ET250" s="534">
        <v>0</v>
      </c>
      <c r="EU250" s="511">
        <v>10.923104632678779</v>
      </c>
      <c r="EV250" s="534">
        <v>0</v>
      </c>
      <c r="EW250" s="511">
        <v>13.322920193857094</v>
      </c>
      <c r="EX250" s="560">
        <v>2418.7059637521647</v>
      </c>
      <c r="EY250" s="511">
        <v>-8.3147250759509763</v>
      </c>
    </row>
    <row r="251" spans="1:155" x14ac:dyDescent="0.25">
      <c r="A251" s="601" t="s">
        <v>1404</v>
      </c>
      <c r="B251" s="534">
        <v>11.493596315358969</v>
      </c>
      <c r="C251" s="511">
        <v>3.9942610866341086</v>
      </c>
      <c r="D251" s="534">
        <v>11.493596315358969</v>
      </c>
      <c r="E251" s="511">
        <v>4.9662086259251552</v>
      </c>
      <c r="F251" s="534">
        <v>7.7922353573942091</v>
      </c>
      <c r="G251" s="511">
        <v>16.389614930747801</v>
      </c>
      <c r="H251" s="534">
        <v>7.7922353573942091</v>
      </c>
      <c r="I251" s="511">
        <v>17.361562470038844</v>
      </c>
      <c r="J251" s="534">
        <v>11.493596315358969</v>
      </c>
      <c r="K251" s="511">
        <v>3.9942610866341086</v>
      </c>
      <c r="L251" s="534">
        <v>20.569114826658559</v>
      </c>
      <c r="M251" s="511">
        <v>14.126640868169417</v>
      </c>
      <c r="N251" s="534">
        <v>18.773425139775338</v>
      </c>
      <c r="O251" s="511">
        <v>-61.283057199428839</v>
      </c>
      <c r="P251" s="534">
        <v>-9.3450218831092453</v>
      </c>
      <c r="Q251" s="511">
        <v>-1.2692535576115229</v>
      </c>
      <c r="R251" s="534">
        <v>5.2315416324388595</v>
      </c>
      <c r="S251" s="511">
        <v>14.970199017548538</v>
      </c>
      <c r="T251" s="534">
        <v>4.8493676631853386</v>
      </c>
      <c r="U251" s="511">
        <v>6.7946536074257846</v>
      </c>
      <c r="V251" s="534">
        <v>5.0148493503127867</v>
      </c>
      <c r="W251" s="511">
        <v>6.9601428132509309</v>
      </c>
      <c r="X251" s="534">
        <v>27.160133906395611</v>
      </c>
      <c r="Y251" s="511">
        <v>28.776845226757615</v>
      </c>
      <c r="Z251" s="534">
        <v>5.2315416324388595</v>
      </c>
      <c r="AA251" s="511">
        <v>14.970199017548538</v>
      </c>
      <c r="AB251" s="534">
        <v>9.835897217332537</v>
      </c>
      <c r="AC251" s="511">
        <v>14.299992422982585</v>
      </c>
      <c r="AD251" s="534">
        <v>27.780473103282347</v>
      </c>
      <c r="AE251" s="511">
        <v>60.3768765948411</v>
      </c>
      <c r="AF251" s="534">
        <v>42.962684928704086</v>
      </c>
      <c r="AG251" s="511">
        <v>11.875962115133293</v>
      </c>
      <c r="AH251" s="534">
        <v>85.567322913499822</v>
      </c>
      <c r="AI251" s="511">
        <v>62.088090049251747</v>
      </c>
      <c r="AJ251" s="534">
        <v>41.465225461013929</v>
      </c>
      <c r="AK251" s="511">
        <v>11.554137550560615</v>
      </c>
      <c r="AL251" s="534">
        <v>65.171721195019686</v>
      </c>
      <c r="AM251" s="511">
        <v>7.8533562573803133</v>
      </c>
      <c r="AN251" s="534">
        <v>1.7233634083240634</v>
      </c>
      <c r="AO251" s="511">
        <v>7.8533562573803133</v>
      </c>
      <c r="AP251" s="534">
        <v>37.557080123529829</v>
      </c>
      <c r="AQ251" s="511">
        <v>11.600310535105377</v>
      </c>
      <c r="AR251" s="534">
        <v>9.835897217332537</v>
      </c>
      <c r="AS251" s="511">
        <v>14.299992422982585</v>
      </c>
      <c r="AT251" s="534">
        <v>86.154901072437099</v>
      </c>
      <c r="AU251" s="511">
        <v>8.761389047290935</v>
      </c>
      <c r="AV251" s="534">
        <v>17.68693904462862</v>
      </c>
      <c r="AW251" s="511">
        <v>150.33226319415826</v>
      </c>
      <c r="AX251" s="534">
        <v>99.144752171950898</v>
      </c>
      <c r="AY251" s="511">
        <v>132.97031215258781</v>
      </c>
      <c r="AZ251" s="534">
        <v>86.154901072437099</v>
      </c>
      <c r="BA251" s="511">
        <v>8.761389047290935</v>
      </c>
      <c r="BB251" s="534">
        <v>25.02224982818829</v>
      </c>
      <c r="BC251" s="511">
        <v>623.77915394648119</v>
      </c>
      <c r="BD251" s="534">
        <v>13.187523099834879</v>
      </c>
      <c r="BE251" s="511">
        <v>91.413525845442521</v>
      </c>
      <c r="BF251" s="534">
        <v>22.815205922350785</v>
      </c>
      <c r="BG251" s="511">
        <v>124.89691950104951</v>
      </c>
      <c r="BH251" s="534">
        <v>19.774861596977665</v>
      </c>
      <c r="BI251" s="511">
        <v>87.341447825255216</v>
      </c>
      <c r="BJ251" s="534">
        <v>182.20366009817965</v>
      </c>
      <c r="BK251" s="511">
        <v>6.2842912483269231</v>
      </c>
      <c r="BL251" s="534">
        <v>45.157085864181859</v>
      </c>
      <c r="BM251" s="511">
        <v>6.3265812657165741</v>
      </c>
      <c r="BN251" s="534">
        <v>128.86394377615264</v>
      </c>
      <c r="BO251" s="511">
        <v>4.8112517661967633</v>
      </c>
      <c r="BP251" s="534">
        <v>14.622892673247163</v>
      </c>
      <c r="BQ251" s="511">
        <v>31.485472131052983</v>
      </c>
      <c r="BR251" s="534">
        <v>13.272346562634141</v>
      </c>
      <c r="BS251" s="511">
        <v>26.918498050112937</v>
      </c>
      <c r="BT251" s="534">
        <v>49.983569388419362</v>
      </c>
      <c r="BU251" s="511">
        <v>35.216165597937859</v>
      </c>
      <c r="BV251" s="534">
        <v>31.849960821216552</v>
      </c>
      <c r="BW251" s="511">
        <v>29.06938487551572</v>
      </c>
      <c r="BX251" s="534">
        <v>26.42397537952619</v>
      </c>
      <c r="BY251" s="511">
        <v>29.593286031479682</v>
      </c>
      <c r="BZ251" s="534">
        <v>183.04587291650276</v>
      </c>
      <c r="CA251" s="511">
        <v>1.6047403165482148</v>
      </c>
      <c r="CB251" s="534">
        <v>25.02224982818829</v>
      </c>
      <c r="CC251" s="511">
        <v>623.77915394648119</v>
      </c>
      <c r="CD251" s="534">
        <v>9.835897217332537</v>
      </c>
      <c r="CE251" s="512">
        <v>14.299992422982585</v>
      </c>
      <c r="CF251" s="560">
        <v>8.3949620754221925</v>
      </c>
      <c r="CG251" s="511">
        <v>18.133763191251671</v>
      </c>
      <c r="CH251" s="560">
        <v>10.999330008902014</v>
      </c>
      <c r="CI251" s="511">
        <v>20.738249454774696</v>
      </c>
      <c r="CJ251" s="560">
        <v>11.429308612602178</v>
      </c>
      <c r="CK251" s="511">
        <v>21.168247594649493</v>
      </c>
      <c r="CL251" s="560">
        <v>9.3496744308597535</v>
      </c>
      <c r="CM251" s="511">
        <v>19.088518924259972</v>
      </c>
      <c r="CN251" s="560">
        <v>6.4672491382261086</v>
      </c>
      <c r="CO251" s="511">
        <v>16.205962667984423</v>
      </c>
      <c r="CP251" s="560">
        <v>5.2315416324388595</v>
      </c>
      <c r="CQ251" s="511">
        <v>14.970199017548538</v>
      </c>
      <c r="CR251" s="560">
        <v>86.154901072437099</v>
      </c>
      <c r="CS251" s="511">
        <v>8.761389047290935</v>
      </c>
      <c r="CT251" s="560">
        <v>24.019831100830331</v>
      </c>
      <c r="CU251" s="511">
        <v>150.33226319415826</v>
      </c>
      <c r="CV251" s="560">
        <v>32.561023879630596</v>
      </c>
      <c r="CW251" s="511">
        <v>150.33226319415826</v>
      </c>
      <c r="CX251" s="560">
        <v>30.686046635559467</v>
      </c>
      <c r="CY251" s="511">
        <v>150.33226319415826</v>
      </c>
      <c r="CZ251" s="560">
        <v>26.657644689109112</v>
      </c>
      <c r="DA251" s="511">
        <v>150.33226319415826</v>
      </c>
      <c r="DB251" s="560">
        <v>17.68693904462862</v>
      </c>
      <c r="DC251" s="511">
        <v>150.33226319415826</v>
      </c>
      <c r="DD251" s="560">
        <v>16.80903836339083</v>
      </c>
      <c r="DE251" s="511">
        <v>150.33226319415826</v>
      </c>
      <c r="DF251" s="560">
        <v>99.144752171950898</v>
      </c>
      <c r="DG251" s="511">
        <v>132.97031215258781</v>
      </c>
      <c r="DH251" s="560">
        <v>96.679420257398604</v>
      </c>
      <c r="DI251" s="511">
        <v>132.97031215258781</v>
      </c>
      <c r="DJ251" s="560">
        <v>96.567645984277547</v>
      </c>
      <c r="DK251" s="511">
        <v>132.97031215258781</v>
      </c>
      <c r="DL251" s="560">
        <v>122.28840943810651</v>
      </c>
      <c r="DM251" s="511">
        <v>132.97031215258781</v>
      </c>
      <c r="DN251" s="560">
        <v>279.28939213291227</v>
      </c>
      <c r="DO251" s="511">
        <v>132.97031215258781</v>
      </c>
      <c r="DP251" s="560">
        <v>290.38229871578108</v>
      </c>
      <c r="DQ251" s="511">
        <v>132.97031215258781</v>
      </c>
      <c r="DR251" s="560">
        <v>277.16280968152427</v>
      </c>
      <c r="DS251" s="511">
        <v>132.97031215258781</v>
      </c>
      <c r="DT251" s="560">
        <v>276.67197458412642</v>
      </c>
      <c r="DU251" s="511">
        <v>132.97031215258781</v>
      </c>
      <c r="DV251" s="560">
        <v>265.16480242810292</v>
      </c>
      <c r="DW251" s="511">
        <v>132.97031215258781</v>
      </c>
      <c r="DX251" s="560">
        <v>273.66173260893174</v>
      </c>
      <c r="DY251" s="511">
        <v>132.97031215258781</v>
      </c>
      <c r="DZ251" s="560">
        <v>300.47649346368303</v>
      </c>
      <c r="EA251" s="511">
        <v>132.97031215258781</v>
      </c>
      <c r="EB251" s="560">
        <v>33.981584553399095</v>
      </c>
      <c r="EC251" s="511">
        <v>623.77915394648119</v>
      </c>
      <c r="ED251" s="560">
        <v>46.065069378138354</v>
      </c>
      <c r="EE251" s="511">
        <v>623.77915394648119</v>
      </c>
      <c r="EF251" s="560">
        <v>43.412482126894112</v>
      </c>
      <c r="EG251" s="511">
        <v>623.77915394648119</v>
      </c>
      <c r="EH251" s="560">
        <v>37.713379548539677</v>
      </c>
      <c r="EI251" s="511">
        <v>623.77915394648119</v>
      </c>
      <c r="EJ251" s="560">
        <v>25.02224982818829</v>
      </c>
      <c r="EK251" s="511">
        <v>623.77915394648119</v>
      </c>
      <c r="EL251" s="560">
        <v>23.780257072130258</v>
      </c>
      <c r="EM251" s="511">
        <v>623.77915394648119</v>
      </c>
      <c r="EN251" s="560">
        <v>11.861281177040075</v>
      </c>
      <c r="EO251" s="511">
        <v>21.600239785858079</v>
      </c>
      <c r="EP251" s="560">
        <v>167.084776356823</v>
      </c>
      <c r="EQ251" s="511">
        <v>28.21824998605296</v>
      </c>
      <c r="ER251" s="534">
        <v>0</v>
      </c>
      <c r="ES251" s="511">
        <v>15.397855180657888</v>
      </c>
      <c r="ET251" s="534">
        <v>0</v>
      </c>
      <c r="EU251" s="511">
        <v>56.524892224807218</v>
      </c>
      <c r="EV251" s="534">
        <v>0</v>
      </c>
      <c r="EW251" s="511">
        <v>15.734245806838752</v>
      </c>
      <c r="EX251" s="560">
        <v>159.66606454207593</v>
      </c>
      <c r="EY251" s="511">
        <v>-15.389137321887159</v>
      </c>
    </row>
    <row r="252" spans="1:155" x14ac:dyDescent="0.25">
      <c r="A252" s="601" t="s">
        <v>235</v>
      </c>
      <c r="B252" s="534">
        <v>0.56490922820746026</v>
      </c>
      <c r="C252" s="511">
        <v>0.41137899859246962</v>
      </c>
      <c r="D252" s="534">
        <v>0.56490922820746026</v>
      </c>
      <c r="E252" s="511">
        <v>0.49377564413030928</v>
      </c>
      <c r="F252" s="534">
        <v>0.51621873105987404</v>
      </c>
      <c r="G252" s="511">
        <v>1.4226396252826112</v>
      </c>
      <c r="H252" s="534">
        <v>0.51621873105987404</v>
      </c>
      <c r="I252" s="511">
        <v>1.505036270820451</v>
      </c>
      <c r="J252" s="534">
        <v>0.56490922820746026</v>
      </c>
      <c r="K252" s="511">
        <v>0.41137899859246962</v>
      </c>
      <c r="L252" s="534">
        <v>0.37846529309092003</v>
      </c>
      <c r="M252" s="511">
        <v>1.6189743398451943</v>
      </c>
      <c r="N252" s="534">
        <v>0.35328549238007295</v>
      </c>
      <c r="O252" s="511">
        <v>-4.0702170471200976</v>
      </c>
      <c r="P252" s="534">
        <v>-4.350745557126805</v>
      </c>
      <c r="Q252" s="511">
        <v>-0.91668272546319451</v>
      </c>
      <c r="R252" s="534">
        <v>0.34347348803016431</v>
      </c>
      <c r="S252" s="511">
        <v>1.6762934218539345</v>
      </c>
      <c r="T252" s="534">
        <v>8.5076987637978547</v>
      </c>
      <c r="U252" s="511">
        <v>8.5998332559201991</v>
      </c>
      <c r="V252" s="534">
        <v>4.9725815621698057</v>
      </c>
      <c r="W252" s="511">
        <v>5.064555435446465</v>
      </c>
      <c r="X252" s="534">
        <v>0.38163782791163375</v>
      </c>
      <c r="Y252" s="511">
        <v>0.46877193426941333</v>
      </c>
      <c r="Z252" s="534">
        <v>0.34347348803016431</v>
      </c>
      <c r="AA252" s="511">
        <v>1.6762934218539345</v>
      </c>
      <c r="AB252" s="534">
        <v>0.91943221943674469</v>
      </c>
      <c r="AC252" s="511">
        <v>0.81857533153119366</v>
      </c>
      <c r="AD252" s="534">
        <v>2.2163981634593983</v>
      </c>
      <c r="AE252" s="511">
        <v>5.0224197309283003</v>
      </c>
      <c r="AF252" s="534">
        <v>3.0667965001938833</v>
      </c>
      <c r="AG252" s="511">
        <v>0.66266882527974824</v>
      </c>
      <c r="AH252" s="534">
        <v>6.2347085952081649</v>
      </c>
      <c r="AI252" s="511">
        <v>5.9586600881058267</v>
      </c>
      <c r="AJ252" s="534">
        <v>3.0322821611594724</v>
      </c>
      <c r="AK252" s="511">
        <v>0.67582028818600404</v>
      </c>
      <c r="AL252" s="534">
        <v>7.8540735312450982</v>
      </c>
      <c r="AM252" s="511">
        <v>0.44211538796553906</v>
      </c>
      <c r="AN252" s="534">
        <v>0.17646441226861218</v>
      </c>
      <c r="AO252" s="511">
        <v>0.44211538796553906</v>
      </c>
      <c r="AP252" s="534">
        <v>2.8251517395985073</v>
      </c>
      <c r="AQ252" s="511">
        <v>0.64825714285480884</v>
      </c>
      <c r="AR252" s="534">
        <v>0.91943221943674469</v>
      </c>
      <c r="AS252" s="511">
        <v>0.81857533153119366</v>
      </c>
      <c r="AT252" s="534">
        <v>4.8185859701404956</v>
      </c>
      <c r="AU252" s="511">
        <v>0.65176485698597808</v>
      </c>
      <c r="AV252" s="534">
        <v>2.858354933501396</v>
      </c>
      <c r="AW252" s="511">
        <v>0.73203168059188073</v>
      </c>
      <c r="AX252" s="534">
        <v>17.908102602723524</v>
      </c>
      <c r="AY252" s="511">
        <v>0.6160469617021489</v>
      </c>
      <c r="AZ252" s="534">
        <v>4.8185859701404956</v>
      </c>
      <c r="BA252" s="511">
        <v>0.65176485698597808</v>
      </c>
      <c r="BB252" s="534">
        <v>4.0438015341850369</v>
      </c>
      <c r="BC252" s="511">
        <v>0.69665756741275298</v>
      </c>
      <c r="BD252" s="534">
        <v>2.1312122814447187</v>
      </c>
      <c r="BE252" s="511">
        <v>1.1097597477017549</v>
      </c>
      <c r="BF252" s="534">
        <v>3.6871250724871225</v>
      </c>
      <c r="BG252" s="511">
        <v>1.0013013124209804</v>
      </c>
      <c r="BH252" s="534">
        <v>3.1957804039695694</v>
      </c>
      <c r="BI252" s="511">
        <v>0.45619044656943891</v>
      </c>
      <c r="BJ252" s="534">
        <v>236.89507425248689</v>
      </c>
      <c r="BK252" s="511">
        <v>0.38303018217604967</v>
      </c>
      <c r="BL252" s="534">
        <v>3.7492760044927875</v>
      </c>
      <c r="BM252" s="511">
        <v>0.32229192801004986</v>
      </c>
      <c r="BN252" s="534">
        <v>167.54456805571581</v>
      </c>
      <c r="BO252" s="511">
        <v>0.21345522931297284</v>
      </c>
      <c r="BP252" s="534">
        <v>2.3631798192537432</v>
      </c>
      <c r="BQ252" s="511">
        <v>1.8309622943060582</v>
      </c>
      <c r="BR252" s="534">
        <v>0.87138734401850082</v>
      </c>
      <c r="BS252" s="511">
        <v>1.5932416980541235</v>
      </c>
      <c r="BT252" s="534">
        <v>2.7955475915418919</v>
      </c>
      <c r="BU252" s="511">
        <v>2.1932012411458688</v>
      </c>
      <c r="BV252" s="534">
        <v>2.2690332813748411</v>
      </c>
      <c r="BW252" s="511">
        <v>1.5338912885628782</v>
      </c>
      <c r="BX252" s="534">
        <v>1.7026309730727087</v>
      </c>
      <c r="BY252" s="511">
        <v>1.5944946238717488</v>
      </c>
      <c r="BZ252" s="534">
        <v>237.99009104866727</v>
      </c>
      <c r="CA252" s="511">
        <v>7.2983182275637645E-2</v>
      </c>
      <c r="CB252" s="534">
        <v>4.0438015341850369</v>
      </c>
      <c r="CC252" s="511">
        <v>0.69665756741275298</v>
      </c>
      <c r="CD252" s="534">
        <v>0.91943221943674469</v>
      </c>
      <c r="CE252" s="512">
        <v>0.81857533153119366</v>
      </c>
      <c r="CF252" s="560">
        <v>0.59847711884853427</v>
      </c>
      <c r="CG252" s="511">
        <v>1.931308638819663</v>
      </c>
      <c r="CH252" s="560">
        <v>0.78905452017196731</v>
      </c>
      <c r="CI252" s="511">
        <v>2.1218946990702174</v>
      </c>
      <c r="CJ252" s="560">
        <v>0.81423904320231089</v>
      </c>
      <c r="CK252" s="511">
        <v>2.1470803663650329</v>
      </c>
      <c r="CL252" s="560">
        <v>0.60244702189898913</v>
      </c>
      <c r="CM252" s="511">
        <v>1.9352787222435563</v>
      </c>
      <c r="CN252" s="560">
        <v>1.045160693650109</v>
      </c>
      <c r="CO252" s="511">
        <v>2.3780125087899915</v>
      </c>
      <c r="CP252" s="560">
        <v>0.34347348803016431</v>
      </c>
      <c r="CQ252" s="511">
        <v>1.6762934218539345</v>
      </c>
      <c r="CR252" s="560">
        <v>4.8185859701404956</v>
      </c>
      <c r="CS252" s="511">
        <v>0.65176485698597808</v>
      </c>
      <c r="CT252" s="560">
        <v>1.7123745388367819</v>
      </c>
      <c r="CU252" s="511">
        <v>0.73203168059188073</v>
      </c>
      <c r="CV252" s="560">
        <v>2.3358170954827631</v>
      </c>
      <c r="CW252" s="511">
        <v>0.73203168059188073</v>
      </c>
      <c r="CX252" s="560">
        <v>2.1861144973064799</v>
      </c>
      <c r="CY252" s="511">
        <v>0.73203168059188073</v>
      </c>
      <c r="CZ252" s="560">
        <v>1.7176874737785286</v>
      </c>
      <c r="DA252" s="511">
        <v>0.73203168059188073</v>
      </c>
      <c r="DB252" s="560">
        <v>2.858354933501396</v>
      </c>
      <c r="DC252" s="511">
        <v>0.73203168059188073</v>
      </c>
      <c r="DD252" s="560">
        <v>1.1035865606626549</v>
      </c>
      <c r="DE252" s="511">
        <v>0.73203168059188073</v>
      </c>
      <c r="DF252" s="560">
        <v>17.908102602723524</v>
      </c>
      <c r="DG252" s="511">
        <v>0.6160469617021489</v>
      </c>
      <c r="DH252" s="560">
        <v>17.712180867504319</v>
      </c>
      <c r="DI252" s="511">
        <v>0.6160469617021489</v>
      </c>
      <c r="DJ252" s="560">
        <v>17.717325344278294</v>
      </c>
      <c r="DK252" s="511">
        <v>0.6160469617021489</v>
      </c>
      <c r="DL252" s="560">
        <v>19.627412943278909</v>
      </c>
      <c r="DM252" s="511">
        <v>0.6160469617021489</v>
      </c>
      <c r="DN252" s="560">
        <v>16.309328270782235</v>
      </c>
      <c r="DO252" s="511">
        <v>0.6160469617021489</v>
      </c>
      <c r="DP252" s="560">
        <v>16.984384257241324</v>
      </c>
      <c r="DQ252" s="511">
        <v>0.6160469617021489</v>
      </c>
      <c r="DR252" s="560">
        <v>16.715527988907986</v>
      </c>
      <c r="DS252" s="511">
        <v>0.6160469617021489</v>
      </c>
      <c r="DT252" s="560">
        <v>16.330862067918339</v>
      </c>
      <c r="DU252" s="511">
        <v>0.6160469617021489</v>
      </c>
      <c r="DV252" s="560">
        <v>17.398122180102629</v>
      </c>
      <c r="DW252" s="511">
        <v>0.6160469617021489</v>
      </c>
      <c r="DX252" s="560">
        <v>15.874465983325152</v>
      </c>
      <c r="DY252" s="511">
        <v>0.6160469617021489</v>
      </c>
      <c r="DZ252" s="560">
        <v>16.718930195999796</v>
      </c>
      <c r="EA252" s="511">
        <v>0.6160469617021489</v>
      </c>
      <c r="EB252" s="560">
        <v>2.4225482658185045</v>
      </c>
      <c r="EC252" s="511">
        <v>0.69665756741275298</v>
      </c>
      <c r="ED252" s="560">
        <v>3.3045513849878292</v>
      </c>
      <c r="EE252" s="511">
        <v>0.69665756741275298</v>
      </c>
      <c r="EF252" s="560">
        <v>3.0927625728002606</v>
      </c>
      <c r="EG252" s="511">
        <v>0.69665756741275298</v>
      </c>
      <c r="EH252" s="560">
        <v>2.4300646362372555</v>
      </c>
      <c r="EI252" s="511">
        <v>0.69665756741275298</v>
      </c>
      <c r="EJ252" s="560">
        <v>4.0438015341850369</v>
      </c>
      <c r="EK252" s="511">
        <v>0.69665756741275298</v>
      </c>
      <c r="EL252" s="560">
        <v>1.5612774238806593</v>
      </c>
      <c r="EM252" s="511">
        <v>0.69665756741275298</v>
      </c>
      <c r="EN252" s="560">
        <v>0.89509227108306966</v>
      </c>
      <c r="EO252" s="511">
        <v>2.2279372678303977</v>
      </c>
      <c r="EP252" s="560">
        <v>14.337473869562574</v>
      </c>
      <c r="EQ252" s="511">
        <v>2.9204887391670189</v>
      </c>
      <c r="ER252" s="534">
        <v>0</v>
      </c>
      <c r="ES252" s="511">
        <v>0.97006755114507859</v>
      </c>
      <c r="ET252" s="534">
        <v>0</v>
      </c>
      <c r="EU252" s="511">
        <v>4.8130688773527828</v>
      </c>
      <c r="EV252" s="534">
        <v>0</v>
      </c>
      <c r="EW252" s="511">
        <v>0.90137359245023874</v>
      </c>
      <c r="EX252" s="560">
        <v>207.59245009082741</v>
      </c>
      <c r="EY252" s="511">
        <v>-2.5229712030368332</v>
      </c>
    </row>
    <row r="253" spans="1:155" x14ac:dyDescent="0.25">
      <c r="A253" s="601" t="s">
        <v>236</v>
      </c>
      <c r="B253" s="534">
        <v>0.47585912140455749</v>
      </c>
      <c r="C253" s="511">
        <v>0.3503341688307729</v>
      </c>
      <c r="D253" s="534">
        <v>0.47585912140455749</v>
      </c>
      <c r="E253" s="511">
        <v>0.42435801348870644</v>
      </c>
      <c r="F253" s="534">
        <v>0.40882808056750064</v>
      </c>
      <c r="G253" s="511">
        <v>1.0904118638542386</v>
      </c>
      <c r="H253" s="534">
        <v>0.40882808056750064</v>
      </c>
      <c r="I253" s="511">
        <v>1.1644357085121724</v>
      </c>
      <c r="J253" s="534">
        <v>0.47585912140455749</v>
      </c>
      <c r="K253" s="511">
        <v>0.3503341688307729</v>
      </c>
      <c r="L253" s="534">
        <v>0.35915286437925015</v>
      </c>
      <c r="M253" s="511">
        <v>1.5384175173875494</v>
      </c>
      <c r="N253" s="534">
        <v>0.33418883026468443</v>
      </c>
      <c r="O253" s="511">
        <v>-4.1510321469331286</v>
      </c>
      <c r="P253" s="534">
        <v>-4.6941519841377612</v>
      </c>
      <c r="Q253" s="511">
        <v>-1.1721340944976941</v>
      </c>
      <c r="R253" s="534">
        <v>0.26358807100303316</v>
      </c>
      <c r="S253" s="511">
        <v>0.95387496039687936</v>
      </c>
      <c r="T253" s="534">
        <v>1.1845565578427273</v>
      </c>
      <c r="U253" s="511">
        <v>1.2543570990898976</v>
      </c>
      <c r="V253" s="534">
        <v>0.78577633926550061</v>
      </c>
      <c r="W253" s="511">
        <v>0.85555876184368862</v>
      </c>
      <c r="X253" s="534">
        <v>0.33694723068230231</v>
      </c>
      <c r="Y253" s="511">
        <v>0.40262040480327665</v>
      </c>
      <c r="Z253" s="534">
        <v>0.26358807100303316</v>
      </c>
      <c r="AA253" s="511">
        <v>0.95387496039687936</v>
      </c>
      <c r="AB253" s="534">
        <v>0.78027279237522063</v>
      </c>
      <c r="AC253" s="511">
        <v>0.61473903170041111</v>
      </c>
      <c r="AD253" s="534">
        <v>1.8522327578641091</v>
      </c>
      <c r="AE253" s="511">
        <v>4.5037973889179233</v>
      </c>
      <c r="AF253" s="534">
        <v>2.5716468383548654</v>
      </c>
      <c r="AG253" s="511">
        <v>0.54322949472334259</v>
      </c>
      <c r="AH253" s="534">
        <v>5.4193244158623317</v>
      </c>
      <c r="AI253" s="511">
        <v>5.5275580657354286</v>
      </c>
      <c r="AJ253" s="534">
        <v>2.6095358313299086</v>
      </c>
      <c r="AK253" s="511">
        <v>0.53213067546881621</v>
      </c>
      <c r="AL253" s="534">
        <v>6.3751897756847491</v>
      </c>
      <c r="AM253" s="511">
        <v>0.36511344920693911</v>
      </c>
      <c r="AN253" s="534">
        <v>9.5356397880063434E-2</v>
      </c>
      <c r="AO253" s="511">
        <v>0.36511344920693911</v>
      </c>
      <c r="AP253" s="534">
        <v>2.5129873606474891</v>
      </c>
      <c r="AQ253" s="511">
        <v>0.52895974376351129</v>
      </c>
      <c r="AR253" s="534">
        <v>0.78027279237522063</v>
      </c>
      <c r="AS253" s="511">
        <v>0.61473903170041111</v>
      </c>
      <c r="AT253" s="534">
        <v>3.9984634397607688</v>
      </c>
      <c r="AU253" s="511">
        <v>0.50374122392860199</v>
      </c>
      <c r="AV253" s="534">
        <v>2.4356442393299158</v>
      </c>
      <c r="AW253" s="511">
        <v>0.91635021466398614</v>
      </c>
      <c r="AX253" s="534">
        <v>6.5770284780040624</v>
      </c>
      <c r="AY253" s="511">
        <v>0.4282571322549007</v>
      </c>
      <c r="AZ253" s="534">
        <v>3.9984634397607688</v>
      </c>
      <c r="BA253" s="511">
        <v>0.50374122392860199</v>
      </c>
      <c r="BB253" s="534">
        <v>3.4457798771918857</v>
      </c>
      <c r="BC253" s="511">
        <v>0.89610381028866548</v>
      </c>
      <c r="BD253" s="534">
        <v>1.816035809706577</v>
      </c>
      <c r="BE253" s="511">
        <v>1.1725067413436558</v>
      </c>
      <c r="BF253" s="534">
        <v>3.1418508727645289</v>
      </c>
      <c r="BG253" s="511">
        <v>0.75261718427412139</v>
      </c>
      <c r="BH253" s="534">
        <v>2.7231692047274962</v>
      </c>
      <c r="BI253" s="511">
        <v>0.38161057728280195</v>
      </c>
      <c r="BJ253" s="534">
        <v>82.636677621152018</v>
      </c>
      <c r="BK253" s="511">
        <v>0.3312198364477939</v>
      </c>
      <c r="BL253" s="534">
        <v>2.8282609718935037</v>
      </c>
      <c r="BM253" s="511">
        <v>0.2821641508834985</v>
      </c>
      <c r="BN253" s="534">
        <v>58.444974009205289</v>
      </c>
      <c r="BO253" s="511">
        <v>0.19417405002075699</v>
      </c>
      <c r="BP253" s="534">
        <v>2.0136985948821042</v>
      </c>
      <c r="BQ253" s="511">
        <v>1.5745244678298143</v>
      </c>
      <c r="BR253" s="534">
        <v>0.66871917953132276</v>
      </c>
      <c r="BS253" s="511">
        <v>1.3485640825935337</v>
      </c>
      <c r="BT253" s="534">
        <v>2.3197458565973474</v>
      </c>
      <c r="BU253" s="511">
        <v>1.844938352752244</v>
      </c>
      <c r="BV253" s="534">
        <v>1.8364505350494471</v>
      </c>
      <c r="BW253" s="511">
        <v>1.3533816850031102</v>
      </c>
      <c r="BX253" s="534">
        <v>1.3841427607513839</v>
      </c>
      <c r="BY253" s="511">
        <v>1.3940332386323575</v>
      </c>
      <c r="BZ253" s="534">
        <v>83.018654959689925</v>
      </c>
      <c r="CA253" s="511">
        <v>5.1529327592591705E-2</v>
      </c>
      <c r="CB253" s="534">
        <v>3.4457798771918857</v>
      </c>
      <c r="CC253" s="511">
        <v>0.89610381028866548</v>
      </c>
      <c r="CD253" s="534">
        <v>0.78027279237522063</v>
      </c>
      <c r="CE253" s="512">
        <v>0.61473903170041111</v>
      </c>
      <c r="CF253" s="560">
        <v>0.51133877819388041</v>
      </c>
      <c r="CG253" s="511">
        <v>1.2016369241968676</v>
      </c>
      <c r="CH253" s="560">
        <v>0.68853272783098929</v>
      </c>
      <c r="CI253" s="511">
        <v>1.3788389246809583</v>
      </c>
      <c r="CJ253" s="560">
        <v>0.65900740144322745</v>
      </c>
      <c r="CK253" s="511">
        <v>1.3493122568033467</v>
      </c>
      <c r="CL253" s="560">
        <v>0.48975538286657666</v>
      </c>
      <c r="CM253" s="511">
        <v>1.1800525482231392</v>
      </c>
      <c r="CN253" s="560">
        <v>0.89059605328461333</v>
      </c>
      <c r="CO253" s="511">
        <v>1.5809114309272514</v>
      </c>
      <c r="CP253" s="560">
        <v>0.26358807100303316</v>
      </c>
      <c r="CQ253" s="511">
        <v>0.95387496039687936</v>
      </c>
      <c r="CR253" s="560">
        <v>3.9984634397607688</v>
      </c>
      <c r="CS253" s="511">
        <v>0.50374122392860199</v>
      </c>
      <c r="CT253" s="560">
        <v>1.4630525995442638</v>
      </c>
      <c r="CU253" s="511">
        <v>0.91635021466398614</v>
      </c>
      <c r="CV253" s="560">
        <v>2.0382451089900524</v>
      </c>
      <c r="CW253" s="511">
        <v>0.91635021466398614</v>
      </c>
      <c r="CX253" s="560">
        <v>1.7693399084147754</v>
      </c>
      <c r="CY253" s="511">
        <v>0.91635021466398614</v>
      </c>
      <c r="CZ253" s="560">
        <v>1.3963828449409714</v>
      </c>
      <c r="DA253" s="511">
        <v>0.91635021466398614</v>
      </c>
      <c r="DB253" s="560">
        <v>2.4356442393299158</v>
      </c>
      <c r="DC253" s="511">
        <v>0.91635021466398614</v>
      </c>
      <c r="DD253" s="560">
        <v>0.84691326360651886</v>
      </c>
      <c r="DE253" s="511">
        <v>0.91635021466398614</v>
      </c>
      <c r="DF253" s="560">
        <v>6.5770284780040624</v>
      </c>
      <c r="DG253" s="511">
        <v>0.4282571322549007</v>
      </c>
      <c r="DH253" s="560">
        <v>6.5014899644057671</v>
      </c>
      <c r="DI253" s="511">
        <v>0.4282571322549007</v>
      </c>
      <c r="DJ253" s="560">
        <v>6.5027417153122711</v>
      </c>
      <c r="DK253" s="511">
        <v>0.4282571322549007</v>
      </c>
      <c r="DL253" s="560">
        <v>7.246172630138096</v>
      </c>
      <c r="DM253" s="511">
        <v>0.4282571322549007</v>
      </c>
      <c r="DN253" s="560">
        <v>5.6192161455691592</v>
      </c>
      <c r="DO253" s="511">
        <v>0.4282571322549007</v>
      </c>
      <c r="DP253" s="560">
        <v>6.2396861845941265</v>
      </c>
      <c r="DQ253" s="511">
        <v>0.4282571322549007</v>
      </c>
      <c r="DR253" s="560">
        <v>5.8662043465153957</v>
      </c>
      <c r="DS253" s="511">
        <v>0.4282571322549007</v>
      </c>
      <c r="DT253" s="560">
        <v>5.5667153338675215</v>
      </c>
      <c r="DU253" s="511">
        <v>0.4282571322549007</v>
      </c>
      <c r="DV253" s="560">
        <v>6.540747076468568</v>
      </c>
      <c r="DW253" s="511">
        <v>0.4282571322549007</v>
      </c>
      <c r="DX253" s="560">
        <v>5.1566170329667465</v>
      </c>
      <c r="DY253" s="511">
        <v>0.4282571322549007</v>
      </c>
      <c r="DZ253" s="560">
        <v>5.9407093672449021</v>
      </c>
      <c r="EA253" s="511">
        <v>0.4282571322549007</v>
      </c>
      <c r="EB253" s="560">
        <v>2.069824946261388</v>
      </c>
      <c r="EC253" s="511">
        <v>0.89610381028866548</v>
      </c>
      <c r="ED253" s="560">
        <v>2.8835672582769876</v>
      </c>
      <c r="EE253" s="511">
        <v>0.89610381028866548</v>
      </c>
      <c r="EF253" s="560">
        <v>2.5031389042290839</v>
      </c>
      <c r="EG253" s="511">
        <v>0.89610381028866548</v>
      </c>
      <c r="EH253" s="560">
        <v>1.9755052196281797</v>
      </c>
      <c r="EI253" s="511">
        <v>0.89610381028866548</v>
      </c>
      <c r="EJ253" s="560">
        <v>3.4457798771918857</v>
      </c>
      <c r="EK253" s="511">
        <v>0.89610381028866548</v>
      </c>
      <c r="EL253" s="560">
        <v>1.1981539152307046</v>
      </c>
      <c r="EM253" s="511">
        <v>0.89610381028866548</v>
      </c>
      <c r="EN253" s="560">
        <v>0.76621831204574753</v>
      </c>
      <c r="EO253" s="511">
        <v>1.4565280385577193</v>
      </c>
      <c r="EP253" s="560">
        <v>13.171334970557867</v>
      </c>
      <c r="EQ253" s="511">
        <v>2.1472260901225182</v>
      </c>
      <c r="ER253" s="534">
        <v>0</v>
      </c>
      <c r="ES253" s="511">
        <v>0.76682673062241669</v>
      </c>
      <c r="ET253" s="534">
        <v>0</v>
      </c>
      <c r="EU253" s="511">
        <v>4.3104147089447853</v>
      </c>
      <c r="EV253" s="534">
        <v>0</v>
      </c>
      <c r="EW253" s="511">
        <v>0.67495592989961528</v>
      </c>
      <c r="EX253" s="560">
        <v>72.414972868777184</v>
      </c>
      <c r="EY253" s="511">
        <v>-1.353996786450101</v>
      </c>
    </row>
    <row r="254" spans="1:155" x14ac:dyDescent="0.25">
      <c r="A254" s="601" t="s">
        <v>798</v>
      </c>
      <c r="B254" s="534">
        <v>2.6651775385811116</v>
      </c>
      <c r="C254" s="511">
        <v>1.1636952072382207</v>
      </c>
      <c r="D254" s="534">
        <v>2.6651775385811116</v>
      </c>
      <c r="E254" s="511">
        <v>1.4503814957080978</v>
      </c>
      <c r="F254" s="534">
        <v>0.15396530130634095</v>
      </c>
      <c r="G254" s="511">
        <v>6.2841967880557634</v>
      </c>
      <c r="H254" s="534">
        <v>0.15396530130634095</v>
      </c>
      <c r="I254" s="511">
        <v>6.5708830765256403</v>
      </c>
      <c r="J254" s="534">
        <v>2.6651775385811116</v>
      </c>
      <c r="K254" s="511">
        <v>1.1636952072382207</v>
      </c>
      <c r="L254" s="534">
        <v>10.888853022319674</v>
      </c>
      <c r="M254" s="511">
        <v>6.0890237945460326</v>
      </c>
      <c r="N254" s="534">
        <v>10.840809348260812</v>
      </c>
      <c r="O254" s="511">
        <v>5.6694007349645057</v>
      </c>
      <c r="P254" s="534">
        <v>4.3129029466955764</v>
      </c>
      <c r="Q254" s="511">
        <v>2.5669772913210185</v>
      </c>
      <c r="R254" s="534">
        <v>0.10900811224143794</v>
      </c>
      <c r="S254" s="511">
        <v>5.695802501505641</v>
      </c>
      <c r="T254" s="534">
        <v>6.8004897164800102</v>
      </c>
      <c r="U254" s="511">
        <v>7.0153440566878702</v>
      </c>
      <c r="V254" s="534">
        <v>3.9030719059092314</v>
      </c>
      <c r="W254" s="511">
        <v>4.1177946012867626</v>
      </c>
      <c r="X254" s="534">
        <v>6.8792854500138274</v>
      </c>
      <c r="Y254" s="511">
        <v>7.0106632176775525</v>
      </c>
      <c r="Z254" s="534">
        <v>0.10900811224143794</v>
      </c>
      <c r="AA254" s="511">
        <v>5.695802501505641</v>
      </c>
      <c r="AB254" s="534">
        <v>3.8117900662850679</v>
      </c>
      <c r="AC254" s="511">
        <v>5.5281661667951028</v>
      </c>
      <c r="AD254" s="534">
        <v>9.1984106565642776</v>
      </c>
      <c r="AE254" s="511">
        <v>37.74270075080446</v>
      </c>
      <c r="AF254" s="534">
        <v>13.303174974231672</v>
      </c>
      <c r="AG254" s="511">
        <v>3.0118916375817841</v>
      </c>
      <c r="AH254" s="534">
        <v>20.227456129135803</v>
      </c>
      <c r="AI254" s="511">
        <v>50.480844885219135</v>
      </c>
      <c r="AJ254" s="534">
        <v>11.51719180179879</v>
      </c>
      <c r="AK254" s="511">
        <v>2.5175198085775312</v>
      </c>
      <c r="AL254" s="534">
        <v>25.214616089447123</v>
      </c>
      <c r="AM254" s="511">
        <v>2.2398628332220571</v>
      </c>
      <c r="AN254" s="534">
        <v>0.87630021210379816</v>
      </c>
      <c r="AO254" s="511">
        <v>2.2398628332220571</v>
      </c>
      <c r="AP254" s="534">
        <v>5.8445624541829186</v>
      </c>
      <c r="AQ254" s="511">
        <v>2.9700555686119903</v>
      </c>
      <c r="AR254" s="534">
        <v>3.8117900662850679</v>
      </c>
      <c r="AS254" s="511">
        <v>5.5281661667951028</v>
      </c>
      <c r="AT254" s="534">
        <v>19.748159671342567</v>
      </c>
      <c r="AU254" s="511">
        <v>2.7124045983587117</v>
      </c>
      <c r="AV254" s="534">
        <v>8.6640056957860683</v>
      </c>
      <c r="AW254" s="511">
        <v>10.363407608623627</v>
      </c>
      <c r="AX254" s="534">
        <v>23.815879789140393</v>
      </c>
      <c r="AY254" s="511">
        <v>3.3617181887289664</v>
      </c>
      <c r="AZ254" s="534">
        <v>19.748159671342567</v>
      </c>
      <c r="BA254" s="511">
        <v>2.7124045983587117</v>
      </c>
      <c r="BB254" s="534">
        <v>12.257231988292714</v>
      </c>
      <c r="BC254" s="511">
        <v>13.563912724445757</v>
      </c>
      <c r="BD254" s="534">
        <v>6.4599518866425099</v>
      </c>
      <c r="BE254" s="511">
        <v>11.680082505000799</v>
      </c>
      <c r="BF254" s="534">
        <v>11.176104218090259</v>
      </c>
      <c r="BG254" s="511">
        <v>14.362766412654889</v>
      </c>
      <c r="BH254" s="534">
        <v>9.6867814762796431</v>
      </c>
      <c r="BI254" s="511">
        <v>9.444111820668784</v>
      </c>
      <c r="BJ254" s="534">
        <v>21.417786588675352</v>
      </c>
      <c r="BK254" s="511">
        <v>1.5891342564985087</v>
      </c>
      <c r="BL254" s="534">
        <v>13.198775946997179</v>
      </c>
      <c r="BM254" s="511">
        <v>1.7270215423089081</v>
      </c>
      <c r="BN254" s="534">
        <v>15.147777192211688</v>
      </c>
      <c r="BO254" s="511">
        <v>0.81200707429155472</v>
      </c>
      <c r="BP254" s="534">
        <v>7.1630724282027405</v>
      </c>
      <c r="BQ254" s="511">
        <v>17.928167997129606</v>
      </c>
      <c r="BR254" s="534">
        <v>0.27655202719516808</v>
      </c>
      <c r="BS254" s="511">
        <v>16.669106426814469</v>
      </c>
      <c r="BT254" s="534">
        <v>11.457079016273475</v>
      </c>
      <c r="BU254" s="511">
        <v>8.8244184576796982</v>
      </c>
      <c r="BV254" s="534">
        <v>10.048526131492713</v>
      </c>
      <c r="BW254" s="511">
        <v>16.336382086841326</v>
      </c>
      <c r="BX254" s="534">
        <v>6.5480889177604853</v>
      </c>
      <c r="BY254" s="511">
        <v>16.167480891517648</v>
      </c>
      <c r="BZ254" s="534">
        <v>21.516787532977851</v>
      </c>
      <c r="CA254" s="511">
        <v>0.12541142673057401</v>
      </c>
      <c r="CB254" s="534">
        <v>12.257231988292714</v>
      </c>
      <c r="CC254" s="511">
        <v>13.563912724445757</v>
      </c>
      <c r="CD254" s="534">
        <v>3.8117900662850679</v>
      </c>
      <c r="CE254" s="512">
        <v>5.5281661667951028</v>
      </c>
      <c r="CF254" s="560">
        <v>1.0598600550735233</v>
      </c>
      <c r="CG254" s="511">
        <v>6.6466976465097511</v>
      </c>
      <c r="CH254" s="560">
        <v>1.175455691207109</v>
      </c>
      <c r="CI254" s="511">
        <v>6.7622985347570816</v>
      </c>
      <c r="CJ254" s="560">
        <v>3.6058978817368903</v>
      </c>
      <c r="CK254" s="511">
        <v>9.1928511529747947</v>
      </c>
      <c r="CL254" s="560">
        <v>2.3169299337456128</v>
      </c>
      <c r="CM254" s="511">
        <v>7.9038246404346992</v>
      </c>
      <c r="CN254" s="560">
        <v>3.1680034192618018</v>
      </c>
      <c r="CO254" s="511">
        <v>8.7549367946662482</v>
      </c>
      <c r="CP254" s="560">
        <v>0.10900811224143794</v>
      </c>
      <c r="CQ254" s="511">
        <v>5.695802501505641</v>
      </c>
      <c r="CR254" s="560">
        <v>19.748159671342567</v>
      </c>
      <c r="CS254" s="511">
        <v>2.7124045983587117</v>
      </c>
      <c r="CT254" s="560">
        <v>3.0324924978416248</v>
      </c>
      <c r="CU254" s="511">
        <v>10.363407608623627</v>
      </c>
      <c r="CV254" s="560">
        <v>3.4796701980817284</v>
      </c>
      <c r="CW254" s="511">
        <v>10.363407608623627</v>
      </c>
      <c r="CX254" s="560">
        <v>9.6813161944054649</v>
      </c>
      <c r="CY254" s="511">
        <v>10.363407608623627</v>
      </c>
      <c r="CZ254" s="560">
        <v>6.6059941872940859</v>
      </c>
      <c r="DA254" s="511">
        <v>10.363407608623627</v>
      </c>
      <c r="DB254" s="560">
        <v>8.6640056957860683</v>
      </c>
      <c r="DC254" s="511">
        <v>10.363407608623627</v>
      </c>
      <c r="DD254" s="560">
        <v>0.35024504616872282</v>
      </c>
      <c r="DE254" s="511">
        <v>10.363407608623627</v>
      </c>
      <c r="DF254" s="560">
        <v>23.815879789140393</v>
      </c>
      <c r="DG254" s="511">
        <v>3.3617181887289664</v>
      </c>
      <c r="DH254" s="560">
        <v>19.700818997598631</v>
      </c>
      <c r="DI254" s="511">
        <v>3.3617181887289664</v>
      </c>
      <c r="DJ254" s="560">
        <v>19.766448938219011</v>
      </c>
      <c r="DK254" s="511">
        <v>3.3617181887289664</v>
      </c>
      <c r="DL254" s="560">
        <v>60.290290920712074</v>
      </c>
      <c r="DM254" s="511">
        <v>3.3617181887289664</v>
      </c>
      <c r="DN254" s="560">
        <v>152.6032804616255</v>
      </c>
      <c r="DO254" s="511">
        <v>3.3617181887289664</v>
      </c>
      <c r="DP254" s="560">
        <v>108.09287713275597</v>
      </c>
      <c r="DQ254" s="511">
        <v>3.3617181887289664</v>
      </c>
      <c r="DR254" s="560">
        <v>231.84386608910384</v>
      </c>
      <c r="DS254" s="511">
        <v>3.3617181887289664</v>
      </c>
      <c r="DT254" s="560">
        <v>188.84958804945734</v>
      </c>
      <c r="DU254" s="511">
        <v>3.3617181887289664</v>
      </c>
      <c r="DV254" s="560">
        <v>217.52013961404609</v>
      </c>
      <c r="DW254" s="511">
        <v>3.3617181887289664</v>
      </c>
      <c r="DX254" s="560">
        <v>129.39546104129326</v>
      </c>
      <c r="DY254" s="511">
        <v>3.3617181887289664</v>
      </c>
      <c r="DZ254" s="560">
        <v>178.67368384984024</v>
      </c>
      <c r="EA254" s="511">
        <v>3.3617181887289664</v>
      </c>
      <c r="EB254" s="560">
        <v>4.2901592351076676</v>
      </c>
      <c r="EC254" s="511">
        <v>13.563912724445757</v>
      </c>
      <c r="ED254" s="560">
        <v>4.922795108662096</v>
      </c>
      <c r="EE254" s="511">
        <v>13.563912724445757</v>
      </c>
      <c r="EF254" s="560">
        <v>13.696452046950851</v>
      </c>
      <c r="EG254" s="511">
        <v>13.563912724445757</v>
      </c>
      <c r="EH254" s="560">
        <v>9.3457006043242732</v>
      </c>
      <c r="EI254" s="511">
        <v>13.563912724445757</v>
      </c>
      <c r="EJ254" s="560">
        <v>12.257231988292714</v>
      </c>
      <c r="EK254" s="511">
        <v>13.563912724445757</v>
      </c>
      <c r="EL254" s="560">
        <v>0.49550230394335265</v>
      </c>
      <c r="EM254" s="511">
        <v>13.563912724445757</v>
      </c>
      <c r="EN254" s="560">
        <v>2.6386136573315078</v>
      </c>
      <c r="EO254" s="511">
        <v>8.2255229797929754</v>
      </c>
      <c r="EP254" s="560">
        <v>112.98080091888505</v>
      </c>
      <c r="EQ254" s="511">
        <v>18.081622560899994</v>
      </c>
      <c r="ER254" s="534">
        <v>0</v>
      </c>
      <c r="ES254" s="511">
        <v>4.4336114390103685</v>
      </c>
      <c r="ET254" s="534">
        <v>0</v>
      </c>
      <c r="EU254" s="511">
        <v>37.946682546343112</v>
      </c>
      <c r="EV254" s="534">
        <v>0</v>
      </c>
      <c r="EW254" s="511">
        <v>3.4831582009714666</v>
      </c>
      <c r="EX254" s="560">
        <v>18.768523606897688</v>
      </c>
      <c r="EY254" s="511">
        <v>-15.33145162675279</v>
      </c>
    </row>
    <row r="255" spans="1:155" x14ac:dyDescent="0.25">
      <c r="A255" s="68" t="s">
        <v>799</v>
      </c>
      <c r="B255" s="534">
        <v>8.5929625989135644E-2</v>
      </c>
      <c r="C255" s="511">
        <v>4.5157809090280929E-2</v>
      </c>
      <c r="D255" s="534">
        <v>8.5929625989135644E-2</v>
      </c>
      <c r="E255" s="511">
        <v>5.8727809616463282E-2</v>
      </c>
      <c r="F255" s="534">
        <v>0.28180771608026667</v>
      </c>
      <c r="G255" s="511">
        <v>7.6814052998910962E-2</v>
      </c>
      <c r="H255" s="534">
        <v>0.28180771608026667</v>
      </c>
      <c r="I255" s="511">
        <v>9.0384053525093308E-2</v>
      </c>
      <c r="J255" s="534">
        <v>8.5929625989135644E-2</v>
      </c>
      <c r="K255" s="511">
        <v>4.5157809090280929E-2</v>
      </c>
      <c r="L255" s="534">
        <v>7.3352468315627917E-2</v>
      </c>
      <c r="M255" s="511">
        <v>4.5387945713227532E-2</v>
      </c>
      <c r="N255" s="534">
        <v>6.845724333026966E-2</v>
      </c>
      <c r="O255" s="511">
        <v>-5.3570807308272377</v>
      </c>
      <c r="P255" s="534">
        <v>-4.8614600661236995</v>
      </c>
      <c r="Q255" s="511">
        <v>-2.6095124586652378</v>
      </c>
      <c r="R255" s="534">
        <v>0.17887282822710665</v>
      </c>
      <c r="S255" s="511">
        <v>0.18719669927304775</v>
      </c>
      <c r="T255" s="534">
        <v>3.4679962128588759E-2</v>
      </c>
      <c r="U255" s="511">
        <v>4.2997281739206035E-2</v>
      </c>
      <c r="V255" s="534">
        <v>9.7115608387625799E-2</v>
      </c>
      <c r="W255" s="511">
        <v>0.10543576477588287</v>
      </c>
      <c r="X255" s="534">
        <v>0.11685230794835658</v>
      </c>
      <c r="Y255" s="511">
        <v>0.12375535791830447</v>
      </c>
      <c r="Z255" s="534">
        <v>0.17887282822710665</v>
      </c>
      <c r="AA255" s="511">
        <v>0.18719669927304775</v>
      </c>
      <c r="AB255" s="534">
        <v>0.27984738889063288</v>
      </c>
      <c r="AC255" s="511">
        <v>6.6323658850125658E-2</v>
      </c>
      <c r="AD255" s="534">
        <v>0.53794541798475437</v>
      </c>
      <c r="AE255" s="511">
        <v>0.66054318803535028</v>
      </c>
      <c r="AF255" s="534">
        <v>0.47144246010225893</v>
      </c>
      <c r="AG255" s="511">
        <v>6.0243445311595027E-2</v>
      </c>
      <c r="AH255" s="534">
        <v>2.0087907146879713</v>
      </c>
      <c r="AI255" s="511">
        <v>0.75308355905127178</v>
      </c>
      <c r="AJ255" s="534">
        <v>0.7950650176654307</v>
      </c>
      <c r="AK255" s="511">
        <v>9.2167132959201092E-2</v>
      </c>
      <c r="AL255" s="534">
        <v>0.36079916041408761</v>
      </c>
      <c r="AM255" s="511">
        <v>3.6291457723461928E-2</v>
      </c>
      <c r="AN255" s="534">
        <v>5.5526907610059682E-3</v>
      </c>
      <c r="AO255" s="511">
        <v>3.6291457723461928E-2</v>
      </c>
      <c r="AP255" s="534">
        <v>1.0992276186469552</v>
      </c>
      <c r="AQ255" s="511">
        <v>5.7743787578257565E-2</v>
      </c>
      <c r="AR255" s="534">
        <v>0.27984738889063288</v>
      </c>
      <c r="AS255" s="511">
        <v>6.6323658850125658E-2</v>
      </c>
      <c r="AT255" s="534">
        <v>0.8279010851128995</v>
      </c>
      <c r="AU255" s="511">
        <v>-9.8346571566847493E-2</v>
      </c>
      <c r="AV255" s="534">
        <v>1.0440305288688043</v>
      </c>
      <c r="AW255" s="511">
        <v>0.19761142512945967</v>
      </c>
      <c r="AX255" s="534">
        <v>0.78485848293051763</v>
      </c>
      <c r="AY255" s="511">
        <v>3.4843523178398471E-2</v>
      </c>
      <c r="AZ255" s="534">
        <v>0.8279010851128995</v>
      </c>
      <c r="BA255" s="511">
        <v>-9.8346571566847493E-2</v>
      </c>
      <c r="BB255" s="534">
        <v>1.4770216969535159</v>
      </c>
      <c r="BC255" s="511">
        <v>0.19720500904588209</v>
      </c>
      <c r="BD255" s="534">
        <v>0.77843750587083416</v>
      </c>
      <c r="BE255" s="511">
        <v>0.13789462669065131</v>
      </c>
      <c r="BF255" s="534">
        <v>1.3467435741854061</v>
      </c>
      <c r="BG255" s="511">
        <v>9.9020812362575886E-2</v>
      </c>
      <c r="BH255" s="534">
        <v>1.1672771167077598</v>
      </c>
      <c r="BI255" s="511">
        <v>5.8328171279476732E-2</v>
      </c>
      <c r="BJ255" s="534">
        <v>12.406004719635105</v>
      </c>
      <c r="BK255" s="511">
        <v>2.9855879507649466E-2</v>
      </c>
      <c r="BL255" s="534">
        <v>0.22080959239305606</v>
      </c>
      <c r="BM255" s="511">
        <v>2.586808574420181E-2</v>
      </c>
      <c r="BN255" s="534">
        <v>8.7741744255647607</v>
      </c>
      <c r="BO255" s="511">
        <v>2.4693575377882346E-2</v>
      </c>
      <c r="BP255" s="534">
        <v>0.86316497912499923</v>
      </c>
      <c r="BQ255" s="511">
        <v>0.2509868170165232</v>
      </c>
      <c r="BR255" s="534">
        <v>0.45379781595314128</v>
      </c>
      <c r="BS255" s="511">
        <v>0.21331755438246919</v>
      </c>
      <c r="BT255" s="534">
        <v>0.48031453602036767</v>
      </c>
      <c r="BU255" s="511">
        <v>0.2547773395649105</v>
      </c>
      <c r="BV255" s="534">
        <v>0.36144776259040062</v>
      </c>
      <c r="BW255" s="511">
        <v>0.21357940701933453</v>
      </c>
      <c r="BX255" s="534">
        <v>0.27014959029936153</v>
      </c>
      <c r="BY255" s="511">
        <v>0.2166682844426096</v>
      </c>
      <c r="BZ255" s="534">
        <v>12.463349869526294</v>
      </c>
      <c r="CA255" s="511">
        <v>4.9759961694182666E-3</v>
      </c>
      <c r="CB255" s="534">
        <v>1.4770216969535159</v>
      </c>
      <c r="CC255" s="511">
        <v>0.19720500904588209</v>
      </c>
      <c r="CD255" s="534">
        <v>0.27984738889063288</v>
      </c>
      <c r="CE255" s="512">
        <v>6.6323658850125658E-2</v>
      </c>
      <c r="CF255" s="560">
        <v>0.27605794603501549</v>
      </c>
      <c r="CG255" s="511">
        <v>0.28438623270865704</v>
      </c>
      <c r="CH255" s="560">
        <v>0.38561337052141759</v>
      </c>
      <c r="CI255" s="511">
        <v>0.39394663487042769</v>
      </c>
      <c r="CJ255" s="560">
        <v>0.12970496413384475</v>
      </c>
      <c r="CK255" s="511">
        <v>0.13802660122681484</v>
      </c>
      <c r="CL255" s="560">
        <v>9.5587839477258435E-2</v>
      </c>
      <c r="CM255" s="511">
        <v>0.10390792645099121</v>
      </c>
      <c r="CN255" s="560">
        <v>0.38175093616094358</v>
      </c>
      <c r="CO255" s="511">
        <v>0.39008402501937922</v>
      </c>
      <c r="CP255" s="560">
        <v>0.17887282822710665</v>
      </c>
      <c r="CQ255" s="511">
        <v>0.18719669927304775</v>
      </c>
      <c r="CR255" s="560">
        <v>0.8279010851128995</v>
      </c>
      <c r="CS255" s="511">
        <v>-9.8346571566847493E-2</v>
      </c>
      <c r="CT255" s="560">
        <v>0.78986244109622494</v>
      </c>
      <c r="CU255" s="511">
        <v>0.19761142512945967</v>
      </c>
      <c r="CV255" s="560">
        <v>1.1415209977053953</v>
      </c>
      <c r="CW255" s="511">
        <v>0.19761142512945967</v>
      </c>
      <c r="CX255" s="560">
        <v>0.34823913792004502</v>
      </c>
      <c r="CY255" s="511">
        <v>0.19761142512945967</v>
      </c>
      <c r="CZ255" s="560">
        <v>0.27253854454801985</v>
      </c>
      <c r="DA255" s="511">
        <v>0.19761142512945967</v>
      </c>
      <c r="DB255" s="560">
        <v>1.0440305288688043</v>
      </c>
      <c r="DC255" s="511">
        <v>0.19761142512945967</v>
      </c>
      <c r="DD255" s="560">
        <v>0.57472164862348396</v>
      </c>
      <c r="DE255" s="511">
        <v>0.19761142512945967</v>
      </c>
      <c r="DF255" s="560">
        <v>0.78485848293051763</v>
      </c>
      <c r="DG255" s="511">
        <v>3.4843523178398471E-2</v>
      </c>
      <c r="DH255" s="560">
        <v>0.77673559563145722</v>
      </c>
      <c r="DI255" s="511">
        <v>3.4843523178398471E-2</v>
      </c>
      <c r="DJ255" s="560">
        <v>0.77946458585938794</v>
      </c>
      <c r="DK255" s="511">
        <v>3.4843523178398471E-2</v>
      </c>
      <c r="DL255" s="560">
        <v>0.83463160217325427</v>
      </c>
      <c r="DM255" s="511">
        <v>3.4843523178398471E-2</v>
      </c>
      <c r="DN255" s="560">
        <v>1.1391229538827969</v>
      </c>
      <c r="DO255" s="511">
        <v>3.4843523178398471E-2</v>
      </c>
      <c r="DP255" s="560">
        <v>1.4936319259034787</v>
      </c>
      <c r="DQ255" s="511">
        <v>3.4843523178398471E-2</v>
      </c>
      <c r="DR255" s="560">
        <v>0.69716394306773832</v>
      </c>
      <c r="DS255" s="511">
        <v>3.4843523178398471E-2</v>
      </c>
      <c r="DT255" s="560">
        <v>0.63190434513678728</v>
      </c>
      <c r="DU255" s="511">
        <v>3.4843523178398471E-2</v>
      </c>
      <c r="DV255" s="560">
        <v>1.3865567262092306</v>
      </c>
      <c r="DW255" s="511">
        <v>3.4843523178398471E-2</v>
      </c>
      <c r="DX255" s="560">
        <v>0.94860339378995551</v>
      </c>
      <c r="DY255" s="511">
        <v>3.4843523178398471E-2</v>
      </c>
      <c r="DZ255" s="560">
        <v>-0.63008455384546591</v>
      </c>
      <c r="EA255" s="511">
        <v>3.4843523178398471E-2</v>
      </c>
      <c r="EB255" s="560">
        <v>1.1174423839615484</v>
      </c>
      <c r="EC255" s="511">
        <v>0.19720500904588209</v>
      </c>
      <c r="ED255" s="560">
        <v>1.6149444240540665</v>
      </c>
      <c r="EE255" s="511">
        <v>0.19720500904588209</v>
      </c>
      <c r="EF255" s="560">
        <v>0.49266448462344709</v>
      </c>
      <c r="EG255" s="511">
        <v>0.19720500904588209</v>
      </c>
      <c r="EH255" s="560">
        <v>0.38556855611273283</v>
      </c>
      <c r="EI255" s="511">
        <v>0.19720500904588209</v>
      </c>
      <c r="EJ255" s="560">
        <v>1.4770216969535159</v>
      </c>
      <c r="EK255" s="511">
        <v>0.19720500904588209</v>
      </c>
      <c r="EL255" s="560">
        <v>0.8130761709099914</v>
      </c>
      <c r="EM255" s="511">
        <v>0.19720500904588209</v>
      </c>
      <c r="EN255" s="560">
        <v>0.34561858505718668</v>
      </c>
      <c r="EO255" s="511">
        <v>0.35395003223411781</v>
      </c>
      <c r="EP255" s="560">
        <v>1.9698746339021149</v>
      </c>
      <c r="EQ255" s="511">
        <v>0.22612433758485248</v>
      </c>
      <c r="ER255" s="534">
        <v>0</v>
      </c>
      <c r="ES255" s="511">
        <v>8.6943158045530516E-2</v>
      </c>
      <c r="ET255" s="534">
        <v>0</v>
      </c>
      <c r="EU255" s="511">
        <v>0.61505921776133965</v>
      </c>
      <c r="EV255" s="534">
        <v>0</v>
      </c>
      <c r="EW255" s="511">
        <v>7.9472464507471016E-2</v>
      </c>
      <c r="EX255" s="560">
        <v>10.87144983370368</v>
      </c>
      <c r="EY255" s="511">
        <v>-6.2318446056157106E-2</v>
      </c>
    </row>
    <row r="256" spans="1:155" x14ac:dyDescent="0.25">
      <c r="A256" s="68" t="s">
        <v>800</v>
      </c>
      <c r="B256" s="534">
        <v>0.17271074080892998</v>
      </c>
      <c r="C256" s="511">
        <v>7.133396765082313E-2</v>
      </c>
      <c r="D256" s="534">
        <v>0.17271074080892998</v>
      </c>
      <c r="E256" s="511">
        <v>9.0115476858076971E-2</v>
      </c>
      <c r="F256" s="534">
        <v>8.5293392574400245E-2</v>
      </c>
      <c r="G256" s="511">
        <v>0.20154635258148232</v>
      </c>
      <c r="H256" s="534">
        <v>8.5293392574400245E-2</v>
      </c>
      <c r="I256" s="511">
        <v>0.22032786178873617</v>
      </c>
      <c r="J256" s="534">
        <v>0.17271074080892998</v>
      </c>
      <c r="K256" s="511">
        <v>7.133396765082313E-2</v>
      </c>
      <c r="L256" s="534">
        <v>0.15163722093681445</v>
      </c>
      <c r="M256" s="511">
        <v>0.10296295327435982</v>
      </c>
      <c r="N256" s="534">
        <v>0.14104974101817494</v>
      </c>
      <c r="O256" s="511">
        <v>-0.18276897739265807</v>
      </c>
      <c r="P256" s="534">
        <v>-0.13154497214053987</v>
      </c>
      <c r="Q256" s="511">
        <v>-4.52279549675281E-2</v>
      </c>
      <c r="R256" s="534">
        <v>5.4794391479900673E-2</v>
      </c>
      <c r="S256" s="511">
        <v>8.0404052447242177E-2</v>
      </c>
      <c r="T256" s="534">
        <v>7.0627200117133235E-2</v>
      </c>
      <c r="U256" s="511">
        <v>9.6237580451698571E-2</v>
      </c>
      <c r="V256" s="534">
        <v>6.3771579127632427E-2</v>
      </c>
      <c r="W256" s="511">
        <v>8.9381647975515149E-2</v>
      </c>
      <c r="X256" s="534">
        <v>0.12018204844295992</v>
      </c>
      <c r="Y256" s="511">
        <v>0.14433627074113792</v>
      </c>
      <c r="Z256" s="534">
        <v>5.4794391479900673E-2</v>
      </c>
      <c r="AA256" s="511">
        <v>8.0404052447242177E-2</v>
      </c>
      <c r="AB256" s="534">
        <v>0.17821752528721962</v>
      </c>
      <c r="AC256" s="511">
        <v>0.19117674650118055</v>
      </c>
      <c r="AD256" s="534">
        <v>0.33067023383974042</v>
      </c>
      <c r="AE256" s="511">
        <v>1.706003975639659</v>
      </c>
      <c r="AF256" s="534">
        <v>0.40628000832698619</v>
      </c>
      <c r="AG256" s="511">
        <v>0.18044621267211983</v>
      </c>
      <c r="AH256" s="534">
        <v>0.95467989883987048</v>
      </c>
      <c r="AI256" s="511">
        <v>1.8105259934549058</v>
      </c>
      <c r="AJ256" s="534">
        <v>0.43932726769934294</v>
      </c>
      <c r="AK256" s="511">
        <v>0.16121675898316978</v>
      </c>
      <c r="AL256" s="534">
        <v>3.5460109521678684</v>
      </c>
      <c r="AM256" s="511">
        <v>0.10656792917740027</v>
      </c>
      <c r="AN256" s="534">
        <v>2.8540224609617422E-2</v>
      </c>
      <c r="AO256" s="511">
        <v>0.10656792917740027</v>
      </c>
      <c r="AP256" s="534">
        <v>0.49910450188787681</v>
      </c>
      <c r="AQ256" s="511">
        <v>0.17455396789211028</v>
      </c>
      <c r="AR256" s="534">
        <v>0.17821752528721962</v>
      </c>
      <c r="AS256" s="511">
        <v>0.19117674650118055</v>
      </c>
      <c r="AT256" s="534">
        <v>0.70130988790608162</v>
      </c>
      <c r="AU256" s="511">
        <v>0.46720356175928629</v>
      </c>
      <c r="AV256" s="534">
        <v>0.46935589188545596</v>
      </c>
      <c r="AW256" s="511">
        <v>0.17158828630649253</v>
      </c>
      <c r="AX256" s="534">
        <v>1.1680775930820881</v>
      </c>
      <c r="AY256" s="511">
        <v>0.11895664117938604</v>
      </c>
      <c r="AZ256" s="534">
        <v>0.70130988790608162</v>
      </c>
      <c r="BA256" s="511">
        <v>0.46720356175928629</v>
      </c>
      <c r="BB256" s="534">
        <v>0.66401203483859306</v>
      </c>
      <c r="BC256" s="511">
        <v>0.17829701944836848</v>
      </c>
      <c r="BD256" s="534">
        <v>0.34995550392665575</v>
      </c>
      <c r="BE256" s="511">
        <v>0.27506319592661715</v>
      </c>
      <c r="BF256" s="534">
        <v>0.60544401138123216</v>
      </c>
      <c r="BG256" s="511">
        <v>0.22963425736844204</v>
      </c>
      <c r="BH256" s="534">
        <v>0.52476280821353338</v>
      </c>
      <c r="BI256" s="511">
        <v>0.1235240611340937</v>
      </c>
      <c r="BJ256" s="534">
        <v>27.274590329930746</v>
      </c>
      <c r="BK256" s="511">
        <v>7.632265707782844E-2</v>
      </c>
      <c r="BL256" s="534">
        <v>0.54383770931075481</v>
      </c>
      <c r="BM256" s="511">
        <v>7.0442078822054499E-2</v>
      </c>
      <c r="BN256" s="534">
        <v>19.290014662163784</v>
      </c>
      <c r="BO256" s="511">
        <v>6.8658517067577127E-2</v>
      </c>
      <c r="BP256" s="534">
        <v>0.38804571075183092</v>
      </c>
      <c r="BQ256" s="511">
        <v>0.4662639141843713</v>
      </c>
      <c r="BR256" s="534">
        <v>0.13901259026602775</v>
      </c>
      <c r="BS256" s="511">
        <v>0.37868787668952875</v>
      </c>
      <c r="BT256" s="534">
        <v>0.406871472296923</v>
      </c>
      <c r="BU256" s="511">
        <v>0.70917918913302924</v>
      </c>
      <c r="BV256" s="534">
        <v>0.30695679917728846</v>
      </c>
      <c r="BW256" s="511">
        <v>0.49213107262017669</v>
      </c>
      <c r="BX256" s="534">
        <v>0.22294419242602784</v>
      </c>
      <c r="BY256" s="511">
        <v>0.50764373663278306</v>
      </c>
      <c r="BZ256" s="534">
        <v>27.400663590906959</v>
      </c>
      <c r="CA256" s="511">
        <v>1.9635367617968944E-2</v>
      </c>
      <c r="CB256" s="534">
        <v>0.66401203483859306</v>
      </c>
      <c r="CC256" s="511">
        <v>0.17829701944836848</v>
      </c>
      <c r="CD256" s="534">
        <v>0.17821752528721962</v>
      </c>
      <c r="CE256" s="512">
        <v>0.19117674650118055</v>
      </c>
      <c r="CF256" s="560">
        <v>9.8282668925065028E-2</v>
      </c>
      <c r="CG256" s="511">
        <v>0.1238943057920799</v>
      </c>
      <c r="CH256" s="560">
        <v>0.13422458923035585</v>
      </c>
      <c r="CI256" s="511">
        <v>0.15983785912660908</v>
      </c>
      <c r="CJ256" s="560">
        <v>0.11015096716215601</v>
      </c>
      <c r="CK256" s="511">
        <v>0.13576314326797242</v>
      </c>
      <c r="CL256" s="560">
        <v>7.8885012020159018E-2</v>
      </c>
      <c r="CM256" s="511">
        <v>0.1044957675502667</v>
      </c>
      <c r="CN256" s="560">
        <v>0.17162050932941958</v>
      </c>
      <c r="CO256" s="511">
        <v>0.19723547831771893</v>
      </c>
      <c r="CP256" s="560">
        <v>5.4794391479900673E-2</v>
      </c>
      <c r="CQ256" s="511">
        <v>8.0404052447242177E-2</v>
      </c>
      <c r="CR256" s="560">
        <v>0.70130988790608162</v>
      </c>
      <c r="CS256" s="511">
        <v>0.46720356175928629</v>
      </c>
      <c r="CT256" s="560">
        <v>0.28120831118825074</v>
      </c>
      <c r="CU256" s="511">
        <v>0.17158828630649253</v>
      </c>
      <c r="CV256" s="560">
        <v>0.39734147912882745</v>
      </c>
      <c r="CW256" s="511">
        <v>0.17158828630649253</v>
      </c>
      <c r="CX256" s="560">
        <v>0.29573947382634652</v>
      </c>
      <c r="CY256" s="511">
        <v>0.17158828630649253</v>
      </c>
      <c r="CZ256" s="560">
        <v>0.22491570559811766</v>
      </c>
      <c r="DA256" s="511">
        <v>0.17158828630649253</v>
      </c>
      <c r="DB256" s="560">
        <v>0.46935589188545596</v>
      </c>
      <c r="DC256" s="511">
        <v>0.17158828630649253</v>
      </c>
      <c r="DD256" s="560">
        <v>0.17605537587109513</v>
      </c>
      <c r="DE256" s="511">
        <v>0.17158828630649253</v>
      </c>
      <c r="DF256" s="560">
        <v>1.1680775930820881</v>
      </c>
      <c r="DG256" s="511">
        <v>0.11895664117938604</v>
      </c>
      <c r="DH256" s="560">
        <v>1.1512388008209422</v>
      </c>
      <c r="DI256" s="511">
        <v>0.11895664117938604</v>
      </c>
      <c r="DJ256" s="560">
        <v>1.1462419562672608</v>
      </c>
      <c r="DK256" s="511">
        <v>0.11895664117938604</v>
      </c>
      <c r="DL256" s="560">
        <v>1.3623497443663719</v>
      </c>
      <c r="DM256" s="511">
        <v>0.11895664117938604</v>
      </c>
      <c r="DN256" s="560">
        <v>0.91996881698513111</v>
      </c>
      <c r="DO256" s="511">
        <v>0.11895664117938604</v>
      </c>
      <c r="DP256" s="560">
        <v>1.0517532255845208</v>
      </c>
      <c r="DQ256" s="511">
        <v>0.11895664117938604</v>
      </c>
      <c r="DR256" s="560">
        <v>0.89833304554668802</v>
      </c>
      <c r="DS256" s="511">
        <v>0.11895664117938604</v>
      </c>
      <c r="DT256" s="560">
        <v>0.85082641062052133</v>
      </c>
      <c r="DU256" s="511">
        <v>0.11895664117938604</v>
      </c>
      <c r="DV256" s="560">
        <v>1.0751792633238972</v>
      </c>
      <c r="DW256" s="511">
        <v>0.11895664117938604</v>
      </c>
      <c r="DX256" s="560">
        <v>0.84577548279268533</v>
      </c>
      <c r="DY256" s="511">
        <v>0.11895664117938604</v>
      </c>
      <c r="DZ256" s="560">
        <v>-1.3399983401170787</v>
      </c>
      <c r="EA256" s="511">
        <v>0.11895664117938604</v>
      </c>
      <c r="EB256" s="560">
        <v>0.39783393828409458</v>
      </c>
      <c r="EC256" s="511">
        <v>0.17829701944836848</v>
      </c>
      <c r="ED256" s="560">
        <v>0.56213105799574747</v>
      </c>
      <c r="EE256" s="511">
        <v>0.17829701944836848</v>
      </c>
      <c r="EF256" s="560">
        <v>0.41839161538735181</v>
      </c>
      <c r="EG256" s="511">
        <v>0.17829701944836848</v>
      </c>
      <c r="EH256" s="560">
        <v>0.31819507951934134</v>
      </c>
      <c r="EI256" s="511">
        <v>0.17829701944836848</v>
      </c>
      <c r="EJ256" s="560">
        <v>0.66401203483859306</v>
      </c>
      <c r="EK256" s="511">
        <v>0.17829701944836848</v>
      </c>
      <c r="EL256" s="560">
        <v>0.24907088714030415</v>
      </c>
      <c r="EM256" s="511">
        <v>0.17829701944836848</v>
      </c>
      <c r="EN256" s="560">
        <v>0.14244126665974782</v>
      </c>
      <c r="EO256" s="511">
        <v>0.16805490988258931</v>
      </c>
      <c r="EP256" s="560">
        <v>5.1624942030211747</v>
      </c>
      <c r="EQ256" s="511">
        <v>0.59624629097264126</v>
      </c>
      <c r="ER256" s="534">
        <v>0</v>
      </c>
      <c r="ES256" s="511">
        <v>0.25761791778883669</v>
      </c>
      <c r="ET256" s="534">
        <v>0</v>
      </c>
      <c r="EU256" s="511">
        <v>1.6052062208550166</v>
      </c>
      <c r="EV256" s="534">
        <v>0</v>
      </c>
      <c r="EW256" s="511">
        <v>0.22088557431274497</v>
      </c>
      <c r="EX256" s="560">
        <v>23.90087277956339</v>
      </c>
      <c r="EY256" s="511">
        <v>-0.38552797786119908</v>
      </c>
    </row>
    <row r="257" spans="1:155" x14ac:dyDescent="0.25">
      <c r="A257" s="601" t="s">
        <v>6</v>
      </c>
      <c r="B257" s="534">
        <v>91.247602563329494</v>
      </c>
      <c r="C257" s="511">
        <v>7.8368119588232492</v>
      </c>
      <c r="D257" s="534">
        <v>91.247602563329494</v>
      </c>
      <c r="E257" s="511">
        <v>11.013428463656503</v>
      </c>
      <c r="F257" s="534">
        <v>3.2379685697356875</v>
      </c>
      <c r="G257" s="511">
        <v>53.685920312068887</v>
      </c>
      <c r="H257" s="534">
        <v>3.2379685697356875</v>
      </c>
      <c r="I257" s="511">
        <v>56.862536816902136</v>
      </c>
      <c r="J257" s="534">
        <v>91.247602563329494</v>
      </c>
      <c r="K257" s="511">
        <v>7.8368119588232492</v>
      </c>
      <c r="L257" s="534">
        <v>133.34613262092981</v>
      </c>
      <c r="M257" s="511">
        <v>72.722953169281581</v>
      </c>
      <c r="N257" s="534">
        <v>131.94894726312907</v>
      </c>
      <c r="O257" s="511">
        <v>-3.2318589712085184</v>
      </c>
      <c r="P257" s="534">
        <v>411.05549422286134</v>
      </c>
      <c r="Q257" s="511">
        <v>222.37199313396755</v>
      </c>
      <c r="R257" s="534">
        <v>2.2900236825207929</v>
      </c>
      <c r="S257" s="511">
        <v>3.3144905294384355</v>
      </c>
      <c r="T257" s="534">
        <v>147.65635432690436</v>
      </c>
      <c r="U257" s="511">
        <v>148.68742592577158</v>
      </c>
      <c r="V257" s="534">
        <v>84.712596818915983</v>
      </c>
      <c r="W257" s="511">
        <v>85.740808553994441</v>
      </c>
      <c r="X257" s="534">
        <v>129.44079475610806</v>
      </c>
      <c r="Y257" s="511">
        <v>128.9002742364313</v>
      </c>
      <c r="Z257" s="534">
        <v>2.2900236825207929</v>
      </c>
      <c r="AA257" s="511">
        <v>3.3144905294384355</v>
      </c>
      <c r="AB257" s="534">
        <v>5.9786686507512679</v>
      </c>
      <c r="AC257" s="511">
        <v>38.718630715910805</v>
      </c>
      <c r="AD257" s="534">
        <v>13.066819004471251</v>
      </c>
      <c r="AE257" s="511">
        <v>145.21499892453502</v>
      </c>
      <c r="AF257" s="534">
        <v>19.188338547754086</v>
      </c>
      <c r="AG257" s="511">
        <v>38.592400432612614</v>
      </c>
      <c r="AH257" s="534">
        <v>34.308598038319452</v>
      </c>
      <c r="AI257" s="511">
        <v>46.913930722933387</v>
      </c>
      <c r="AJ257" s="534">
        <v>16.676575694846466</v>
      </c>
      <c r="AK257" s="511">
        <v>34.43877579428846</v>
      </c>
      <c r="AL257" s="534">
        <v>588.18270055671974</v>
      </c>
      <c r="AM257" s="511">
        <v>30.218190089221402</v>
      </c>
      <c r="AN257" s="534">
        <v>3.2314679513222515</v>
      </c>
      <c r="AO257" s="511">
        <v>30.218190089221402</v>
      </c>
      <c r="AP257" s="534">
        <v>17.909507079656144</v>
      </c>
      <c r="AQ257" s="511">
        <v>37.764022044970019</v>
      </c>
      <c r="AR257" s="534">
        <v>5.9786686507512679</v>
      </c>
      <c r="AS257" s="511">
        <v>38.718630715910805</v>
      </c>
      <c r="AT257" s="534">
        <v>33.708435610851758</v>
      </c>
      <c r="AU257" s="511">
        <v>89.123873639195565</v>
      </c>
      <c r="AV257" s="534">
        <v>16.566272164719525</v>
      </c>
      <c r="AW257" s="511">
        <v>20.470597980916384</v>
      </c>
      <c r="AX257" s="534">
        <v>107.228581649029</v>
      </c>
      <c r="AY257" s="511">
        <v>23.577189437666156</v>
      </c>
      <c r="AZ257" s="534">
        <v>33.708435610851758</v>
      </c>
      <c r="BA257" s="511">
        <v>89.123873639195565</v>
      </c>
      <c r="BB257" s="534">
        <v>23.436808357931302</v>
      </c>
      <c r="BC257" s="511">
        <v>28.811443305188639</v>
      </c>
      <c r="BD257" s="534">
        <v>12.351944918176061</v>
      </c>
      <c r="BE257" s="511">
        <v>130.60131568628086</v>
      </c>
      <c r="BF257" s="534">
        <v>21.369605551875754</v>
      </c>
      <c r="BG257" s="511">
        <v>27.939827059854217</v>
      </c>
      <c r="BH257" s="534">
        <v>18.521901297255862</v>
      </c>
      <c r="BI257" s="511">
        <v>14.366696566942805</v>
      </c>
      <c r="BJ257" s="534">
        <v>130.27185012993206</v>
      </c>
      <c r="BK257" s="511">
        <v>27.110363469107245</v>
      </c>
      <c r="BL257" s="534">
        <v>31.86224984070515</v>
      </c>
      <c r="BM257" s="511">
        <v>27.078761781544049</v>
      </c>
      <c r="BN257" s="534">
        <v>92.1350556937943</v>
      </c>
      <c r="BO257" s="511">
        <v>14.718407125109536</v>
      </c>
      <c r="BP257" s="534">
        <v>13.696367655773876</v>
      </c>
      <c r="BQ257" s="511">
        <v>55.779151728414298</v>
      </c>
      <c r="BR257" s="534">
        <v>5.8097574456052721</v>
      </c>
      <c r="BS257" s="511">
        <v>44.904362793902564</v>
      </c>
      <c r="BT257" s="534">
        <v>19.5562633043183</v>
      </c>
      <c r="BU257" s="511">
        <v>95.858843503636862</v>
      </c>
      <c r="BV257" s="534">
        <v>15.105221921591365</v>
      </c>
      <c r="BW257" s="511">
        <v>70.613578698576561</v>
      </c>
      <c r="BX257" s="534">
        <v>12.04526406866947</v>
      </c>
      <c r="BY257" s="511">
        <v>72.447454527173448</v>
      </c>
      <c r="BZ257" s="534">
        <v>130.87401488330187</v>
      </c>
      <c r="CA257" s="511">
        <v>1.6092269654005957</v>
      </c>
      <c r="CB257" s="534">
        <v>23.436808357931302</v>
      </c>
      <c r="CC257" s="511">
        <v>28.811443305188639</v>
      </c>
      <c r="CD257" s="534">
        <v>5.9786686507512679</v>
      </c>
      <c r="CE257" s="512">
        <v>38.718630715910805</v>
      </c>
      <c r="CF257" s="560">
        <v>3.3396639400869468</v>
      </c>
      <c r="CG257" s="511">
        <v>4.364178477645928</v>
      </c>
      <c r="CH257" s="560">
        <v>4.2246199623967646</v>
      </c>
      <c r="CI257" s="511">
        <v>5.2491747081317914</v>
      </c>
      <c r="CJ257" s="560">
        <v>5.4204852549993534</v>
      </c>
      <c r="CK257" s="511">
        <v>6.4450943351430965</v>
      </c>
      <c r="CL257" s="560">
        <v>4.2620118985976765</v>
      </c>
      <c r="CM257" s="511">
        <v>5.28656834324374</v>
      </c>
      <c r="CN257" s="560">
        <v>6.0574760341834555</v>
      </c>
      <c r="CO257" s="511">
        <v>7.0821140561466134</v>
      </c>
      <c r="CP257" s="560">
        <v>2.2900236825207929</v>
      </c>
      <c r="CQ257" s="511">
        <v>3.3144905294384355</v>
      </c>
      <c r="CR257" s="560">
        <v>33.708435610851758</v>
      </c>
      <c r="CS257" s="511">
        <v>89.123873639195565</v>
      </c>
      <c r="CT257" s="560">
        <v>9.5555123482064968</v>
      </c>
      <c r="CU257" s="511">
        <v>20.470597980916384</v>
      </c>
      <c r="CV257" s="560">
        <v>12.506030036978281</v>
      </c>
      <c r="CW257" s="511">
        <v>20.470597980916384</v>
      </c>
      <c r="CX257" s="560">
        <v>14.553221805461646</v>
      </c>
      <c r="CY257" s="511">
        <v>20.470597980916384</v>
      </c>
      <c r="CZ257" s="560">
        <v>12.151781293963696</v>
      </c>
      <c r="DA257" s="511">
        <v>20.470597980916384</v>
      </c>
      <c r="DB257" s="560">
        <v>16.566272164719525</v>
      </c>
      <c r="DC257" s="511">
        <v>20.470597980916384</v>
      </c>
      <c r="DD257" s="560">
        <v>7.3578877197275974</v>
      </c>
      <c r="DE257" s="511">
        <v>20.470597980916384</v>
      </c>
      <c r="DF257" s="560">
        <v>107.228581649029</v>
      </c>
      <c r="DG257" s="511">
        <v>23.577189437666156</v>
      </c>
      <c r="DH257" s="560">
        <v>102.688375391455</v>
      </c>
      <c r="DI257" s="511">
        <v>23.577189437666156</v>
      </c>
      <c r="DJ257" s="560">
        <v>101.68580401290524</v>
      </c>
      <c r="DK257" s="511">
        <v>23.577189437666156</v>
      </c>
      <c r="DL257" s="560">
        <v>156.66242325379545</v>
      </c>
      <c r="DM257" s="511">
        <v>23.577189437666156</v>
      </c>
      <c r="DN257" s="560">
        <v>18.870756248287762</v>
      </c>
      <c r="DO257" s="511">
        <v>23.577189437666156</v>
      </c>
      <c r="DP257" s="560">
        <v>22.218690106632206</v>
      </c>
      <c r="DQ257" s="511">
        <v>23.577189437666156</v>
      </c>
      <c r="DR257" s="560">
        <v>26.131832556269963</v>
      </c>
      <c r="DS257" s="511">
        <v>23.577189437666156</v>
      </c>
      <c r="DT257" s="560">
        <v>24.40850151481634</v>
      </c>
      <c r="DU257" s="511">
        <v>23.577189437666156</v>
      </c>
      <c r="DV257" s="560">
        <v>28.314565948192595</v>
      </c>
      <c r="DW257" s="511">
        <v>23.577189437666156</v>
      </c>
      <c r="DX257" s="560">
        <v>21.08441100434273</v>
      </c>
      <c r="DY257" s="511">
        <v>23.577189437666156</v>
      </c>
      <c r="DZ257" s="560">
        <v>-1729.4313464817319</v>
      </c>
      <c r="EA257" s="511">
        <v>23.577189437666156</v>
      </c>
      <c r="EB257" s="560">
        <v>13.518473525003404</v>
      </c>
      <c r="EC257" s="511">
        <v>28.811443305188639</v>
      </c>
      <c r="ED257" s="560">
        <v>17.692660508101394</v>
      </c>
      <c r="EE257" s="511">
        <v>28.811443305188639</v>
      </c>
      <c r="EF257" s="560">
        <v>20.588884877278382</v>
      </c>
      <c r="EG257" s="511">
        <v>28.811443305188639</v>
      </c>
      <c r="EH257" s="560">
        <v>17.191494052635793</v>
      </c>
      <c r="EI257" s="511">
        <v>28.811443305188639</v>
      </c>
      <c r="EJ257" s="560">
        <v>23.436808357931302</v>
      </c>
      <c r="EK257" s="511">
        <v>28.811443305188639</v>
      </c>
      <c r="EL257" s="560">
        <v>10.409427220064716</v>
      </c>
      <c r="EM257" s="511">
        <v>28.811443305188639</v>
      </c>
      <c r="EN257" s="560">
        <v>4.6592466638981476</v>
      </c>
      <c r="EO257" s="511">
        <v>5.683821156995176</v>
      </c>
      <c r="EP257" s="560">
        <v>9.9651454134940369</v>
      </c>
      <c r="EQ257" s="511">
        <v>2.215379437719414</v>
      </c>
      <c r="ER257" s="534">
        <v>0</v>
      </c>
      <c r="ES257" s="511">
        <v>48.955533596804557</v>
      </c>
      <c r="ET257" s="534">
        <v>0</v>
      </c>
      <c r="EU257" s="511">
        <v>35.53188447408759</v>
      </c>
      <c r="EV257" s="534">
        <v>0</v>
      </c>
      <c r="EW257" s="511">
        <v>45.849331547654494</v>
      </c>
      <c r="EX257" s="560">
        <v>114.15793524484299</v>
      </c>
      <c r="EY257" s="511">
        <v>-41.727262199977787</v>
      </c>
    </row>
    <row r="258" spans="1:155" x14ac:dyDescent="0.25">
      <c r="A258" s="601" t="s">
        <v>3</v>
      </c>
      <c r="B258" s="534">
        <v>8.1328795833971235E-2</v>
      </c>
      <c r="C258" s="511">
        <v>7.1758734219721884E-2</v>
      </c>
      <c r="D258" s="534">
        <v>8.1328795833971235E-2</v>
      </c>
      <c r="E258" s="511">
        <v>9.8726589456048536E-2</v>
      </c>
      <c r="F258" s="534">
        <v>3.337280573853442E-2</v>
      </c>
      <c r="G258" s="511">
        <v>0.41262478580229134</v>
      </c>
      <c r="H258" s="534">
        <v>3.337280573853442E-2</v>
      </c>
      <c r="I258" s="511">
        <v>0.43959264103861795</v>
      </c>
      <c r="J258" s="534">
        <v>8.1328795833971235E-2</v>
      </c>
      <c r="K258" s="511">
        <v>7.1758734219721884E-2</v>
      </c>
      <c r="L258" s="534">
        <v>0.13153144531865973</v>
      </c>
      <c r="M258" s="511">
        <v>8.2291733862423375E-2</v>
      </c>
      <c r="N258" s="534">
        <v>0.13038963004257598</v>
      </c>
      <c r="O258" s="511">
        <v>-1.6084357178723221</v>
      </c>
      <c r="P258" s="534">
        <v>-0.87751790213496239</v>
      </c>
      <c r="Q258" s="511">
        <v>-0.46057220133585397</v>
      </c>
      <c r="R258" s="534">
        <v>2.191005818794842E-2</v>
      </c>
      <c r="S258" s="511">
        <v>0.17287627602975769</v>
      </c>
      <c r="T258" s="534">
        <v>2.9642623409329882E-2</v>
      </c>
      <c r="U258" s="511">
        <v>4.1602877085696391E-2</v>
      </c>
      <c r="V258" s="534">
        <v>2.6294415416104704E-2</v>
      </c>
      <c r="W258" s="511">
        <v>3.8254516965887476E-2</v>
      </c>
      <c r="X258" s="534">
        <v>0.87263935966823269</v>
      </c>
      <c r="Y258" s="511">
        <v>0.87404843345383221</v>
      </c>
      <c r="Z258" s="534">
        <v>2.191005818794842E-2</v>
      </c>
      <c r="AA258" s="511">
        <v>0.17287627602975769</v>
      </c>
      <c r="AB258" s="534">
        <v>23.058848262227965</v>
      </c>
      <c r="AC258" s="511">
        <v>0.31281461832707791</v>
      </c>
      <c r="AD258" s="534">
        <v>43.207244695305171</v>
      </c>
      <c r="AE258" s="511">
        <v>0.30925734748816891</v>
      </c>
      <c r="AF258" s="534">
        <v>40.291245340469004</v>
      </c>
      <c r="AG258" s="511">
        <v>0.31086018009536631</v>
      </c>
      <c r="AH258" s="534">
        <v>93.703656982526368</v>
      </c>
      <c r="AI258" s="511">
        <v>4.740318407416563</v>
      </c>
      <c r="AJ258" s="534">
        <v>70.964160129242657</v>
      </c>
      <c r="AK258" s="511">
        <v>0.27266667709918885</v>
      </c>
      <c r="AL258" s="534">
        <v>19.315493669587578</v>
      </c>
      <c r="AM258" s="511">
        <v>0.233840168455174</v>
      </c>
      <c r="AN258" s="534">
        <v>2.9450184394276338E-2</v>
      </c>
      <c r="AO258" s="511">
        <v>0.233840168455174</v>
      </c>
      <c r="AP258" s="534">
        <v>30.222089499361026</v>
      </c>
      <c r="AQ258" s="511">
        <v>0.3044797350751749</v>
      </c>
      <c r="AR258" s="534">
        <v>23.058848262227965</v>
      </c>
      <c r="AS258" s="511">
        <v>0.31281461832707791</v>
      </c>
      <c r="AT258" s="534">
        <v>65.876154830281735</v>
      </c>
      <c r="AU258" s="511">
        <v>-27.80920323589552</v>
      </c>
      <c r="AV258" s="534">
        <v>-13.366992347395319</v>
      </c>
      <c r="AW258" s="511">
        <v>11.027679486956245</v>
      </c>
      <c r="AX258" s="534">
        <v>43.318781326003027</v>
      </c>
      <c r="AY258" s="511">
        <v>0.19138573677011039</v>
      </c>
      <c r="AZ258" s="534">
        <v>65.876154830281735</v>
      </c>
      <c r="BA258" s="511">
        <v>-27.80920323589552</v>
      </c>
      <c r="BB258" s="534">
        <v>-18.910690036531971</v>
      </c>
      <c r="BC258" s="511">
        <v>11.39524603471849</v>
      </c>
      <c r="BD258" s="534">
        <v>-9.9665363187942848</v>
      </c>
      <c r="BE258" s="511">
        <v>2.3415958692700616</v>
      </c>
      <c r="BF258" s="534">
        <v>-17.242705603202065</v>
      </c>
      <c r="BG258" s="511">
        <v>2.6633331738890096</v>
      </c>
      <c r="BH258" s="534">
        <v>-14.944950224039873</v>
      </c>
      <c r="BI258" s="511">
        <v>1.5126135752474923</v>
      </c>
      <c r="BJ258" s="534">
        <v>50.158859215985835</v>
      </c>
      <c r="BK258" s="511">
        <v>0.19608881574725148</v>
      </c>
      <c r="BL258" s="534">
        <v>26.612895745386176</v>
      </c>
      <c r="BM258" s="511">
        <v>0.19801189794516857</v>
      </c>
      <c r="BN258" s="534">
        <v>35.474964720257731</v>
      </c>
      <c r="BO258" s="511">
        <v>0.11819071721262948</v>
      </c>
      <c r="BP258" s="534">
        <v>-11.051324028814291</v>
      </c>
      <c r="BQ258" s="511">
        <v>9.1429804490709934</v>
      </c>
      <c r="BR258" s="534">
        <v>5.558550536514912E-2</v>
      </c>
      <c r="BS258" s="511">
        <v>8.6538493265958021</v>
      </c>
      <c r="BT258" s="534">
        <v>38.218665624526629</v>
      </c>
      <c r="BU258" s="511">
        <v>0.90896298021494215</v>
      </c>
      <c r="BV258" s="534">
        <v>25.65771270400419</v>
      </c>
      <c r="BW258" s="511">
        <v>3.929058567798934</v>
      </c>
      <c r="BX258" s="534">
        <v>24.109109441243099</v>
      </c>
      <c r="BY258" s="511">
        <v>3.7916890767761133</v>
      </c>
      <c r="BZ258" s="534">
        <v>50.390712045733622</v>
      </c>
      <c r="CA258" s="511">
        <v>1.4348854447223365E-2</v>
      </c>
      <c r="CB258" s="534">
        <v>-18.910690036531971</v>
      </c>
      <c r="CC258" s="511">
        <v>11.39524603471849</v>
      </c>
      <c r="CD258" s="534">
        <v>23.058848262227965</v>
      </c>
      <c r="CE258" s="512">
        <v>0.31281461832707791</v>
      </c>
      <c r="CF258" s="560">
        <v>2.2685767656436324</v>
      </c>
      <c r="CG258" s="511">
        <v>2.4196450612929392</v>
      </c>
      <c r="CH258" s="560">
        <v>2.955993264028598</v>
      </c>
      <c r="CI258" s="511">
        <v>3.1070927926012213</v>
      </c>
      <c r="CJ258" s="560">
        <v>9.2072300632847792</v>
      </c>
      <c r="CK258" s="511">
        <v>9.3586136182083042</v>
      </c>
      <c r="CL258" s="560">
        <v>8.5305984756647906</v>
      </c>
      <c r="CM258" s="511">
        <v>8.6819512876798459</v>
      </c>
      <c r="CN258" s="560">
        <v>-4.8876557736326234</v>
      </c>
      <c r="CO258" s="511">
        <v>-4.7369126230193492</v>
      </c>
      <c r="CP258" s="560">
        <v>2.191005818794842E-2</v>
      </c>
      <c r="CQ258" s="511">
        <v>0.17287627602975769</v>
      </c>
      <c r="CR258" s="560">
        <v>65.876154830281735</v>
      </c>
      <c r="CS258" s="511">
        <v>-27.80920323589552</v>
      </c>
      <c r="CT258" s="560">
        <v>6.4908965949423392</v>
      </c>
      <c r="CU258" s="511">
        <v>11.027679486956245</v>
      </c>
      <c r="CV258" s="560">
        <v>8.7505481861317804</v>
      </c>
      <c r="CW258" s="511">
        <v>11.027679486956245</v>
      </c>
      <c r="CX258" s="560">
        <v>24.720085937197894</v>
      </c>
      <c r="CY258" s="511">
        <v>11.027679486956245</v>
      </c>
      <c r="CZ258" s="560">
        <v>24.322308207775386</v>
      </c>
      <c r="DA258" s="511">
        <v>11.027679486956245</v>
      </c>
      <c r="DB258" s="560">
        <v>-13.366992347395319</v>
      </c>
      <c r="DC258" s="511">
        <v>11.027679486956245</v>
      </c>
      <c r="DD258" s="560">
        <v>7.0397415236407274E-2</v>
      </c>
      <c r="DE258" s="511">
        <v>11.027679486956245</v>
      </c>
      <c r="DF258" s="560">
        <v>43.318781326003027</v>
      </c>
      <c r="DG258" s="511">
        <v>0.19138573677011039</v>
      </c>
      <c r="DH258" s="560">
        <v>43.406225801609615</v>
      </c>
      <c r="DI258" s="511">
        <v>0.19138573677011039</v>
      </c>
      <c r="DJ258" s="560">
        <v>43.904055858407126</v>
      </c>
      <c r="DK258" s="511">
        <v>0.19138573677011039</v>
      </c>
      <c r="DL258" s="560">
        <v>38.275334059924973</v>
      </c>
      <c r="DM258" s="511">
        <v>0.19138573677011039</v>
      </c>
      <c r="DN258" s="560">
        <v>19.446597210380645</v>
      </c>
      <c r="DO258" s="511">
        <v>0.19138573677011039</v>
      </c>
      <c r="DP258" s="560">
        <v>21.94686724320221</v>
      </c>
      <c r="DQ258" s="511">
        <v>0.19138573677011039</v>
      </c>
      <c r="DR258" s="560">
        <v>39.046799157664964</v>
      </c>
      <c r="DS258" s="511">
        <v>0.19138573677011039</v>
      </c>
      <c r="DT258" s="560">
        <v>39.05522194322976</v>
      </c>
      <c r="DU258" s="511">
        <v>0.19138573677011039</v>
      </c>
      <c r="DV258" s="560">
        <v>1.5556153686092147</v>
      </c>
      <c r="DW258" s="511">
        <v>0.19138573677011039</v>
      </c>
      <c r="DX258" s="560">
        <v>15.978815156952049</v>
      </c>
      <c r="DY258" s="511">
        <v>0.19138573677011039</v>
      </c>
      <c r="DZ258" s="560">
        <v>-5.7495832613971825</v>
      </c>
      <c r="EA258" s="511">
        <v>0.19138573677011039</v>
      </c>
      <c r="EB258" s="560">
        <v>9.1828685448491196</v>
      </c>
      <c r="EC258" s="511">
        <v>11.39524603471849</v>
      </c>
      <c r="ED258" s="560">
        <v>12.379666277726283</v>
      </c>
      <c r="EE258" s="511">
        <v>11.39524603471849</v>
      </c>
      <c r="EF258" s="560">
        <v>34.972256337520363</v>
      </c>
      <c r="EG258" s="511">
        <v>11.39524603471849</v>
      </c>
      <c r="EH258" s="560">
        <v>34.409508102984994</v>
      </c>
      <c r="EI258" s="511">
        <v>11.39524603471849</v>
      </c>
      <c r="EJ258" s="560">
        <v>-18.910690036531971</v>
      </c>
      <c r="EK258" s="511">
        <v>11.39524603471849</v>
      </c>
      <c r="EL258" s="560">
        <v>9.9593361341913211E-2</v>
      </c>
      <c r="EM258" s="511">
        <v>11.39524603471849</v>
      </c>
      <c r="EN258" s="560">
        <v>4.2654735908875621</v>
      </c>
      <c r="EO258" s="511">
        <v>4.4166326159935538</v>
      </c>
      <c r="EP258" s="560">
        <v>0.19725032907308906</v>
      </c>
      <c r="EQ258" s="511">
        <v>0.17360402575919484</v>
      </c>
      <c r="ER258" s="534">
        <v>0</v>
      </c>
      <c r="ES258" s="511">
        <v>0.40765119992860016</v>
      </c>
      <c r="ET258" s="534">
        <v>0</v>
      </c>
      <c r="EU258" s="511">
        <v>0.31645434820808771</v>
      </c>
      <c r="EV258" s="534">
        <v>0</v>
      </c>
      <c r="EW258" s="511">
        <v>0.36612010337319556</v>
      </c>
      <c r="EX258" s="560">
        <v>43.954482849691701</v>
      </c>
      <c r="EY258" s="511">
        <v>-0.42030172482318107</v>
      </c>
    </row>
    <row r="259" spans="1:155" x14ac:dyDescent="0.25">
      <c r="A259" s="601" t="s">
        <v>2</v>
      </c>
      <c r="B259" s="529">
        <v>5128.797594074691</v>
      </c>
      <c r="C259" s="515">
        <v>3518.1216982055284</v>
      </c>
      <c r="D259" s="529">
        <v>5128.797594074691</v>
      </c>
      <c r="E259" s="515">
        <v>4705.2062092868937</v>
      </c>
      <c r="F259" s="529">
        <v>2647.0313422240888</v>
      </c>
      <c r="G259" s="515">
        <v>19842.779219227745</v>
      </c>
      <c r="H259" s="529">
        <v>2647.0313422240888</v>
      </c>
      <c r="I259" s="515">
        <v>21029.863730309113</v>
      </c>
      <c r="J259" s="529">
        <v>5128.797594074691</v>
      </c>
      <c r="K259" s="515">
        <v>3518.1216982055284</v>
      </c>
      <c r="L259" s="529">
        <v>5178.7085171435074</v>
      </c>
      <c r="M259" s="515">
        <v>20295.281085088791</v>
      </c>
      <c r="N259" s="529">
        <v>4904.7650833168791</v>
      </c>
      <c r="O259" s="515">
        <v>-70770.923732379335</v>
      </c>
      <c r="P259" s="529">
        <v>7508.8370908977467</v>
      </c>
      <c r="Q259" s="515">
        <v>-10235.154271426742</v>
      </c>
      <c r="R259" s="529">
        <v>1872.8109595621627</v>
      </c>
      <c r="S259" s="515">
        <v>2485.1013141339899</v>
      </c>
      <c r="T259" s="529">
        <v>1490.1235231757119</v>
      </c>
      <c r="U259" s="515">
        <v>107649.48636328304</v>
      </c>
      <c r="V259" s="529">
        <v>1655.8275420532987</v>
      </c>
      <c r="W259" s="515">
        <v>62114.611433445323</v>
      </c>
      <c r="X259" s="529">
        <v>4770.5603670659084</v>
      </c>
      <c r="Y259" s="515">
        <v>49122.928250040881</v>
      </c>
      <c r="Z259" s="529">
        <v>1872.8109595621627</v>
      </c>
      <c r="AA259" s="515">
        <v>2485.1013141339899</v>
      </c>
      <c r="AB259" s="529">
        <v>16071.011919618652</v>
      </c>
      <c r="AC259" s="515">
        <v>13851.94698837153</v>
      </c>
      <c r="AD259" s="529">
        <v>6685.1113665042758</v>
      </c>
      <c r="AE259" s="515">
        <v>13804.757487478082</v>
      </c>
      <c r="AF259" s="529">
        <v>8172.7165361953957</v>
      </c>
      <c r="AG259" s="515">
        <v>13079.232658665624</v>
      </c>
      <c r="AH259" s="529">
        <v>17775.426650641915</v>
      </c>
      <c r="AI259" s="515">
        <v>12823.45231818627</v>
      </c>
      <c r="AJ259" s="529">
        <v>8041.7329576585198</v>
      </c>
      <c r="AK259" s="515">
        <v>12026.901048016327</v>
      </c>
      <c r="AL259" s="529">
        <v>43852.268664025942</v>
      </c>
      <c r="AM259" s="515">
        <v>10095.603421256108</v>
      </c>
      <c r="AN259" s="529">
        <v>1674.426674078964</v>
      </c>
      <c r="AO259" s="515">
        <v>10095.603421256108</v>
      </c>
      <c r="AP259" s="529">
        <v>9462.5645531916962</v>
      </c>
      <c r="AQ259" s="515">
        <v>12856.316384450678</v>
      </c>
      <c r="AR259" s="529">
        <v>16071.011919618652</v>
      </c>
      <c r="AS259" s="515">
        <v>13851.94698837153</v>
      </c>
      <c r="AT259" s="529">
        <v>31873.922831613498</v>
      </c>
      <c r="AU259" s="515">
        <v>29281.567579036378</v>
      </c>
      <c r="AV259" s="529">
        <v>9543.5133749066663</v>
      </c>
      <c r="AW259" s="515">
        <v>4536.4401376337091</v>
      </c>
      <c r="AX259" s="529">
        <v>54071.704086849706</v>
      </c>
      <c r="AY259" s="515">
        <v>8784.151989384598</v>
      </c>
      <c r="AZ259" s="529">
        <v>31873.922831613498</v>
      </c>
      <c r="BA259" s="515">
        <v>29281.567579036378</v>
      </c>
      <c r="BB259" s="529">
        <v>13501.49821306093</v>
      </c>
      <c r="BC259" s="515">
        <v>8131.8657743310723</v>
      </c>
      <c r="BD259" s="529">
        <v>7115.7198409289467</v>
      </c>
      <c r="BE259" s="515">
        <v>40015.363732001337</v>
      </c>
      <c r="BF259" s="529">
        <v>12310.622110575401</v>
      </c>
      <c r="BG259" s="515">
        <v>10277.747119469963</v>
      </c>
      <c r="BH259" s="529">
        <v>10670.114012463777</v>
      </c>
      <c r="BI259" s="515">
        <v>4660.4282447625328</v>
      </c>
      <c r="BJ259" s="529">
        <v>12454.76468160299</v>
      </c>
      <c r="BK259" s="515">
        <v>9566.0328867213302</v>
      </c>
      <c r="BL259" s="529">
        <v>18767.353707906539</v>
      </c>
      <c r="BM259" s="515">
        <v>8940.6635506358052</v>
      </c>
      <c r="BN259" s="529">
        <v>8808.6600170955298</v>
      </c>
      <c r="BO259" s="515">
        <v>4851.223678416125</v>
      </c>
      <c r="BP259" s="529">
        <v>7890.2161337713387</v>
      </c>
      <c r="BQ259" s="515">
        <v>19645.659782017123</v>
      </c>
      <c r="BR259" s="529">
        <v>4751.294713489774</v>
      </c>
      <c r="BS259" s="515">
        <v>16167.360658033345</v>
      </c>
      <c r="BT259" s="529">
        <v>23549.951102693325</v>
      </c>
      <c r="BU259" s="515">
        <v>32544.978375121718</v>
      </c>
      <c r="BV259" s="529">
        <v>2859.9980725508312</v>
      </c>
      <c r="BW259" s="515">
        <v>23858.241696645444</v>
      </c>
      <c r="BX259" s="529">
        <v>-9838.8670939677941</v>
      </c>
      <c r="BY259" s="515">
        <v>24551.554724310587</v>
      </c>
      <c r="BZ259" s="529">
        <v>12512.335218102595</v>
      </c>
      <c r="CA259" s="515">
        <v>804.71614091082142</v>
      </c>
      <c r="CB259" s="529">
        <v>13501.49821306093</v>
      </c>
      <c r="CC259" s="515">
        <v>8131.8657743310723</v>
      </c>
      <c r="CD259" s="529">
        <v>16071.011919618652</v>
      </c>
      <c r="CE259" s="227">
        <v>13851.94698837153</v>
      </c>
      <c r="CF259" s="556">
        <v>2249.2751810544892</v>
      </c>
      <c r="CG259" s="515">
        <v>2861.5826403629485</v>
      </c>
      <c r="CH259" s="556">
        <v>11799.892847591924</v>
      </c>
      <c r="CI259" s="515">
        <v>3744.8268418316643</v>
      </c>
      <c r="CJ259" s="556">
        <v>7547.9458089064328</v>
      </c>
      <c r="CK259" s="515">
        <v>3283.5611357428193</v>
      </c>
      <c r="CL259" s="556">
        <v>-4585.9796740299662</v>
      </c>
      <c r="CM259" s="515">
        <v>2637.2686276964919</v>
      </c>
      <c r="CN259" s="556">
        <v>3489.5963905217623</v>
      </c>
      <c r="CO259" s="515">
        <v>4101.960204103525</v>
      </c>
      <c r="CP259" s="556">
        <v>1872.8109595621627</v>
      </c>
      <c r="CQ259" s="515">
        <v>2485.1013141339899</v>
      </c>
      <c r="CR259" s="556">
        <v>31873.922831613498</v>
      </c>
      <c r="CS259" s="515">
        <v>29281.567579036378</v>
      </c>
      <c r="CT259" s="556">
        <v>6435.6705203461315</v>
      </c>
      <c r="CU259" s="515">
        <v>4536.4401376337091</v>
      </c>
      <c r="CV259" s="556">
        <v>9272.9949649369191</v>
      </c>
      <c r="CW259" s="515">
        <v>4536.4401376337091</v>
      </c>
      <c r="CX259" s="556">
        <v>4134.9703304911991</v>
      </c>
      <c r="CY259" s="515">
        <v>4536.4401376337091</v>
      </c>
      <c r="CZ259" s="556">
        <v>-6579.34232801689</v>
      </c>
      <c r="DA259" s="515">
        <v>4536.4401376337091</v>
      </c>
      <c r="DB259" s="556">
        <v>9543.5133749066663</v>
      </c>
      <c r="DC259" s="515">
        <v>4536.4401376337091</v>
      </c>
      <c r="DD259" s="556">
        <v>6017.3756568164117</v>
      </c>
      <c r="DE259" s="515">
        <v>4536.4401376337091</v>
      </c>
      <c r="DF259" s="556">
        <v>54071.704086849706</v>
      </c>
      <c r="DG259" s="515">
        <v>8784.151989384598</v>
      </c>
      <c r="DH259" s="556">
        <v>51529.500076967772</v>
      </c>
      <c r="DI259" s="515">
        <v>8784.151989384598</v>
      </c>
      <c r="DJ259" s="556">
        <v>51224.550659631277</v>
      </c>
      <c r="DK259" s="515">
        <v>8784.151989384598</v>
      </c>
      <c r="DL259" s="556">
        <v>79558.857694014179</v>
      </c>
      <c r="DM259" s="515">
        <v>8784.151989384598</v>
      </c>
      <c r="DN259" s="556">
        <v>5215.8215967893848</v>
      </c>
      <c r="DO259" s="515">
        <v>8784.151989384598</v>
      </c>
      <c r="DP259" s="556">
        <v>8015.8304095489748</v>
      </c>
      <c r="DQ259" s="515">
        <v>8784.151989384598</v>
      </c>
      <c r="DR259" s="556">
        <v>4502.8716576464458</v>
      </c>
      <c r="DS259" s="515">
        <v>8784.151989384598</v>
      </c>
      <c r="DT259" s="556">
        <v>-6196.7097259689926</v>
      </c>
      <c r="DU259" s="515">
        <v>8784.151989384598</v>
      </c>
      <c r="DV259" s="556">
        <v>9881.0574794684198</v>
      </c>
      <c r="DW259" s="515">
        <v>8784.151989384598</v>
      </c>
      <c r="DX259" s="556">
        <v>6391.2852634007731</v>
      </c>
      <c r="DY259" s="515">
        <v>8784.151989384598</v>
      </c>
      <c r="DZ259" s="556">
        <v>37706.604039604441</v>
      </c>
      <c r="EA259" s="515">
        <v>8784.151989384598</v>
      </c>
      <c r="EB259" s="556">
        <v>9104.7385398725855</v>
      </c>
      <c r="EC259" s="515">
        <v>8131.8657743310723</v>
      </c>
      <c r="ED259" s="556">
        <v>13118.787602688644</v>
      </c>
      <c r="EE259" s="515">
        <v>8131.8657743310723</v>
      </c>
      <c r="EF259" s="556">
        <v>10146.276045130675</v>
      </c>
      <c r="EG259" s="515">
        <v>15134.092035504898</v>
      </c>
      <c r="EH259" s="556">
        <v>8168.0398635668171</v>
      </c>
      <c r="EI259" s="515">
        <v>-16028.571318027931</v>
      </c>
      <c r="EJ259" s="556">
        <v>13501.49821306093</v>
      </c>
      <c r="EK259" s="515">
        <v>7027.5398143480797</v>
      </c>
      <c r="EL259" s="556">
        <v>8512.964092599459</v>
      </c>
      <c r="EM259" s="515">
        <v>8131.8657743310723</v>
      </c>
      <c r="EN259" s="556">
        <v>2932.7935602862717</v>
      </c>
      <c r="EO259" s="515">
        <v>3545.1320754061267</v>
      </c>
      <c r="EP259" s="556">
        <v>8749.012149015125</v>
      </c>
      <c r="EQ259" s="515">
        <v>21727.709252399654</v>
      </c>
      <c r="ER259" s="529">
        <v>0</v>
      </c>
      <c r="ES259" s="515">
        <v>16914.183347960872</v>
      </c>
      <c r="ET259" s="529">
        <v>0</v>
      </c>
      <c r="EU259" s="515">
        <v>13842.332539515368</v>
      </c>
      <c r="EV259" s="529">
        <v>0</v>
      </c>
      <c r="EW259" s="515">
        <v>16381.047623321043</v>
      </c>
      <c r="EX259" s="556">
        <v>10914.178455238718</v>
      </c>
      <c r="EY259" s="515">
        <v>-20709.997322465224</v>
      </c>
    </row>
    <row r="260" spans="1:155" x14ac:dyDescent="0.25">
      <c r="A260" s="601" t="s">
        <v>1405</v>
      </c>
      <c r="B260" s="529">
        <v>5152.2172278357893</v>
      </c>
      <c r="C260" s="515">
        <v>3531.9427133028357</v>
      </c>
      <c r="D260" s="529">
        <v>5152.2172278357893</v>
      </c>
      <c r="E260" s="515">
        <v>4720.7373633760944</v>
      </c>
      <c r="F260" s="529">
        <v>2658.9674599885434</v>
      </c>
      <c r="G260" s="515">
        <v>19879.283692010496</v>
      </c>
      <c r="H260" s="529">
        <v>2658.9674599885434</v>
      </c>
      <c r="I260" s="515">
        <v>21068.078342083762</v>
      </c>
      <c r="J260" s="529">
        <v>5152.2172278357893</v>
      </c>
      <c r="K260" s="515">
        <v>3531.9427133028357</v>
      </c>
      <c r="L260" s="529">
        <v>5230.3178562006451</v>
      </c>
      <c r="M260" s="515">
        <v>20332.154080365108</v>
      </c>
      <c r="N260" s="529">
        <v>4952.9447651093051</v>
      </c>
      <c r="O260" s="515">
        <v>-70809.304607919839</v>
      </c>
      <c r="P260" s="529">
        <v>7377.8397045996307</v>
      </c>
      <c r="Q260" s="515">
        <v>-10295.250357493102</v>
      </c>
      <c r="R260" s="529">
        <v>1881.152230341492</v>
      </c>
      <c r="S260" s="515">
        <v>2501.6120784936347</v>
      </c>
      <c r="T260" s="529">
        <v>1515.6993338566845</v>
      </c>
      <c r="U260" s="515">
        <v>107679.9935891621</v>
      </c>
      <c r="V260" s="529">
        <v>1673.9407807925979</v>
      </c>
      <c r="W260" s="515">
        <v>62137.655748319077</v>
      </c>
      <c r="X260" s="529">
        <v>4828.4726943397982</v>
      </c>
      <c r="Y260" s="515">
        <v>49185.070695438699</v>
      </c>
      <c r="Z260" s="529">
        <v>1881.152230341492</v>
      </c>
      <c r="AA260" s="515">
        <v>2501.6120784936347</v>
      </c>
      <c r="AB260" s="529">
        <v>16094.339661994703</v>
      </c>
      <c r="AC260" s="515">
        <v>13923.881336940529</v>
      </c>
      <c r="AD260" s="529">
        <v>6725.6350345968667</v>
      </c>
      <c r="AE260" s="515">
        <v>13840.179268363292</v>
      </c>
      <c r="AF260" s="529">
        <v>8237.4734189988558</v>
      </c>
      <c r="AG260" s="515">
        <v>13305.759521144482</v>
      </c>
      <c r="AH260" s="529">
        <v>17897.083828053106</v>
      </c>
      <c r="AI260" s="515">
        <v>13245.996003214485</v>
      </c>
      <c r="AJ260" s="529">
        <v>8100.8941868212933</v>
      </c>
      <c r="AK260" s="515">
        <v>12130.411044089142</v>
      </c>
      <c r="AL260" s="529">
        <v>44033.884223328925</v>
      </c>
      <c r="AM260" s="515">
        <v>10113.638820051781</v>
      </c>
      <c r="AN260" s="529">
        <v>1677.060520685355</v>
      </c>
      <c r="AO260" s="515">
        <v>10113.638820051781</v>
      </c>
      <c r="AP260" s="529">
        <v>9529.7775610675144</v>
      </c>
      <c r="AQ260" s="515">
        <v>12958.173342398393</v>
      </c>
      <c r="AR260" s="529">
        <v>16094.339661994703</v>
      </c>
      <c r="AS260" s="515">
        <v>13923.881336940529</v>
      </c>
      <c r="AT260" s="529">
        <v>31989.684792283399</v>
      </c>
      <c r="AU260" s="515">
        <v>29269.982520368416</v>
      </c>
      <c r="AV260" s="529">
        <v>9594.5068874490826</v>
      </c>
      <c r="AW260" s="515">
        <v>4960.3077416889528</v>
      </c>
      <c r="AX260" s="529">
        <v>54358.993136217337</v>
      </c>
      <c r="AY260" s="515">
        <v>8996.6394911957304</v>
      </c>
      <c r="AZ260" s="529">
        <v>31989.684792283399</v>
      </c>
      <c r="BA260" s="515">
        <v>29269.982520368416</v>
      </c>
      <c r="BB260" s="529">
        <v>13573.640283954803</v>
      </c>
      <c r="BC260" s="515">
        <v>8434.6206673176403</v>
      </c>
      <c r="BD260" s="529">
        <v>7153.7410114038385</v>
      </c>
      <c r="BE260" s="515">
        <v>40190.337095583585</v>
      </c>
      <c r="BF260" s="529">
        <v>12376.401015926043</v>
      </c>
      <c r="BG260" s="515">
        <v>10497.342255445838</v>
      </c>
      <c r="BH260" s="529">
        <v>10727.127249764229</v>
      </c>
      <c r="BI260" s="515">
        <v>4789.0103096634984</v>
      </c>
      <c r="BJ260" s="529">
        <v>17481.042353050187</v>
      </c>
      <c r="BK260" s="515">
        <v>9578.9928523482122</v>
      </c>
      <c r="BL260" s="529">
        <v>18879.165964437438</v>
      </c>
      <c r="BM260" s="515">
        <v>8953.2989833999163</v>
      </c>
      <c r="BN260" s="529">
        <v>12363.506077310178</v>
      </c>
      <c r="BO260" s="515">
        <v>4859.426813390347</v>
      </c>
      <c r="BP260" s="529">
        <v>7932.3756424945905</v>
      </c>
      <c r="BQ260" s="515">
        <v>19753.574899083917</v>
      </c>
      <c r="BR260" s="529">
        <v>4772.4563985788454</v>
      </c>
      <c r="BS260" s="515">
        <v>16265.098076176842</v>
      </c>
      <c r="BT260" s="529">
        <v>23617.111483840054</v>
      </c>
      <c r="BU260" s="515">
        <v>32606.355373310733</v>
      </c>
      <c r="BV260" s="529">
        <v>2908.6146420925352</v>
      </c>
      <c r="BW260" s="515">
        <v>23966.189691408086</v>
      </c>
      <c r="BX260" s="529">
        <v>-9800.9953893978472</v>
      </c>
      <c r="BY260" s="515">
        <v>24657.647436836316</v>
      </c>
      <c r="BZ260" s="529">
        <v>17561.846207042221</v>
      </c>
      <c r="CA260" s="515">
        <v>806.59448719000852</v>
      </c>
      <c r="CB260" s="529">
        <v>13573.640283954803</v>
      </c>
      <c r="CC260" s="515">
        <v>8434.6206673176403</v>
      </c>
      <c r="CD260" s="529">
        <v>16094.339661994703</v>
      </c>
      <c r="CE260" s="227">
        <v>13923.881336940529</v>
      </c>
      <c r="CF260" s="556">
        <v>2262.3858905806169</v>
      </c>
      <c r="CG260" s="530">
        <v>2882.8630601699142</v>
      </c>
      <c r="CH260" s="556">
        <v>11817.206265190391</v>
      </c>
      <c r="CI260" s="530">
        <v>3770.3101606619548</v>
      </c>
      <c r="CJ260" s="556">
        <v>7565.3917888276401</v>
      </c>
      <c r="CK260" s="530">
        <v>3309.1770229188496</v>
      </c>
      <c r="CL260" s="556">
        <v>-4572.5794152579629</v>
      </c>
      <c r="CM260" s="530">
        <v>2658.8386099050686</v>
      </c>
      <c r="CN260" s="556">
        <v>3508.2422256893356</v>
      </c>
      <c r="CO260" s="530">
        <v>4128.7760010416159</v>
      </c>
      <c r="CP260" s="556">
        <v>1881.152230341492</v>
      </c>
      <c r="CQ260" s="530">
        <v>2501.6120784936347</v>
      </c>
      <c r="CR260" s="556">
        <v>31989.684792283399</v>
      </c>
      <c r="CS260" s="515">
        <v>29269.982520368416</v>
      </c>
      <c r="CT260" s="556">
        <v>6473.1831410822761</v>
      </c>
      <c r="CU260" s="515">
        <v>4960.3077416889528</v>
      </c>
      <c r="CV260" s="556">
        <v>9324.2474142593237</v>
      </c>
      <c r="CW260" s="515">
        <v>4960.3077416889528</v>
      </c>
      <c r="CX260" s="556">
        <v>4181.8102725743884</v>
      </c>
      <c r="CY260" s="515">
        <v>4960.3077416889528</v>
      </c>
      <c r="CZ260" s="556">
        <v>-6541.1357209603757</v>
      </c>
      <c r="DA260" s="515">
        <v>4960.3077416889528</v>
      </c>
      <c r="DB260" s="556">
        <v>9594.5068874490826</v>
      </c>
      <c r="DC260" s="515">
        <v>4960.3077416889528</v>
      </c>
      <c r="DD260" s="556">
        <v>6044.1763114570631</v>
      </c>
      <c r="DE260" s="515">
        <v>4960.3077416889528</v>
      </c>
      <c r="DF260" s="556">
        <v>54358.993136217337</v>
      </c>
      <c r="DG260" s="515">
        <v>8996.6394911957304</v>
      </c>
      <c r="DH260" s="556">
        <v>51813.252754129528</v>
      </c>
      <c r="DI260" s="515">
        <v>8996.6394911957304</v>
      </c>
      <c r="DJ260" s="556">
        <v>51509.381438628778</v>
      </c>
      <c r="DK260" s="515">
        <v>8996.6394911957304</v>
      </c>
      <c r="DL260" s="556">
        <v>79868.756322539004</v>
      </c>
      <c r="DM260" s="515">
        <v>8996.6394911957304</v>
      </c>
      <c r="DN260" s="556">
        <v>5646.0523417736931</v>
      </c>
      <c r="DO260" s="515">
        <v>8996.6394911957304</v>
      </c>
      <c r="DP260" s="556">
        <v>8460.343230214432</v>
      </c>
      <c r="DQ260" s="515">
        <v>8996.6394911957304</v>
      </c>
      <c r="DR260" s="556">
        <v>4945.1745673226078</v>
      </c>
      <c r="DS260" s="515">
        <v>8996.6394911957304</v>
      </c>
      <c r="DT260" s="556">
        <v>-5761.9961320879365</v>
      </c>
      <c r="DU260" s="515">
        <v>8996.6394911957304</v>
      </c>
      <c r="DV260" s="556">
        <v>10327.687351724435</v>
      </c>
      <c r="DW260" s="515">
        <v>8996.6394911957304</v>
      </c>
      <c r="DX260" s="556">
        <v>6816.5382337064866</v>
      </c>
      <c r="DY260" s="515">
        <v>8996.6394911957304</v>
      </c>
      <c r="DZ260" s="556">
        <v>38118.438754188464</v>
      </c>
      <c r="EA260" s="515">
        <v>8996.6394911957304</v>
      </c>
      <c r="EB260" s="556">
        <v>9157.8087837062667</v>
      </c>
      <c r="EC260" s="515">
        <v>8434.6206673176403</v>
      </c>
      <c r="ED260" s="556">
        <v>13191.295999309214</v>
      </c>
      <c r="EE260" s="515">
        <v>8434.6206673176403</v>
      </c>
      <c r="EF260" s="556">
        <v>10212.541933749735</v>
      </c>
      <c r="EG260" s="515">
        <v>15436.846928491466</v>
      </c>
      <c r="EH260" s="556">
        <v>8222.0919109246588</v>
      </c>
      <c r="EI260" s="515">
        <v>-15725.816425041363</v>
      </c>
      <c r="EJ260" s="556">
        <v>13573.640283954803</v>
      </c>
      <c r="EK260" s="515">
        <v>7330.2947073346477</v>
      </c>
      <c r="EL260" s="556">
        <v>8550.8797926697334</v>
      </c>
      <c r="EM260" s="515">
        <v>8434.6206673176403</v>
      </c>
      <c r="EN260" s="556">
        <v>2950.53269668536</v>
      </c>
      <c r="EO260" s="530">
        <v>3571.0411323796698</v>
      </c>
      <c r="EP260" s="556">
        <v>8797.2384875682292</v>
      </c>
      <c r="EQ260" s="530">
        <v>21741.2573962592</v>
      </c>
      <c r="ER260" s="529">
        <v>0</v>
      </c>
      <c r="ES260" s="515">
        <v>16944.448094921718</v>
      </c>
      <c r="ET260" s="529">
        <v>0</v>
      </c>
      <c r="EU260" s="515">
        <v>13875.367674316332</v>
      </c>
      <c r="EV260" s="529">
        <v>0</v>
      </c>
      <c r="EW260" s="515">
        <v>16414.691970618453</v>
      </c>
      <c r="EX260" s="556">
        <v>15318.733087474126</v>
      </c>
      <c r="EY260" s="515">
        <v>-20726.854024356118</v>
      </c>
    </row>
    <row r="261" spans="1:155" x14ac:dyDescent="0.25">
      <c r="A261" s="600" t="s">
        <v>797</v>
      </c>
      <c r="B261" s="538">
        <v>7893.5985454856827</v>
      </c>
      <c r="C261" s="539">
        <v>3785.0698441177528</v>
      </c>
      <c r="D261" s="538">
        <v>7893.5985454856827</v>
      </c>
      <c r="E261" s="539">
        <v>5075.8898905145597</v>
      </c>
      <c r="F261" s="538">
        <v>2764.5696993332867</v>
      </c>
      <c r="G261" s="539">
        <v>21591.770683834176</v>
      </c>
      <c r="H261" s="538">
        <v>2764.5696993332867</v>
      </c>
      <c r="I261" s="539">
        <v>22882.590730230986</v>
      </c>
      <c r="J261" s="538">
        <v>7893.5985454856827</v>
      </c>
      <c r="K261" s="539">
        <v>3785.0698441177528</v>
      </c>
      <c r="L261" s="538">
        <v>9239.9406928763474</v>
      </c>
      <c r="M261" s="539">
        <v>22521.763728154139</v>
      </c>
      <c r="N261" s="538">
        <v>8920.6197625521745</v>
      </c>
      <c r="O261" s="539">
        <v>-71344.716956240998</v>
      </c>
      <c r="P261" s="538">
        <v>19387.731045158052</v>
      </c>
      <c r="Q261" s="539">
        <v>-3794.3011730655571</v>
      </c>
      <c r="R261" s="538">
        <v>1955.3763819659216</v>
      </c>
      <c r="S261" s="539">
        <v>2647.5791196270238</v>
      </c>
      <c r="T261" s="538">
        <v>5923.9511289891816</v>
      </c>
      <c r="U261" s="539">
        <v>112122.23646719448</v>
      </c>
      <c r="V261" s="538">
        <v>4205.5545414048911</v>
      </c>
      <c r="W261" s="539">
        <v>64703.1753263598</v>
      </c>
      <c r="X261" s="538">
        <v>8924.038923261247</v>
      </c>
      <c r="Y261" s="539">
        <v>53264.91409001725</v>
      </c>
      <c r="Z261" s="538">
        <v>1955.3763819659216</v>
      </c>
      <c r="AA261" s="539">
        <v>2647.5791196270238</v>
      </c>
      <c r="AB261" s="538">
        <v>22567.569563375328</v>
      </c>
      <c r="AC261" s="539">
        <v>15163.094923077962</v>
      </c>
      <c r="AD261" s="538">
        <v>18910.604042748422</v>
      </c>
      <c r="AE261" s="539">
        <v>18252.013492178707</v>
      </c>
      <c r="AF261" s="538">
        <v>19808.795885669966</v>
      </c>
      <c r="AG261" s="539">
        <v>14540.677883202374</v>
      </c>
      <c r="AH261" s="538">
        <v>44500.578405824723</v>
      </c>
      <c r="AI261" s="539">
        <v>15938.13806398262</v>
      </c>
      <c r="AJ261" s="538">
        <v>27971.071857810963</v>
      </c>
      <c r="AK261" s="539">
        <v>13231.124565607017</v>
      </c>
      <c r="AL261" s="538">
        <v>66834.85847171658</v>
      </c>
      <c r="AM261" s="539">
        <v>11077.979250698841</v>
      </c>
      <c r="AN261" s="538">
        <v>1781.3981659743954</v>
      </c>
      <c r="AO261" s="539">
        <v>11077.979250698841</v>
      </c>
      <c r="AP261" s="538">
        <v>18314.111305366827</v>
      </c>
      <c r="AQ261" s="539">
        <v>14166.664167014023</v>
      </c>
      <c r="AR261" s="538">
        <v>22567.569563375328</v>
      </c>
      <c r="AS261" s="539">
        <v>15163.094923077962</v>
      </c>
      <c r="AT261" s="538">
        <v>50978.386442153693</v>
      </c>
      <c r="AU261" s="539">
        <v>24333.961471416966</v>
      </c>
      <c r="AV261" s="538">
        <v>6438.9928871188022</v>
      </c>
      <c r="AW261" s="539">
        <v>8580.8880614593163</v>
      </c>
      <c r="AX261" s="538">
        <v>69380.432171357228</v>
      </c>
      <c r="AY261" s="539">
        <v>9751.4880425764222</v>
      </c>
      <c r="AZ261" s="538">
        <v>50978.386442153693</v>
      </c>
      <c r="BA261" s="539">
        <v>24333.961471416966</v>
      </c>
      <c r="BB261" s="538">
        <v>9109.4387930479279</v>
      </c>
      <c r="BC261" s="539">
        <v>12404.10384529041</v>
      </c>
      <c r="BD261" s="538">
        <v>4800.964554934646</v>
      </c>
      <c r="BE261" s="539">
        <v>44721.511975345478</v>
      </c>
      <c r="BF261" s="538">
        <v>8305.9566316977762</v>
      </c>
      <c r="BG261" s="539">
        <v>12057.039058301192</v>
      </c>
      <c r="BH261" s="538">
        <v>7199.108497259569</v>
      </c>
      <c r="BI261" s="539">
        <v>5630.0813734009589</v>
      </c>
      <c r="BJ261" s="538">
        <v>35056.51205288629</v>
      </c>
      <c r="BK261" s="539">
        <v>10440.413930426608</v>
      </c>
      <c r="BL261" s="538">
        <v>27093.981548180876</v>
      </c>
      <c r="BM261" s="539">
        <v>9814.3033326289606</v>
      </c>
      <c r="BN261" s="538">
        <v>24793.796105615605</v>
      </c>
      <c r="BO261" s="539">
        <v>5330.3014115176593</v>
      </c>
      <c r="BP261" s="538">
        <v>5323.5159387703507</v>
      </c>
      <c r="BQ261" s="539">
        <v>23911.827283187042</v>
      </c>
      <c r="BR261" s="538">
        <v>4960.7620134225681</v>
      </c>
      <c r="BS261" s="539">
        <v>19965.748953595794</v>
      </c>
      <c r="BT261" s="538">
        <v>34633.583845804504</v>
      </c>
      <c r="BU261" s="539">
        <v>35711.095803317789</v>
      </c>
      <c r="BV261" s="538">
        <v>10363.305823549101</v>
      </c>
      <c r="BW261" s="539">
        <v>27143.107325634777</v>
      </c>
      <c r="BX261" s="538">
        <v>-2860.2596426921309</v>
      </c>
      <c r="BY261" s="539">
        <v>27851.712699705964</v>
      </c>
      <c r="BZ261" s="538">
        <v>35218.556239049896</v>
      </c>
      <c r="CA261" s="539">
        <v>858.46668802303827</v>
      </c>
      <c r="CB261" s="538">
        <v>9109.4387930479279</v>
      </c>
      <c r="CC261" s="539">
        <v>12404.10384529041</v>
      </c>
      <c r="CD261" s="538">
        <v>22567.569563375328</v>
      </c>
      <c r="CE261" s="540">
        <v>15163.094923077962</v>
      </c>
      <c r="CF261" s="602">
        <v>2981.2293330159196</v>
      </c>
      <c r="CG261" s="539">
        <v>3673.4786805367353</v>
      </c>
      <c r="CH261" s="602">
        <v>12750.086101149622</v>
      </c>
      <c r="CI261" s="539">
        <v>4774.9718993444158</v>
      </c>
      <c r="CJ261" s="602">
        <v>10240.496056703367</v>
      </c>
      <c r="CK261" s="539">
        <v>6056.1423518769807</v>
      </c>
      <c r="CL261" s="602">
        <v>-2116.7180768232643</v>
      </c>
      <c r="CM261" s="539">
        <v>5186.5510480703297</v>
      </c>
      <c r="CN261" s="602">
        <v>2354.4249853062965</v>
      </c>
      <c r="CO261" s="539">
        <v>3046.6458538305023</v>
      </c>
      <c r="CP261" s="602">
        <v>1955.3763819659216</v>
      </c>
      <c r="CQ261" s="539">
        <v>2647.5791196270238</v>
      </c>
      <c r="CR261" s="602">
        <v>50978.386442153693</v>
      </c>
      <c r="CS261" s="603">
        <v>24333.961471416966</v>
      </c>
      <c r="CT261" s="602">
        <v>8529.9521794780885</v>
      </c>
      <c r="CU261" s="603">
        <v>8580.8880614593163</v>
      </c>
      <c r="CV261" s="602">
        <v>12085.826764175254</v>
      </c>
      <c r="CW261" s="603">
        <v>8580.8880614593163</v>
      </c>
      <c r="CX261" s="602">
        <v>11364.079743232171</v>
      </c>
      <c r="CY261" s="603">
        <v>8580.8880614593163</v>
      </c>
      <c r="CZ261" s="602">
        <v>460.97750232242288</v>
      </c>
      <c r="DA261" s="603">
        <v>8580.8880614593163</v>
      </c>
      <c r="DB261" s="602">
        <v>6438.9928871188022</v>
      </c>
      <c r="DC261" s="603">
        <v>8580.8880614593163</v>
      </c>
      <c r="DD261" s="602">
        <v>6282.659859864485</v>
      </c>
      <c r="DE261" s="603">
        <v>8580.8880614593163</v>
      </c>
      <c r="DF261" s="602">
        <v>69380.432171357228</v>
      </c>
      <c r="DG261" s="603">
        <v>9751.4880425764222</v>
      </c>
      <c r="DH261" s="602">
        <v>66723.265984634316</v>
      </c>
      <c r="DI261" s="603">
        <v>9751.4880425764222</v>
      </c>
      <c r="DJ261" s="602">
        <v>66525.425647558499</v>
      </c>
      <c r="DK261" s="603">
        <v>9751.4880425764222</v>
      </c>
      <c r="DL261" s="602">
        <v>94986.462733861626</v>
      </c>
      <c r="DM261" s="603">
        <v>9751.4880425764222</v>
      </c>
      <c r="DN261" s="602">
        <v>11517.321916406585</v>
      </c>
      <c r="DO261" s="603">
        <v>9751.4880425764222</v>
      </c>
      <c r="DP261" s="602">
        <v>15113.954952786276</v>
      </c>
      <c r="DQ261" s="603">
        <v>9751.4880425764222</v>
      </c>
      <c r="DR261" s="602">
        <v>16383.679347541987</v>
      </c>
      <c r="DS261" s="603">
        <v>9751.4880425764222</v>
      </c>
      <c r="DT261" s="602">
        <v>5627.4528035553149</v>
      </c>
      <c r="DU261" s="603">
        <v>9751.4880425764222</v>
      </c>
      <c r="DV261" s="602">
        <v>11596.144412610889</v>
      </c>
      <c r="DW261" s="603">
        <v>9751.4880425764222</v>
      </c>
      <c r="DX261" s="602">
        <v>11807.070219483809</v>
      </c>
      <c r="DY261" s="603">
        <v>9751.4880425764222</v>
      </c>
      <c r="DZ261" s="602">
        <v>-14988.251601328579</v>
      </c>
      <c r="EA261" s="603">
        <v>9751.4880425764222</v>
      </c>
      <c r="EB261" s="602">
        <v>12067.582407495178</v>
      </c>
      <c r="EC261" s="603">
        <v>12404.10384529041</v>
      </c>
      <c r="ED261" s="602">
        <v>17098.186176269912</v>
      </c>
      <c r="EE261" s="603">
        <v>12404.10384529041</v>
      </c>
      <c r="EF261" s="602">
        <v>20373.516683235692</v>
      </c>
      <c r="EG261" s="603">
        <v>19406.330106464236</v>
      </c>
      <c r="EH261" s="602">
        <v>18128.194145808109</v>
      </c>
      <c r="EI261" s="603">
        <v>-11756.333247068593</v>
      </c>
      <c r="EJ261" s="602">
        <v>9109.4387930479279</v>
      </c>
      <c r="EK261" s="603">
        <v>11299.777885307416</v>
      </c>
      <c r="EL261" s="602">
        <v>8888.269711474004</v>
      </c>
      <c r="EM261" s="603">
        <v>12404.10384529041</v>
      </c>
      <c r="EN261" s="602">
        <v>4253.852537581829</v>
      </c>
      <c r="EO261" s="539">
        <v>4946.1597070243661</v>
      </c>
      <c r="EP261" s="602">
        <v>9148.0491607273052</v>
      </c>
      <c r="EQ261" s="539">
        <v>21854.669602535498</v>
      </c>
      <c r="ER261" s="538">
        <v>0</v>
      </c>
      <c r="ES261" s="539">
        <v>18514.611773687</v>
      </c>
      <c r="ET261" s="538">
        <v>0</v>
      </c>
      <c r="EU261" s="539">
        <v>15020.609868704951</v>
      </c>
      <c r="EV261" s="538">
        <v>0</v>
      </c>
      <c r="EW261" s="539">
        <v>17880.952838959438</v>
      </c>
      <c r="EX261" s="602">
        <v>30720.213375736283</v>
      </c>
      <c r="EY261" s="603">
        <v>-22085.068808792184</v>
      </c>
    </row>
    <row r="263" spans="1:155" ht="15.75" x14ac:dyDescent="0.25">
      <c r="A263" s="523" t="s">
        <v>1428</v>
      </c>
    </row>
    <row r="264" spans="1:155" s="26" customFormat="1" ht="75" x14ac:dyDescent="0.25">
      <c r="A264" s="196"/>
      <c r="B264" s="612" t="s">
        <v>1580</v>
      </c>
      <c r="C264" s="604" t="s">
        <v>1611</v>
      </c>
      <c r="D264" s="604" t="s">
        <v>1276</v>
      </c>
      <c r="E264" s="604" t="s">
        <v>1603</v>
      </c>
      <c r="F264" s="604" t="s">
        <v>1612</v>
      </c>
      <c r="G264" s="604" t="s">
        <v>1277</v>
      </c>
      <c r="H264" s="604" t="s">
        <v>1604</v>
      </c>
      <c r="I264" s="604" t="s">
        <v>1613</v>
      </c>
      <c r="J264" s="604" t="s">
        <v>1614</v>
      </c>
      <c r="K264" s="604" t="s">
        <v>1615</v>
      </c>
      <c r="L264" s="604" t="s">
        <v>1616</v>
      </c>
      <c r="M264" s="604" t="s">
        <v>206</v>
      </c>
      <c r="N264" s="604" t="s">
        <v>1617</v>
      </c>
      <c r="O264" s="604" t="s">
        <v>1618</v>
      </c>
      <c r="P264" s="604" t="s">
        <v>1619</v>
      </c>
      <c r="Q264" s="604" t="s">
        <v>1620</v>
      </c>
      <c r="R264" s="604" t="s">
        <v>1621</v>
      </c>
      <c r="S264" s="604" t="s">
        <v>1622</v>
      </c>
      <c r="T264" s="604" t="s">
        <v>1623</v>
      </c>
      <c r="U264" s="604" t="s">
        <v>222</v>
      </c>
      <c r="V264" s="604" t="s">
        <v>1581</v>
      </c>
      <c r="W264" s="604" t="s">
        <v>1582</v>
      </c>
      <c r="X264" s="604" t="s">
        <v>1583</v>
      </c>
      <c r="Y264" s="604" t="s">
        <v>1584</v>
      </c>
      <c r="Z264" s="604" t="s">
        <v>1585</v>
      </c>
      <c r="AA264" s="604" t="s">
        <v>1586</v>
      </c>
      <c r="AB264" s="604" t="s">
        <v>1624</v>
      </c>
      <c r="AC264" s="604" t="s">
        <v>1625</v>
      </c>
      <c r="AD264" s="604" t="s">
        <v>1587</v>
      </c>
      <c r="AE264" s="604" t="s">
        <v>1588</v>
      </c>
      <c r="AF264" s="604" t="s">
        <v>1589</v>
      </c>
      <c r="AG264" s="604" t="s">
        <v>1590</v>
      </c>
      <c r="AH264" s="604" t="s">
        <v>1591</v>
      </c>
      <c r="AI264" s="604" t="s">
        <v>1592</v>
      </c>
      <c r="AJ264" s="604" t="s">
        <v>1593</v>
      </c>
      <c r="AK264" s="604" t="s">
        <v>1594</v>
      </c>
      <c r="AL264" s="604" t="s">
        <v>1595</v>
      </c>
      <c r="AM264" s="604" t="s">
        <v>1596</v>
      </c>
      <c r="AN264" s="605" t="s">
        <v>1597</v>
      </c>
    </row>
    <row r="265" spans="1:155" s="26" customFormat="1" x14ac:dyDescent="0.25">
      <c r="A265" s="613" t="s">
        <v>1427</v>
      </c>
      <c r="B265" s="326"/>
      <c r="C265" s="252"/>
      <c r="D265" s="252"/>
      <c r="E265" s="252"/>
      <c r="F265" s="252"/>
      <c r="G265" s="252"/>
      <c r="H265" s="252"/>
      <c r="I265" s="252"/>
      <c r="J265" s="252"/>
      <c r="K265" s="252"/>
      <c r="L265" s="252"/>
      <c r="M265" s="252"/>
      <c r="N265" s="252"/>
      <c r="O265" s="252"/>
      <c r="P265" s="252"/>
      <c r="Q265" s="252"/>
      <c r="R265" s="252"/>
      <c r="S265" s="252"/>
      <c r="T265" s="252"/>
      <c r="U265" s="252"/>
      <c r="V265" s="252"/>
      <c r="W265" s="252"/>
      <c r="X265" s="252"/>
      <c r="Y265" s="252"/>
      <c r="Z265" s="252"/>
      <c r="AA265" s="252"/>
      <c r="AB265" s="252"/>
      <c r="AC265" s="252"/>
      <c r="AD265" s="252"/>
      <c r="AE265" s="252"/>
      <c r="AF265" s="252"/>
      <c r="AG265" s="252"/>
      <c r="AH265" s="252"/>
      <c r="AI265" s="252"/>
      <c r="AJ265" s="252"/>
      <c r="AK265" s="252"/>
      <c r="AL265" s="252"/>
      <c r="AM265" s="252"/>
      <c r="AN265" s="614"/>
    </row>
    <row r="266" spans="1:155" x14ac:dyDescent="0.25">
      <c r="A266" s="606" t="s">
        <v>1400</v>
      </c>
      <c r="B266" s="615" t="s">
        <v>1599</v>
      </c>
      <c r="C266" s="590">
        <v>62492.160949955993</v>
      </c>
      <c r="D266" s="590">
        <v>62492.160949955993</v>
      </c>
      <c r="E266" s="590">
        <v>62492.160949955993</v>
      </c>
      <c r="F266" s="590">
        <v>62492.160949955993</v>
      </c>
      <c r="G266" s="590">
        <v>62492.160949955993</v>
      </c>
      <c r="H266" s="590">
        <v>62492.160949955993</v>
      </c>
      <c r="I266" s="590">
        <v>62492.160949955993</v>
      </c>
      <c r="J266" s="590">
        <v>62492.160949955993</v>
      </c>
      <c r="K266" s="590">
        <v>62492.160949955993</v>
      </c>
      <c r="L266" s="590">
        <v>80121.426606815687</v>
      </c>
      <c r="M266" s="590">
        <v>81267.599187548243</v>
      </c>
      <c r="N266" s="590">
        <v>22663.448184743684</v>
      </c>
      <c r="O266" s="590">
        <v>1199.2391596110117</v>
      </c>
      <c r="P266" s="590">
        <v>63925.942260127966</v>
      </c>
      <c r="Q266" s="590">
        <v>49502.918741794419</v>
      </c>
      <c r="R266" s="590">
        <v>43677.817838481547</v>
      </c>
      <c r="S266" s="590">
        <v>24410.723466735904</v>
      </c>
      <c r="T266" s="590">
        <v>541.31006287035973</v>
      </c>
      <c r="U266" s="590">
        <v>47734.261686469501</v>
      </c>
      <c r="V266" s="227">
        <v>1059704.9489521638</v>
      </c>
      <c r="W266" s="227">
        <v>81457.582678236606</v>
      </c>
      <c r="X266" s="227">
        <v>642962.2199679683</v>
      </c>
      <c r="Y266" s="227">
        <v>138329.14206437356</v>
      </c>
      <c r="Z266" s="227">
        <v>20050.130281833102</v>
      </c>
      <c r="AA266" s="227">
        <v>24415.717497470723</v>
      </c>
      <c r="AB266" s="227">
        <v>2148535.6236277586</v>
      </c>
      <c r="AC266" s="227">
        <v>2965508.5359895481</v>
      </c>
      <c r="AD266" s="227">
        <v>1435395.3011337011</v>
      </c>
      <c r="AE266" s="227">
        <v>2172070.5645028222</v>
      </c>
      <c r="AF266" s="227">
        <v>2528291.4198504137</v>
      </c>
      <c r="AG266" s="227">
        <v>2010362.2873091372</v>
      </c>
      <c r="AH266" s="227">
        <v>2208679.1857919479</v>
      </c>
      <c r="AI266" s="227">
        <v>63443.81822330557</v>
      </c>
      <c r="AJ266" s="227">
        <v>11887.974089214331</v>
      </c>
      <c r="AK266" s="227">
        <v>32677.269604409339</v>
      </c>
      <c r="AL266" s="227">
        <v>248701.87496671046</v>
      </c>
      <c r="AM266" s="227">
        <v>422854.03318882798</v>
      </c>
      <c r="AN266" s="515">
        <v>381043.97176349343</v>
      </c>
    </row>
    <row r="267" spans="1:155" x14ac:dyDescent="0.25">
      <c r="A267" s="606" t="s">
        <v>1401</v>
      </c>
      <c r="B267" s="615" t="s">
        <v>1599</v>
      </c>
      <c r="C267" s="590">
        <v>58460.992041331956</v>
      </c>
      <c r="D267" s="590">
        <v>58460.992041331956</v>
      </c>
      <c r="E267" s="590">
        <v>58460.992041331956</v>
      </c>
      <c r="F267" s="590">
        <v>58460.992041331956</v>
      </c>
      <c r="G267" s="590">
        <v>58460.992041331956</v>
      </c>
      <c r="H267" s="590">
        <v>58460.992041331956</v>
      </c>
      <c r="I267" s="590">
        <v>58460.992041331956</v>
      </c>
      <c r="J267" s="590">
        <v>58460.992041331956</v>
      </c>
      <c r="K267" s="590">
        <v>58460.992041331956</v>
      </c>
      <c r="L267" s="590">
        <v>79718.66062027411</v>
      </c>
      <c r="M267" s="590">
        <v>80859.071454745106</v>
      </c>
      <c r="N267" s="590">
        <v>22132.300084255679</v>
      </c>
      <c r="O267" s="590">
        <v>1154.894176116429</v>
      </c>
      <c r="P267" s="590">
        <v>63604.665435037721</v>
      </c>
      <c r="Q267" s="590">
        <v>46600.399370758147</v>
      </c>
      <c r="R267" s="590">
        <v>43337.966968207875</v>
      </c>
      <c r="S267" s="590">
        <v>24288.271324817117</v>
      </c>
      <c r="T267" s="590">
        <v>538.59467523627359</v>
      </c>
      <c r="U267" s="590">
        <v>44935.444511066933</v>
      </c>
      <c r="V267" s="227">
        <v>1059091.4980813116</v>
      </c>
      <c r="W267" s="227">
        <v>81035.508133843396</v>
      </c>
      <c r="X267" s="227">
        <v>310842.52234294132</v>
      </c>
      <c r="Y267" s="227">
        <v>127791.39747646873</v>
      </c>
      <c r="Z267" s="227">
        <v>19147.20746138204</v>
      </c>
      <c r="AA267" s="227">
        <v>24293.240303866711</v>
      </c>
      <c r="AB267" s="227">
        <v>1930.5560261929795</v>
      </c>
      <c r="AC267" s="227">
        <v>3173.5310502549892</v>
      </c>
      <c r="AD267" s="227">
        <v>1434612.4679068734</v>
      </c>
      <c r="AE267" s="227">
        <v>423067.99776646093</v>
      </c>
      <c r="AF267" s="227">
        <v>2456865.3354824767</v>
      </c>
      <c r="AG267" s="227">
        <v>437571.40498475346</v>
      </c>
      <c r="AH267" s="227">
        <v>0</v>
      </c>
      <c r="AI267" s="227">
        <v>59351.260955666956</v>
      </c>
      <c r="AJ267" s="227">
        <v>11828.340138082851</v>
      </c>
      <c r="AK267" s="227">
        <v>32513.349773824626</v>
      </c>
      <c r="AL267" s="227">
        <v>232970.46267112967</v>
      </c>
      <c r="AM267" s="227">
        <v>396106.78354371345</v>
      </c>
      <c r="AN267" s="515">
        <v>356941.37976108282</v>
      </c>
    </row>
    <row r="268" spans="1:155" x14ac:dyDescent="0.25">
      <c r="A268" s="606" t="s">
        <v>1275</v>
      </c>
      <c r="B268" s="615" t="s">
        <v>1599</v>
      </c>
      <c r="C268" s="590">
        <v>5517.6039588763979</v>
      </c>
      <c r="D268" s="590">
        <v>5517.6039588763979</v>
      </c>
      <c r="E268" s="590">
        <v>5517.6039588763979</v>
      </c>
      <c r="F268" s="590">
        <v>5517.6039588763979</v>
      </c>
      <c r="G268" s="590">
        <v>5517.6039588763979</v>
      </c>
      <c r="H268" s="590">
        <v>5517.6039588763979</v>
      </c>
      <c r="I268" s="590">
        <v>5517.6039588763979</v>
      </c>
      <c r="J268" s="590">
        <v>5517.6039588763979</v>
      </c>
      <c r="K268" s="590">
        <v>5517.6039588763979</v>
      </c>
      <c r="L268" s="590">
        <v>577.19824368628679</v>
      </c>
      <c r="M268" s="590">
        <v>585.45532083253852</v>
      </c>
      <c r="N268" s="590">
        <v>1123.8071286270033</v>
      </c>
      <c r="O268" s="590">
        <v>61.186929375543983</v>
      </c>
      <c r="P268" s="590">
        <v>458.80545831037119</v>
      </c>
      <c r="Q268" s="590">
        <v>4154.4868786910101</v>
      </c>
      <c r="R268" s="590">
        <v>481.09976861136875</v>
      </c>
      <c r="S268" s="590">
        <v>169.93995002779729</v>
      </c>
      <c r="T268" s="590">
        <v>3.768434194876948</v>
      </c>
      <c r="U268" s="590">
        <v>4006.053963703152</v>
      </c>
      <c r="V268" s="227">
        <v>879.18652272851637</v>
      </c>
      <c r="W268" s="227">
        <v>604.84896844952186</v>
      </c>
      <c r="X268" s="227">
        <v>106125.10374643267</v>
      </c>
      <c r="Y268" s="227">
        <v>15083.356056386312</v>
      </c>
      <c r="Z268" s="227">
        <v>1925.6593251407764</v>
      </c>
      <c r="AA268" s="227">
        <v>169.97471693401656</v>
      </c>
      <c r="AB268" s="227">
        <v>764.37898471182734</v>
      </c>
      <c r="AC268" s="227">
        <v>1256.5190593970804</v>
      </c>
      <c r="AD268" s="227">
        <v>1121.93386716637</v>
      </c>
      <c r="AE268" s="227">
        <v>144440.1326316183</v>
      </c>
      <c r="AF268" s="227">
        <v>2225072.7992735808</v>
      </c>
      <c r="AG268" s="227">
        <v>87460.611463468507</v>
      </c>
      <c r="AH268" s="227">
        <v>0</v>
      </c>
      <c r="AI268" s="227">
        <v>5601.6283846460892</v>
      </c>
      <c r="AJ268" s="227">
        <v>82.76041983785457</v>
      </c>
      <c r="AK268" s="227">
        <v>227.48910212290116</v>
      </c>
      <c r="AL268" s="227">
        <v>22538.933162099496</v>
      </c>
      <c r="AM268" s="227">
        <v>38321.700600942015</v>
      </c>
      <c r="AN268" s="515">
        <v>34532.609022541066</v>
      </c>
    </row>
    <row r="269" spans="1:155" x14ac:dyDescent="0.25">
      <c r="A269" s="606" t="s">
        <v>233</v>
      </c>
      <c r="B269" s="615" t="s">
        <v>1599</v>
      </c>
      <c r="C269" s="590">
        <v>42392.422005726832</v>
      </c>
      <c r="D269" s="590">
        <v>42392.422005726832</v>
      </c>
      <c r="E269" s="590">
        <v>42392.422005726832</v>
      </c>
      <c r="F269" s="590">
        <v>42392.422005726832</v>
      </c>
      <c r="G269" s="590">
        <v>42392.422005726832</v>
      </c>
      <c r="H269" s="590">
        <v>42392.422005726832</v>
      </c>
      <c r="I269" s="590">
        <v>42392.422005726832</v>
      </c>
      <c r="J269" s="590">
        <v>42392.422005726832</v>
      </c>
      <c r="K269" s="590">
        <v>42392.422005726832</v>
      </c>
      <c r="L269" s="590">
        <v>78704.111983631039</v>
      </c>
      <c r="M269" s="590">
        <v>79830.009249405266</v>
      </c>
      <c r="N269" s="590">
        <v>3029.0012005945796</v>
      </c>
      <c r="O269" s="590">
        <v>682.90940084429144</v>
      </c>
      <c r="P269" s="590">
        <v>56550.134803329638</v>
      </c>
      <c r="Q269" s="590">
        <v>19628.785656887983</v>
      </c>
      <c r="R269" s="590">
        <v>9294.671750456504</v>
      </c>
      <c r="S269" s="590">
        <v>2496.8421271853117</v>
      </c>
      <c r="T269" s="590">
        <v>55.367706356011766</v>
      </c>
      <c r="U269" s="590">
        <v>18927.481751544634</v>
      </c>
      <c r="V269" s="227">
        <v>1057773.8748053843</v>
      </c>
      <c r="W269" s="227">
        <v>79894.454552490934</v>
      </c>
      <c r="X269" s="227">
        <v>178981.26121326332</v>
      </c>
      <c r="Y269" s="227">
        <v>30973.42172688256</v>
      </c>
      <c r="Z269" s="227">
        <v>3417.607067110871</v>
      </c>
      <c r="AA269" s="227">
        <v>2497.3529398345213</v>
      </c>
      <c r="AB269" s="227">
        <v>1142.3370101096889</v>
      </c>
      <c r="AC269" s="227">
        <v>1877.8227216681482</v>
      </c>
      <c r="AD269" s="227">
        <v>1432898.7250183241</v>
      </c>
      <c r="AE269" s="227">
        <v>243600.01729644561</v>
      </c>
      <c r="AF269" s="227">
        <v>160200.8955372459</v>
      </c>
      <c r="AG269" s="227">
        <v>233186.84494462071</v>
      </c>
      <c r="AH269" s="227">
        <v>0</v>
      </c>
      <c r="AI269" s="227">
        <v>43037.99188398663</v>
      </c>
      <c r="AJ269" s="227">
        <v>1215.9571818215627</v>
      </c>
      <c r="AK269" s="227">
        <v>3342.3828450173737</v>
      </c>
      <c r="AL269" s="227">
        <v>157325.76455524002</v>
      </c>
      <c r="AM269" s="227">
        <v>267492.29001833574</v>
      </c>
      <c r="AN269" s="515">
        <v>241043.75648507327</v>
      </c>
    </row>
    <row r="270" spans="1:155" x14ac:dyDescent="0.25">
      <c r="A270" s="606" t="s">
        <v>1402</v>
      </c>
      <c r="B270" s="615" t="s">
        <v>1599</v>
      </c>
      <c r="C270" s="590">
        <v>10550.966076728739</v>
      </c>
      <c r="D270" s="590">
        <v>10550.966076728739</v>
      </c>
      <c r="E270" s="590">
        <v>10550.966076728739</v>
      </c>
      <c r="F270" s="590">
        <v>10550.966076728739</v>
      </c>
      <c r="G270" s="590">
        <v>10550.966076728739</v>
      </c>
      <c r="H270" s="590">
        <v>10550.966076728739</v>
      </c>
      <c r="I270" s="590">
        <v>10550.966076728739</v>
      </c>
      <c r="J270" s="590">
        <v>10550.966076728739</v>
      </c>
      <c r="K270" s="590">
        <v>10550.966076728739</v>
      </c>
      <c r="L270" s="590">
        <v>437.35039295679809</v>
      </c>
      <c r="M270" s="590">
        <v>443.60688450729998</v>
      </c>
      <c r="N270" s="590">
        <v>17979.491755034098</v>
      </c>
      <c r="O270" s="590">
        <v>410.7978458965934</v>
      </c>
      <c r="P270" s="590">
        <v>6595.7251733977155</v>
      </c>
      <c r="Q270" s="590">
        <v>22817.126835179155</v>
      </c>
      <c r="R270" s="590">
        <v>33562.195449140025</v>
      </c>
      <c r="S270" s="590">
        <v>21621.489247604008</v>
      </c>
      <c r="T270" s="590">
        <v>479.45853468538473</v>
      </c>
      <c r="U270" s="590">
        <v>22001.908795819163</v>
      </c>
      <c r="V270" s="227">
        <v>438.4367531985381</v>
      </c>
      <c r="W270" s="227">
        <v>536.2046129029319</v>
      </c>
      <c r="X270" s="227">
        <v>25736.15738324526</v>
      </c>
      <c r="Y270" s="227">
        <v>81734.619693199857</v>
      </c>
      <c r="Z270" s="227">
        <v>13803.941069130393</v>
      </c>
      <c r="AA270" s="227">
        <v>21625.912647098176</v>
      </c>
      <c r="AB270" s="227">
        <v>23.840031371463205</v>
      </c>
      <c r="AC270" s="227">
        <v>39.189269189760772</v>
      </c>
      <c r="AD270" s="227">
        <v>591.80902138299348</v>
      </c>
      <c r="AE270" s="227">
        <v>35027.84783839708</v>
      </c>
      <c r="AF270" s="227">
        <v>71591.640671650297</v>
      </c>
      <c r="AG270" s="227">
        <v>116923.94857666423</v>
      </c>
      <c r="AH270" s="227">
        <v>0</v>
      </c>
      <c r="AI270" s="227">
        <v>10711.640687034253</v>
      </c>
      <c r="AJ270" s="227">
        <v>10529.622536423434</v>
      </c>
      <c r="AK270" s="227">
        <v>28943.47782668435</v>
      </c>
      <c r="AL270" s="227">
        <v>53105.764953790145</v>
      </c>
      <c r="AM270" s="227">
        <v>90292.792924435649</v>
      </c>
      <c r="AN270" s="515">
        <v>81365.014253468486</v>
      </c>
    </row>
    <row r="271" spans="1:155" x14ac:dyDescent="0.25">
      <c r="A271" s="606" t="s">
        <v>1403</v>
      </c>
      <c r="B271" s="615" t="s">
        <v>1600</v>
      </c>
      <c r="C271" s="610">
        <v>18.674180276270924</v>
      </c>
      <c r="D271" s="590">
        <v>18.674180276270924</v>
      </c>
      <c r="E271" s="590">
        <v>18.674180276270924</v>
      </c>
      <c r="F271" s="590">
        <v>18.674180276270924</v>
      </c>
      <c r="G271" s="590">
        <v>18.674180276270924</v>
      </c>
      <c r="H271" s="590">
        <v>18.674180276270924</v>
      </c>
      <c r="I271" s="590">
        <v>18.674180276270924</v>
      </c>
      <c r="J271" s="590">
        <v>18.674180276270924</v>
      </c>
      <c r="K271" s="590">
        <v>18.674180276270924</v>
      </c>
      <c r="L271" s="590">
        <v>3.2745451133107935</v>
      </c>
      <c r="M271" s="590">
        <v>3.3213889350223931</v>
      </c>
      <c r="N271" s="590">
        <v>2.4380087184731223</v>
      </c>
      <c r="O271" s="590">
        <v>0.18940943799704851</v>
      </c>
      <c r="P271" s="611">
        <v>2.4627169752667535</v>
      </c>
      <c r="Q271" s="590">
        <v>641.74552812841978</v>
      </c>
      <c r="R271" s="590">
        <v>1.5979529721978483</v>
      </c>
      <c r="S271" s="590">
        <v>0.48194469265186418</v>
      </c>
      <c r="T271" s="590">
        <v>1.0687168376427506E-2</v>
      </c>
      <c r="U271" s="590">
        <v>618.81702643808921</v>
      </c>
      <c r="V271" s="69">
        <v>3.2945402173674458</v>
      </c>
      <c r="W271" s="69">
        <v>0.18736701649246976</v>
      </c>
      <c r="X271" s="69">
        <v>88.920041189661475</v>
      </c>
      <c r="Y271" s="69">
        <v>5.7342454087618489</v>
      </c>
      <c r="Z271" s="69">
        <v>3.8634156707588514</v>
      </c>
      <c r="AA271" s="69">
        <v>0.48204329057383344</v>
      </c>
      <c r="AB271" s="69">
        <v>105.25241831190775</v>
      </c>
      <c r="AC271" s="69">
        <v>144.48535892469508</v>
      </c>
      <c r="AD271" s="69">
        <v>4.4444527466492856</v>
      </c>
      <c r="AE271" s="69">
        <v>121.02341566356675</v>
      </c>
      <c r="AF271" s="69">
        <v>105.41988577158473</v>
      </c>
      <c r="AG271" s="69">
        <v>66.832119047875125</v>
      </c>
      <c r="AH271" s="69">
        <v>109.85413820988292</v>
      </c>
      <c r="AI271" s="69">
        <v>18.958558656112611</v>
      </c>
      <c r="AJ271" s="69">
        <v>0.23470611292971352</v>
      </c>
      <c r="AK271" s="69">
        <v>0.6451523928678139</v>
      </c>
      <c r="AL271" s="69">
        <v>8.8940669747300234</v>
      </c>
      <c r="AM271" s="69">
        <v>15.122089820269975</v>
      </c>
      <c r="AN271" s="106">
        <v>13.626879996925149</v>
      </c>
    </row>
    <row r="272" spans="1:155" x14ac:dyDescent="0.25">
      <c r="A272" s="606" t="s">
        <v>237</v>
      </c>
      <c r="B272" s="615" t="s">
        <v>1601</v>
      </c>
      <c r="C272" s="590">
        <v>3.711066428017137</v>
      </c>
      <c r="D272" s="590">
        <v>3.711066428017137</v>
      </c>
      <c r="E272" s="590">
        <v>3.711066428017137</v>
      </c>
      <c r="F272" s="590">
        <v>3.711066428017137</v>
      </c>
      <c r="G272" s="590">
        <v>3.711066428017137</v>
      </c>
      <c r="H272" s="590">
        <v>3.711066428017137</v>
      </c>
      <c r="I272" s="590">
        <v>3.711066428017137</v>
      </c>
      <c r="J272" s="590">
        <v>3.711066428017137</v>
      </c>
      <c r="K272" s="590">
        <v>3.711066428017137</v>
      </c>
      <c r="L272" s="590">
        <v>7.4701922707037456</v>
      </c>
      <c r="M272" s="590">
        <v>7.577056687827751</v>
      </c>
      <c r="N272" s="590">
        <v>4.4903054939531337</v>
      </c>
      <c r="O272" s="590">
        <v>5.3655591542999356E-2</v>
      </c>
      <c r="P272" s="590">
        <v>5.4560082498593827</v>
      </c>
      <c r="Q272" s="590">
        <v>2.4395478407767066</v>
      </c>
      <c r="R272" s="590">
        <v>1.5951869841032507</v>
      </c>
      <c r="S272" s="590">
        <v>0.54161849960180641</v>
      </c>
      <c r="T272" s="590">
        <v>6.5438336767258418E-3</v>
      </c>
      <c r="U272" s="590">
        <v>2.352386848858274</v>
      </c>
      <c r="V272" s="69">
        <v>10.584582270777622</v>
      </c>
      <c r="W272" s="69">
        <v>7.6736119740418118</v>
      </c>
      <c r="X272" s="69">
        <v>4.6707165374912663</v>
      </c>
      <c r="Y272" s="69">
        <v>1.9124057886907879</v>
      </c>
      <c r="Z272" s="69">
        <v>7.3234899103283544</v>
      </c>
      <c r="AA272" s="69">
        <v>0.54172930579881418</v>
      </c>
      <c r="AB272" s="69">
        <v>1.7716619567536802E-2</v>
      </c>
      <c r="AC272" s="69">
        <v>2.9123341431331749E-2</v>
      </c>
      <c r="AD272" s="69">
        <v>13.619707361201192</v>
      </c>
      <c r="AE272" s="69">
        <v>6.3570153747209774</v>
      </c>
      <c r="AF272" s="69">
        <v>21.845610015274172</v>
      </c>
      <c r="AG272" s="69">
        <v>8.2543377427571425</v>
      </c>
      <c r="AH272" s="69">
        <v>0</v>
      </c>
      <c r="AI272" s="69">
        <v>3.7675801299666363</v>
      </c>
      <c r="AJ272" s="69">
        <v>0.14371232040383453</v>
      </c>
      <c r="AK272" s="69">
        <v>0.3950316684801693</v>
      </c>
      <c r="AL272" s="69">
        <v>16.845958523358558</v>
      </c>
      <c r="AM272" s="69">
        <v>28.642250909798594</v>
      </c>
      <c r="AN272" s="106">
        <v>25.810223363868207</v>
      </c>
    </row>
    <row r="273" spans="1:40" x14ac:dyDescent="0.25">
      <c r="A273" s="606" t="s">
        <v>234</v>
      </c>
      <c r="B273" s="615" t="s">
        <v>1601</v>
      </c>
      <c r="C273" s="590">
        <v>7.5311988309748177</v>
      </c>
      <c r="D273" s="590">
        <v>7.5311988309748177</v>
      </c>
      <c r="E273" s="590">
        <v>7.5311988309748177</v>
      </c>
      <c r="F273" s="590">
        <v>7.5311988309748177</v>
      </c>
      <c r="G273" s="590">
        <v>7.5311988309748177</v>
      </c>
      <c r="H273" s="590">
        <v>7.5311988309748177</v>
      </c>
      <c r="I273" s="590">
        <v>7.5311988309748177</v>
      </c>
      <c r="J273" s="590">
        <v>7.5311988309748177</v>
      </c>
      <c r="K273" s="590">
        <v>7.5311988309748177</v>
      </c>
      <c r="L273" s="590">
        <v>16.418153978483449</v>
      </c>
      <c r="M273" s="590">
        <v>16.653022960643867</v>
      </c>
      <c r="N273" s="590">
        <v>2.8555145733269418</v>
      </c>
      <c r="O273" s="590">
        <v>0.10317601479756648</v>
      </c>
      <c r="P273" s="590">
        <v>12.876168031237338</v>
      </c>
      <c r="Q273" s="590">
        <v>10.389179830437318</v>
      </c>
      <c r="R273" s="590">
        <v>7.4679367738954188</v>
      </c>
      <c r="S273" s="590">
        <v>4.234107894445251</v>
      </c>
      <c r="T273" s="590">
        <v>9.2322303392830943E-2</v>
      </c>
      <c r="U273" s="590">
        <v>10.01799169298657</v>
      </c>
      <c r="V273" s="69">
        <v>33.358195327521969</v>
      </c>
      <c r="W273" s="69">
        <v>17.496325769277885</v>
      </c>
      <c r="X273" s="69">
        <v>18.359717178682466</v>
      </c>
      <c r="Y273" s="69">
        <v>26.168100375990427</v>
      </c>
      <c r="Z273" s="69">
        <v>1.754649275024686</v>
      </c>
      <c r="AA273" s="69">
        <v>4.2349741229692937</v>
      </c>
      <c r="AB273" s="69">
        <v>6.3012891012250327E-2</v>
      </c>
      <c r="AC273" s="69">
        <v>0.10358330112182948</v>
      </c>
      <c r="AD273" s="69">
        <v>41.383605725005907</v>
      </c>
      <c r="AE273" s="69">
        <v>24.988243975752408</v>
      </c>
      <c r="AF273" s="69">
        <v>25.855509649610394</v>
      </c>
      <c r="AG273" s="69">
        <v>39.282837044008559</v>
      </c>
      <c r="AH273" s="69">
        <v>0</v>
      </c>
      <c r="AI273" s="69">
        <v>7.6458871380454996</v>
      </c>
      <c r="AJ273" s="69">
        <v>2.0275350965596388</v>
      </c>
      <c r="AK273" s="69">
        <v>5.5732213483534068</v>
      </c>
      <c r="AL273" s="69">
        <v>86.203452437831658</v>
      </c>
      <c r="AM273" s="69">
        <v>146.5669591072346</v>
      </c>
      <c r="AN273" s="106">
        <v>132.07502316190218</v>
      </c>
    </row>
    <row r="274" spans="1:40" x14ac:dyDescent="0.25">
      <c r="A274" s="606" t="s">
        <v>1404</v>
      </c>
      <c r="B274" s="615" t="s">
        <v>1601</v>
      </c>
      <c r="C274" s="590">
        <v>11.484401438306682</v>
      </c>
      <c r="D274" s="590">
        <v>11.484401438306682</v>
      </c>
      <c r="E274" s="590">
        <v>11.484401438306682</v>
      </c>
      <c r="F274" s="590">
        <v>11.484401438306682</v>
      </c>
      <c r="G274" s="590">
        <v>11.484401438306682</v>
      </c>
      <c r="H274" s="590">
        <v>11.484401438306682</v>
      </c>
      <c r="I274" s="590">
        <v>11.484401438306682</v>
      </c>
      <c r="J274" s="590">
        <v>11.484401438306682</v>
      </c>
      <c r="K274" s="590">
        <v>11.484401438306682</v>
      </c>
      <c r="L274" s="590">
        <v>19.246911988752796</v>
      </c>
      <c r="M274" s="590">
        <v>19.522247610190735</v>
      </c>
      <c r="N274" s="590">
        <v>5.3723535296636085</v>
      </c>
      <c r="O274" s="590">
        <v>0.17573383340105259</v>
      </c>
      <c r="P274" s="590">
        <v>15.172615252120897</v>
      </c>
      <c r="Q274" s="590">
        <v>10.089458164985338</v>
      </c>
      <c r="R274" s="590">
        <v>10.970657817406385</v>
      </c>
      <c r="S274" s="590">
        <v>5.2317747356630075</v>
      </c>
      <c r="T274" s="590">
        <v>6.2870225659993534E-2</v>
      </c>
      <c r="U274" s="590">
        <v>9.7289785847612986</v>
      </c>
      <c r="V274" s="69">
        <v>39.251027993422277</v>
      </c>
      <c r="W274" s="69">
        <v>20.5199873567277</v>
      </c>
      <c r="X274" s="69">
        <v>29.300739978974658</v>
      </c>
      <c r="Y274" s="69">
        <v>22.629857646961486</v>
      </c>
      <c r="Z274" s="69">
        <v>4.8505758824933292</v>
      </c>
      <c r="AA274" s="69">
        <v>5.232845070340435</v>
      </c>
      <c r="AB274" s="69">
        <v>0.11160966059631186</v>
      </c>
      <c r="AC274" s="69">
        <v>0.18346876164442935</v>
      </c>
      <c r="AD274" s="69">
        <v>48.67868449879478</v>
      </c>
      <c r="AE274" s="69">
        <v>39.879374618843876</v>
      </c>
      <c r="AF274" s="69">
        <v>29.931304390367004</v>
      </c>
      <c r="AG274" s="69">
        <v>56.983488661115565</v>
      </c>
      <c r="AH274" s="69">
        <v>0</v>
      </c>
      <c r="AI274" s="69">
        <v>11.659290800311352</v>
      </c>
      <c r="AJ274" s="69">
        <v>1.3807236644851706</v>
      </c>
      <c r="AK274" s="69">
        <v>3.7952874976826099</v>
      </c>
      <c r="AL274" s="69">
        <v>99.541082672055509</v>
      </c>
      <c r="AM274" s="69">
        <v>169.24419360125569</v>
      </c>
      <c r="AN274" s="106">
        <v>152.51002631192577</v>
      </c>
    </row>
    <row r="275" spans="1:40" x14ac:dyDescent="0.25">
      <c r="A275" s="606" t="s">
        <v>235</v>
      </c>
      <c r="B275" s="615" t="s">
        <v>1601</v>
      </c>
      <c r="C275" s="590">
        <v>0.56445730082489431</v>
      </c>
      <c r="D275" s="590">
        <v>0.56445730082489431</v>
      </c>
      <c r="E275" s="590">
        <v>0.56445730082489431</v>
      </c>
      <c r="F275" s="590">
        <v>0.56445730082489431</v>
      </c>
      <c r="G275" s="590">
        <v>0.56445730082489431</v>
      </c>
      <c r="H275" s="590">
        <v>0.56445730082489431</v>
      </c>
      <c r="I275" s="590">
        <v>0.56445730082489431</v>
      </c>
      <c r="J275" s="590">
        <v>0.56445730082489431</v>
      </c>
      <c r="K275" s="590">
        <v>0.56445730082489431</v>
      </c>
      <c r="L275" s="590">
        <v>0.35813385836023898</v>
      </c>
      <c r="M275" s="590">
        <v>0.3632571222119782</v>
      </c>
      <c r="N275" s="590">
        <v>5.0707762476421632</v>
      </c>
      <c r="O275" s="590">
        <v>1.2715318416083728E-2</v>
      </c>
      <c r="P275" s="590">
        <v>0.35387643698118143</v>
      </c>
      <c r="Q275" s="590">
        <v>0.94313438912311354</v>
      </c>
      <c r="R275" s="590">
        <v>0.75413315507672196</v>
      </c>
      <c r="S275" s="590">
        <v>0.34348879227183804</v>
      </c>
      <c r="T275" s="590">
        <v>3.5095018246179065E-3</v>
      </c>
      <c r="U275" s="590">
        <v>0.90943776407878463</v>
      </c>
      <c r="V275" s="69">
        <v>0.38694275573975018</v>
      </c>
      <c r="W275" s="69">
        <v>0.35717782870685622</v>
      </c>
      <c r="X275" s="69">
        <v>3.1468948320727086</v>
      </c>
      <c r="Y275" s="69">
        <v>1.7885839449986283</v>
      </c>
      <c r="Z275" s="69">
        <v>8.5098184558127592</v>
      </c>
      <c r="AA275" s="69">
        <v>0.34355906440400197</v>
      </c>
      <c r="AB275" s="69">
        <v>1.6150238338978044E-2</v>
      </c>
      <c r="AC275" s="69">
        <v>2.6548456580582084E-2</v>
      </c>
      <c r="AD275" s="69">
        <v>0.51628114358214272</v>
      </c>
      <c r="AE275" s="69">
        <v>4.2830385165829838</v>
      </c>
      <c r="AF275" s="69">
        <v>20.433398903013568</v>
      </c>
      <c r="AG275" s="69">
        <v>4.5359216465255079</v>
      </c>
      <c r="AH275" s="69">
        <v>0</v>
      </c>
      <c r="AI275" s="69">
        <v>0.57305309728415665</v>
      </c>
      <c r="AJ275" s="69">
        <v>7.7073879868181899E-2</v>
      </c>
      <c r="AK275" s="69">
        <v>0.21185812931704398</v>
      </c>
      <c r="AL275" s="69">
        <v>2.4938790728246731</v>
      </c>
      <c r="AM275" s="69">
        <v>4.2402045596571494</v>
      </c>
      <c r="AN275" s="106">
        <v>3.8209506347073972</v>
      </c>
    </row>
    <row r="276" spans="1:40" x14ac:dyDescent="0.25">
      <c r="A276" s="606" t="s">
        <v>236</v>
      </c>
      <c r="B276" s="615" t="s">
        <v>1601</v>
      </c>
      <c r="C276" s="590">
        <v>0.47547843410743384</v>
      </c>
      <c r="D276" s="590">
        <v>0.47547843410743384</v>
      </c>
      <c r="E276" s="590">
        <v>0.47547843410743384</v>
      </c>
      <c r="F276" s="590">
        <v>0.47547843410743384</v>
      </c>
      <c r="G276" s="590">
        <v>0.47547843410743384</v>
      </c>
      <c r="H276" s="590">
        <v>0.47547843410743384</v>
      </c>
      <c r="I276" s="590">
        <v>0.47547843410743384</v>
      </c>
      <c r="J276" s="590">
        <v>0.47547843410743384</v>
      </c>
      <c r="K276" s="590">
        <v>0.47547843410743384</v>
      </c>
      <c r="L276" s="590">
        <v>0.33951600287429912</v>
      </c>
      <c r="M276" s="590">
        <v>0.34437293003716801</v>
      </c>
      <c r="N276" s="590">
        <v>0.80242919118798051</v>
      </c>
      <c r="O276" s="590">
        <v>1.0827420961256131E-2</v>
      </c>
      <c r="P276" s="590">
        <v>0.31744664545043649</v>
      </c>
      <c r="Q276" s="590">
        <v>0.80038755204490464</v>
      </c>
      <c r="R276" s="590">
        <v>0.61006008571264958</v>
      </c>
      <c r="S276" s="590">
        <v>0.26359981576844166</v>
      </c>
      <c r="T276" s="590">
        <v>9.9928170987561866E-4</v>
      </c>
      <c r="U276" s="590">
        <v>0.77179103436678076</v>
      </c>
      <c r="V276" s="69">
        <v>0.36581295632225885</v>
      </c>
      <c r="W276" s="69">
        <v>0.33779397419914725</v>
      </c>
      <c r="X276" s="69">
        <v>2.0041153414907655</v>
      </c>
      <c r="Y276" s="69">
        <v>1.4477216526386936</v>
      </c>
      <c r="Z276" s="69">
        <v>1.1848516899514883</v>
      </c>
      <c r="AA276" s="69">
        <v>0.26365374393584867</v>
      </c>
      <c r="AB276" s="69">
        <v>9.1224342064677461E-3</v>
      </c>
      <c r="AC276" s="69">
        <v>1.4995849804588752E-2</v>
      </c>
      <c r="AD276" s="69">
        <v>0.48829147898023828</v>
      </c>
      <c r="AE276" s="69">
        <v>2.727673995265401</v>
      </c>
      <c r="AF276" s="69">
        <v>3.7798922482506092</v>
      </c>
      <c r="AG276" s="69">
        <v>3.2652522884608852</v>
      </c>
      <c r="AH276" s="69">
        <v>0</v>
      </c>
      <c r="AI276" s="69">
        <v>0.48271922244409526</v>
      </c>
      <c r="AJ276" s="69">
        <v>2.194571261401471E-2</v>
      </c>
      <c r="AK276" s="69">
        <v>6.0323648282483766E-2</v>
      </c>
      <c r="AL276" s="69">
        <v>2.1027841295628371</v>
      </c>
      <c r="AM276" s="69">
        <v>3.5752474734262565</v>
      </c>
      <c r="AN276" s="106">
        <v>3.2217417604797469</v>
      </c>
    </row>
    <row r="277" spans="1:40" x14ac:dyDescent="0.25">
      <c r="A277" s="606" t="s">
        <v>798</v>
      </c>
      <c r="B277" s="615" t="s">
        <v>1601</v>
      </c>
      <c r="C277" s="590">
        <v>2.6630453965502467</v>
      </c>
      <c r="D277" s="590">
        <v>2.6630453965502467</v>
      </c>
      <c r="E277" s="590">
        <v>2.6630453965502467</v>
      </c>
      <c r="F277" s="590">
        <v>2.6630453965502467</v>
      </c>
      <c r="G277" s="590">
        <v>2.6630453965502467</v>
      </c>
      <c r="H277" s="590">
        <v>2.6630453965502467</v>
      </c>
      <c r="I277" s="590">
        <v>2.6630453965502467</v>
      </c>
      <c r="J277" s="590">
        <v>2.6630453965502467</v>
      </c>
      <c r="K277" s="590">
        <v>2.6630453965502467</v>
      </c>
      <c r="L277" s="590">
        <v>10.854032881495455</v>
      </c>
      <c r="M277" s="590">
        <v>11.009304640948651</v>
      </c>
      <c r="N277" s="590">
        <v>3.9747059540080016</v>
      </c>
      <c r="O277" s="590">
        <v>5.5673064488552547E-2</v>
      </c>
      <c r="P277" s="590">
        <v>7.7303817339859533</v>
      </c>
      <c r="Q277" s="590">
        <v>3.910054726854884</v>
      </c>
      <c r="R277" s="590">
        <v>1.1924438835903202</v>
      </c>
      <c r="S277" s="590">
        <v>0.10901296934555887</v>
      </c>
      <c r="T277" s="590">
        <v>2.4328054814039147E-3</v>
      </c>
      <c r="U277" s="590">
        <v>3.7703549666159031</v>
      </c>
      <c r="V277" s="69">
        <v>10.683145068383441</v>
      </c>
      <c r="W277" s="69">
        <v>10.87186862247785</v>
      </c>
      <c r="X277" s="69">
        <v>16.104370272859121</v>
      </c>
      <c r="Y277" s="69">
        <v>2.1759915425886778</v>
      </c>
      <c r="Z277" s="69">
        <v>6.80218405758795</v>
      </c>
      <c r="AA277" s="69">
        <v>0.10903527159809751</v>
      </c>
      <c r="AB277" s="69">
        <v>9.3416841697660929E-2</v>
      </c>
      <c r="AC277" s="69">
        <v>0.15356262326605361</v>
      </c>
      <c r="AD277" s="69">
        <v>14.462922953044796</v>
      </c>
      <c r="AE277" s="69">
        <v>21.918634668365669</v>
      </c>
      <c r="AF277" s="69">
        <v>42.884842142926026</v>
      </c>
      <c r="AG277" s="69">
        <v>35.341311507020002</v>
      </c>
      <c r="AH277" s="69">
        <v>0</v>
      </c>
      <c r="AI277" s="69">
        <v>2.7035993873606565</v>
      </c>
      <c r="AJ277" s="69">
        <v>5.3428026764680288E-2</v>
      </c>
      <c r="AK277" s="69">
        <v>0.1468611911431614</v>
      </c>
      <c r="AL277" s="69">
        <v>5.8738399485758013</v>
      </c>
      <c r="AM277" s="69">
        <v>9.986964967165596</v>
      </c>
      <c r="AN277" s="106">
        <v>8.9994950935049705</v>
      </c>
    </row>
    <row r="278" spans="1:40" x14ac:dyDescent="0.25">
      <c r="A278" s="606" t="s">
        <v>799</v>
      </c>
      <c r="B278" s="615" t="s">
        <v>1601</v>
      </c>
      <c r="C278" s="590">
        <v>8.5860882288344334E-2</v>
      </c>
      <c r="D278" s="590">
        <v>8.5860882288344334E-2</v>
      </c>
      <c r="E278" s="590">
        <v>8.5860882288344334E-2</v>
      </c>
      <c r="F278" s="590">
        <v>8.5860882288344334E-2</v>
      </c>
      <c r="G278" s="590">
        <v>8.5860882288344334E-2</v>
      </c>
      <c r="H278" s="590">
        <v>8.5860882288344334E-2</v>
      </c>
      <c r="I278" s="590">
        <v>8.5860882288344334E-2</v>
      </c>
      <c r="J278" s="590">
        <v>8.5860882288344334E-2</v>
      </c>
      <c r="K278" s="590">
        <v>8.5860882288344334E-2</v>
      </c>
      <c r="L278" s="590">
        <v>6.884831431831781E-2</v>
      </c>
      <c r="M278" s="590">
        <v>6.9833220022612927E-2</v>
      </c>
      <c r="N278" s="590">
        <v>9.6172205650416523E-2</v>
      </c>
      <c r="O278" s="590">
        <v>1.5867671819180219E-3</v>
      </c>
      <c r="P278" s="590">
        <v>0.10083551375596264</v>
      </c>
      <c r="Q278" s="590">
        <v>0.2870616132320819</v>
      </c>
      <c r="R278" s="590">
        <v>0.30668569162064852</v>
      </c>
      <c r="S278" s="590">
        <v>0.17888079831238965</v>
      </c>
      <c r="T278" s="590">
        <v>9.3419470548957622E-5</v>
      </c>
      <c r="U278" s="590">
        <v>0.27680537864106536</v>
      </c>
      <c r="V278" s="69">
        <v>7.3540131630529609E-2</v>
      </c>
      <c r="W278" s="69">
        <v>6.9135255348725652E-2</v>
      </c>
      <c r="X278" s="69">
        <v>0.1861808939990752</v>
      </c>
      <c r="Y278" s="69">
        <v>0.93981449574199338</v>
      </c>
      <c r="Z278" s="69">
        <v>3.4688602636538342E-2</v>
      </c>
      <c r="AA278" s="69">
        <v>0.17891739436845736</v>
      </c>
      <c r="AB278" s="69">
        <v>4.8622719644928354E-4</v>
      </c>
      <c r="AC278" s="69">
        <v>7.9928118349049612E-4</v>
      </c>
      <c r="AD278" s="69">
        <v>9.8290793665419915E-2</v>
      </c>
      <c r="AE278" s="69">
        <v>0.25339897982058407</v>
      </c>
      <c r="AF278" s="69">
        <v>0.1443857527788884</v>
      </c>
      <c r="AG278" s="69">
        <v>1.1744450862127978</v>
      </c>
      <c r="AH278" s="69">
        <v>0</v>
      </c>
      <c r="AI278" s="69">
        <v>8.7168408414562776E-2</v>
      </c>
      <c r="AJ278" s="69">
        <v>2.0516305191616282E-3</v>
      </c>
      <c r="AK278" s="69">
        <v>5.6394540482809534E-3</v>
      </c>
      <c r="AL278" s="69">
        <v>0.68920686919494467</v>
      </c>
      <c r="AM278" s="69">
        <v>1.1718202943968024</v>
      </c>
      <c r="AN278" s="106">
        <v>1.055955540503571</v>
      </c>
    </row>
    <row r="279" spans="1:40" x14ac:dyDescent="0.25">
      <c r="A279" s="606" t="s">
        <v>800</v>
      </c>
      <c r="B279" s="615" t="s">
        <v>1601</v>
      </c>
      <c r="C279" s="590">
        <v>0.17257257221628283</v>
      </c>
      <c r="D279" s="590">
        <v>0.17257257221628283</v>
      </c>
      <c r="E279" s="590">
        <v>0.17257257221628283</v>
      </c>
      <c r="F279" s="590">
        <v>0.17257257221628283</v>
      </c>
      <c r="G279" s="590">
        <v>0.17257257221628283</v>
      </c>
      <c r="H279" s="590">
        <v>0.17257257221628283</v>
      </c>
      <c r="I279" s="590">
        <v>0.17257257221628283</v>
      </c>
      <c r="J279" s="590">
        <v>0.17257257221628283</v>
      </c>
      <c r="K279" s="590">
        <v>0.17257257221628283</v>
      </c>
      <c r="L279" s="590">
        <v>0.14366061169734282</v>
      </c>
      <c r="M279" s="590">
        <v>0.14571574053156605</v>
      </c>
      <c r="N279" s="590">
        <v>6.892767992953977E-2</v>
      </c>
      <c r="O279" s="590">
        <v>3.1685482459509937E-3</v>
      </c>
      <c r="P279" s="590">
        <v>0.11782730038961145</v>
      </c>
      <c r="Q279" s="590">
        <v>0.18281181939193372</v>
      </c>
      <c r="R279" s="590">
        <v>0.13496533199819555</v>
      </c>
      <c r="S279" s="590">
        <v>5.4796832968512753E-2</v>
      </c>
      <c r="T279" s="590">
        <v>1.6673422655966584E-4</v>
      </c>
      <c r="U279" s="590">
        <v>0.1762802567612369</v>
      </c>
      <c r="V279" s="69">
        <v>0.15439040990953501</v>
      </c>
      <c r="W279" s="69">
        <v>0.1425419292113928</v>
      </c>
      <c r="X279" s="69">
        <v>0.56160860959281156</v>
      </c>
      <c r="Y279" s="69">
        <v>0.29869505688448877</v>
      </c>
      <c r="Z279" s="69">
        <v>7.0644796874644256E-2</v>
      </c>
      <c r="AA279" s="69">
        <v>5.4808043495246553E-2</v>
      </c>
      <c r="AB279" s="69">
        <v>2.5433997974967058E-3</v>
      </c>
      <c r="AC279" s="69">
        <v>4.1809500066594864E-3</v>
      </c>
      <c r="AD279" s="69">
        <v>0.20616186014186549</v>
      </c>
      <c r="AE279" s="69">
        <v>0.76436977861961519</v>
      </c>
      <c r="AF279" s="69">
        <v>0.49392823526054175</v>
      </c>
      <c r="AG279" s="69">
        <v>0.77891441315138643</v>
      </c>
      <c r="AH279" s="69">
        <v>0</v>
      </c>
      <c r="AI279" s="69">
        <v>0.17520058093023635</v>
      </c>
      <c r="AJ279" s="69">
        <v>3.6617316046481988E-3</v>
      </c>
      <c r="AK279" s="69">
        <v>1.0065246606874426E-2</v>
      </c>
      <c r="AL279" s="69">
        <v>0.66661595603602575</v>
      </c>
      <c r="AM279" s="69">
        <v>1.1334102150841872</v>
      </c>
      <c r="AN279" s="106">
        <v>1.0213432912915741</v>
      </c>
    </row>
    <row r="280" spans="1:40" x14ac:dyDescent="0.25">
      <c r="A280" s="606" t="s">
        <v>6</v>
      </c>
      <c r="B280" s="615" t="s">
        <v>1601</v>
      </c>
      <c r="C280" s="590">
        <v>91.174604481278848</v>
      </c>
      <c r="D280" s="590">
        <v>91.174604481278848</v>
      </c>
      <c r="E280" s="590">
        <v>91.174604481278848</v>
      </c>
      <c r="F280" s="590">
        <v>91.174604481278848</v>
      </c>
      <c r="G280" s="590">
        <v>91.174604481278848</v>
      </c>
      <c r="H280" s="590">
        <v>91.174604481278848</v>
      </c>
      <c r="I280" s="590">
        <v>91.174604481278848</v>
      </c>
      <c r="J280" s="590">
        <v>91.174604481278848</v>
      </c>
      <c r="K280" s="590">
        <v>91.174604481278848</v>
      </c>
      <c r="L280" s="590">
        <v>133.15440807495744</v>
      </c>
      <c r="M280" s="590">
        <v>135.0592410017118</v>
      </c>
      <c r="N280" s="590">
        <v>86.422672165665659</v>
      </c>
      <c r="O280" s="590">
        <v>0.88901662780494528</v>
      </c>
      <c r="P280" s="590">
        <v>95.111261660245262</v>
      </c>
      <c r="Q280" s="590">
        <v>6.1327935724833917</v>
      </c>
      <c r="R280" s="590">
        <v>4.5649264843221617</v>
      </c>
      <c r="S280" s="590">
        <v>2.2901257197291867</v>
      </c>
      <c r="T280" s="590">
        <v>5.0641156117757748E-2</v>
      </c>
      <c r="U280" s="590">
        <v>5.9136790455723505</v>
      </c>
      <c r="V280" s="590">
        <v>200.86863995372931</v>
      </c>
      <c r="W280" s="590">
        <v>138.1451124485057</v>
      </c>
      <c r="X280" s="590">
        <v>-8453.3544104540706</v>
      </c>
      <c r="Y280" s="590">
        <v>14.507418502014019</v>
      </c>
      <c r="Z280" s="590">
        <v>147.69314288793669</v>
      </c>
      <c r="AA280" s="590">
        <v>2.2905942416165659</v>
      </c>
      <c r="AB280" s="590">
        <v>0.30783403157129413</v>
      </c>
      <c r="AC280" s="590">
        <v>0.5060308244165006</v>
      </c>
      <c r="AD280" s="590">
        <v>256.60633523037461</v>
      </c>
      <c r="AE280" s="227">
        <v>-11505.323331842721</v>
      </c>
      <c r="AF280" s="590">
        <v>357.86428270609701</v>
      </c>
      <c r="AG280" s="590">
        <v>64.11574354400372</v>
      </c>
      <c r="AH280" s="590">
        <v>0</v>
      </c>
      <c r="AI280" s="590">
        <v>92.563050234800855</v>
      </c>
      <c r="AJ280" s="590">
        <v>1.1121551086330757</v>
      </c>
      <c r="AK280" s="590">
        <v>3.0570551427847197</v>
      </c>
      <c r="AL280" s="590">
        <v>75.616274668722326</v>
      </c>
      <c r="AM280" s="590">
        <v>128.56616671130186</v>
      </c>
      <c r="AN280" s="587">
        <v>115.85407481783531</v>
      </c>
    </row>
    <row r="281" spans="1:40" x14ac:dyDescent="0.25">
      <c r="A281" s="606" t="s">
        <v>3</v>
      </c>
      <c r="B281" s="615" t="s">
        <v>1601</v>
      </c>
      <c r="C281" s="590">
        <v>8.1263732797304075E-2</v>
      </c>
      <c r="D281" s="590">
        <v>8.1263732797304075E-2</v>
      </c>
      <c r="E281" s="590">
        <v>8.1263732797304075E-2</v>
      </c>
      <c r="F281" s="590">
        <v>8.1263732797304075E-2</v>
      </c>
      <c r="G281" s="590">
        <v>8.1263732797304075E-2</v>
      </c>
      <c r="H281" s="590">
        <v>8.1263732797304075E-2</v>
      </c>
      <c r="I281" s="590">
        <v>8.1263732797304075E-2</v>
      </c>
      <c r="J281" s="590">
        <v>8.1263732797304075E-2</v>
      </c>
      <c r="K281" s="590">
        <v>8.1263732797304075E-2</v>
      </c>
      <c r="L281" s="590">
        <v>0.13061799262425863</v>
      </c>
      <c r="M281" s="590">
        <v>0.13248654100184731</v>
      </c>
      <c r="N281" s="590">
        <v>2.8067163108017365E-2</v>
      </c>
      <c r="O281" s="590">
        <v>1.4495884384464325E-3</v>
      </c>
      <c r="P281" s="590">
        <v>9.9016132651025685E-2</v>
      </c>
      <c r="Q281" s="590">
        <v>23.65328548416737</v>
      </c>
      <c r="R281" s="590">
        <v>2.3566071475390458</v>
      </c>
      <c r="S281" s="590">
        <v>2.1911034440373369E-2</v>
      </c>
      <c r="T281" s="590">
        <v>1.645987403006741E-4</v>
      </c>
      <c r="U281" s="590">
        <v>22.808192885256293</v>
      </c>
      <c r="V281" s="590">
        <v>1.3502324734092519</v>
      </c>
      <c r="W281" s="590">
        <v>0.23253572651172691</v>
      </c>
      <c r="X281" s="590">
        <v>-48.140416814668178</v>
      </c>
      <c r="Y281" s="590">
        <v>0.13114278723134604</v>
      </c>
      <c r="Z281" s="590">
        <v>2.9650008865007859E-2</v>
      </c>
      <c r="AA281" s="590">
        <v>2.1915517076030441E-2</v>
      </c>
      <c r="AB281" s="590">
        <v>2.9218329421770634E-3</v>
      </c>
      <c r="AC281" s="590">
        <v>4.8030346904472136E-3</v>
      </c>
      <c r="AD281" s="590">
        <v>1.5596631292008143</v>
      </c>
      <c r="AE281" s="590">
        <v>-65.520861174053664</v>
      </c>
      <c r="AF281" s="590">
        <v>0.4559801247231059</v>
      </c>
      <c r="AG281" s="590">
        <v>8.680601759411422</v>
      </c>
      <c r="AH281" s="590">
        <v>0</v>
      </c>
      <c r="AI281" s="590">
        <v>8.2501251570867074E-2</v>
      </c>
      <c r="AJ281" s="590">
        <v>3.6148331502205248E-3</v>
      </c>
      <c r="AK281" s="590">
        <v>9.9363336879983982E-3</v>
      </c>
      <c r="AL281" s="590">
        <v>4.2321156845671819</v>
      </c>
      <c r="AM281" s="590">
        <v>7.1956320650194936</v>
      </c>
      <c r="AN281" s="587">
        <v>6.4841576671905266</v>
      </c>
    </row>
    <row r="282" spans="1:40" x14ac:dyDescent="0.25">
      <c r="A282" s="607" t="s">
        <v>2</v>
      </c>
      <c r="B282" s="616" t="s">
        <v>1601</v>
      </c>
      <c r="C282" s="227">
        <v>5124.6945559994319</v>
      </c>
      <c r="D282" s="227">
        <v>5124.6945559994319</v>
      </c>
      <c r="E282" s="227">
        <v>5124.6945559994319</v>
      </c>
      <c r="F282" s="227">
        <v>5124.6945559994319</v>
      </c>
      <c r="G282" s="227">
        <v>5124.6945559994319</v>
      </c>
      <c r="H282" s="227">
        <v>5124.6945559994319</v>
      </c>
      <c r="I282" s="227">
        <v>5124.6945559994319</v>
      </c>
      <c r="J282" s="227">
        <v>5124.6945559994319</v>
      </c>
      <c r="K282" s="227">
        <v>5124.6945559994319</v>
      </c>
      <c r="L282" s="227">
        <v>4971.4182912549377</v>
      </c>
      <c r="M282" s="227">
        <v>5042.5366371719601</v>
      </c>
      <c r="N282" s="227">
        <v>-35558.429382076043</v>
      </c>
      <c r="O282" s="227">
        <v>-38217.529756348958</v>
      </c>
      <c r="P282" s="227">
        <v>-33319.585018020669</v>
      </c>
      <c r="Q282" s="227">
        <v>-77721.070755045715</v>
      </c>
      <c r="R282" s="227">
        <v>-102740.81998003063</v>
      </c>
      <c r="S282" s="227">
        <v>-74428.313107712529</v>
      </c>
      <c r="T282" s="227">
        <v>-76572.975121115596</v>
      </c>
      <c r="U282" s="227">
        <v>-71866.219683299496</v>
      </c>
      <c r="V282" s="227">
        <v>6312.6990982468315</v>
      </c>
      <c r="W282" s="227">
        <v>5037.2186152836475</v>
      </c>
      <c r="X282" s="227">
        <v>-2965.1592168091775</v>
      </c>
      <c r="Y282" s="227">
        <v>-62799.449105025415</v>
      </c>
      <c r="Z282" s="227">
        <v>1490.4947872532248</v>
      </c>
      <c r="AA282" s="227">
        <v>-70720.834651881945</v>
      </c>
      <c r="AB282" s="227">
        <v>-159739.55411563837</v>
      </c>
      <c r="AC282" s="227">
        <v>-235843.69904871384</v>
      </c>
      <c r="AD282" s="227">
        <v>8764.9048529085776</v>
      </c>
      <c r="AE282" s="227">
        <v>-3505.2174973037518</v>
      </c>
      <c r="AF282" s="227">
        <v>40414.176884065397</v>
      </c>
      <c r="AG282" s="227">
        <v>33292.905661904108</v>
      </c>
      <c r="AH282" s="227">
        <v>0</v>
      </c>
      <c r="AI282" s="227">
        <v>5202.7355898471387</v>
      </c>
      <c r="AJ282" s="227">
        <v>-75790.200340690339</v>
      </c>
      <c r="AK282" s="227">
        <v>-74343.658820125536</v>
      </c>
      <c r="AL282" s="227">
        <v>-85732.420190806079</v>
      </c>
      <c r="AM282" s="227">
        <v>-65888.429681947629</v>
      </c>
      <c r="AN282" s="515">
        <v>-65636.8418464922</v>
      </c>
    </row>
    <row r="283" spans="1:40" x14ac:dyDescent="0.25">
      <c r="A283" s="608" t="s">
        <v>1405</v>
      </c>
      <c r="B283" s="617" t="s">
        <v>1601</v>
      </c>
      <c r="C283" s="227">
        <v>5148.0954540535222</v>
      </c>
      <c r="D283" s="227">
        <v>5148.0954540535222</v>
      </c>
      <c r="E283" s="227">
        <v>5148.0954540535222</v>
      </c>
      <c r="F283" s="227">
        <v>5148.0954540535222</v>
      </c>
      <c r="G283" s="227">
        <v>5148.0954540535222</v>
      </c>
      <c r="H283" s="227">
        <v>5148.0954540535222</v>
      </c>
      <c r="I283" s="227">
        <v>5148.0954540535222</v>
      </c>
      <c r="J283" s="227">
        <v>5148.0954540535222</v>
      </c>
      <c r="K283" s="227">
        <v>5148.0954540535222</v>
      </c>
      <c r="L283" s="227">
        <v>5020.5003467505339</v>
      </c>
      <c r="M283" s="227">
        <v>5092.3208332633685</v>
      </c>
      <c r="N283" s="227">
        <v>-35539.94735943323</v>
      </c>
      <c r="O283" s="227">
        <v>-38217.200396017775</v>
      </c>
      <c r="P283" s="227">
        <v>-33282.346480640474</v>
      </c>
      <c r="Q283" s="227">
        <v>-77697.141643589363</v>
      </c>
      <c r="R283" s="227">
        <v>-102724.11298471405</v>
      </c>
      <c r="S283" s="227">
        <v>-74419.971465268929</v>
      </c>
      <c r="T283" s="227">
        <v>-76572.809648261973</v>
      </c>
      <c r="U283" s="227">
        <v>-71843.145519245852</v>
      </c>
      <c r="V283" s="227">
        <v>6398.1077342197186</v>
      </c>
      <c r="W283" s="227">
        <v>5088.6289321449431</v>
      </c>
      <c r="X283" s="227">
        <v>-2921.7511661294002</v>
      </c>
      <c r="Y283" s="227">
        <v>-62752.367473059821</v>
      </c>
      <c r="Z283" s="227">
        <v>1516.0769701440249</v>
      </c>
      <c r="AA283" s="227">
        <v>-70712.491302876108</v>
      </c>
      <c r="AB283" s="227">
        <v>-159739.39987858341</v>
      </c>
      <c r="AC283" s="227">
        <v>-235843.44550720748</v>
      </c>
      <c r="AD283" s="227">
        <v>8872.3843212759966</v>
      </c>
      <c r="AE283" s="227">
        <v>-3446.1375588525461</v>
      </c>
      <c r="AF283" s="227">
        <v>40522.892455205249</v>
      </c>
      <c r="AG283" s="227">
        <v>33380.361853700095</v>
      </c>
      <c r="AH283" s="227">
        <v>0</v>
      </c>
      <c r="AI283" s="227">
        <v>5226.4928467548443</v>
      </c>
      <c r="AJ283" s="227">
        <v>-75786.566310711438</v>
      </c>
      <c r="AK283" s="227">
        <v>-74333.66971883041</v>
      </c>
      <c r="AL283" s="227">
        <v>-85544.454385291683</v>
      </c>
      <c r="AM283" s="227">
        <v>-65568.841826110234</v>
      </c>
      <c r="AN283" s="515">
        <v>-65348.853518706106</v>
      </c>
    </row>
    <row r="284" spans="1:40" x14ac:dyDescent="0.25">
      <c r="A284" s="608" t="s">
        <v>797</v>
      </c>
      <c r="B284" s="617" t="s">
        <v>1602</v>
      </c>
      <c r="C284" s="227">
        <v>7887.2836666492958</v>
      </c>
      <c r="D284" s="227">
        <v>7887.2836666492958</v>
      </c>
      <c r="E284" s="227">
        <v>7887.2836666492958</v>
      </c>
      <c r="F284" s="227">
        <v>7887.2836666492958</v>
      </c>
      <c r="G284" s="227">
        <v>7887.2836666492958</v>
      </c>
      <c r="H284" s="227">
        <v>7887.2836666492958</v>
      </c>
      <c r="I284" s="227">
        <v>7887.2836666492958</v>
      </c>
      <c r="J284" s="227">
        <v>7887.2836666492958</v>
      </c>
      <c r="K284" s="227">
        <v>7887.2836666492958</v>
      </c>
      <c r="L284" s="227">
        <v>9024.160419370688</v>
      </c>
      <c r="M284" s="227">
        <v>9153.2550408078841</v>
      </c>
      <c r="N284" s="227">
        <v>-32956.889393367906</v>
      </c>
      <c r="O284" s="227">
        <v>-38190.311962865489</v>
      </c>
      <c r="P284" s="227">
        <v>-30420.999478951435</v>
      </c>
      <c r="Q284" s="227">
        <v>-71057.037457951665</v>
      </c>
      <c r="R284" s="227">
        <v>-101944.7244242031</v>
      </c>
      <c r="S284" s="227">
        <v>-74345.744006418783</v>
      </c>
      <c r="T284" s="227">
        <v>-76571.255606353559</v>
      </c>
      <c r="U284" s="227">
        <v>-65440.281226012827</v>
      </c>
      <c r="V284" s="227">
        <v>12752.606670081579</v>
      </c>
      <c r="W284" s="227">
        <v>9268.835536448114</v>
      </c>
      <c r="X284" s="227">
        <v>-244579.13886815929</v>
      </c>
      <c r="Y284" s="227">
        <v>-62284.244420785646</v>
      </c>
      <c r="Z284" s="227">
        <v>5925.427080624685</v>
      </c>
      <c r="AA284" s="227">
        <v>-70638.248658314173</v>
      </c>
      <c r="AB284" s="227">
        <v>-159729.42876404937</v>
      </c>
      <c r="AC284" s="227">
        <v>-235827.05456016937</v>
      </c>
      <c r="AD284" s="227">
        <v>16945.041145412983</v>
      </c>
      <c r="AE284" s="227">
        <v>-332881.11869790661</v>
      </c>
      <c r="AF284" s="227">
        <v>51311.730653896346</v>
      </c>
      <c r="AG284" s="227">
        <v>37573.359099834735</v>
      </c>
      <c r="AH284" s="227">
        <v>0</v>
      </c>
      <c r="AI284" s="227">
        <v>8007.3945854307567</v>
      </c>
      <c r="AJ284" s="227">
        <v>-75752.437239024162</v>
      </c>
      <c r="AK284" s="227">
        <v>-74239.856856478596</v>
      </c>
      <c r="AL284" s="227">
        <v>-82135.721818276914</v>
      </c>
      <c r="AM284" s="227">
        <v>-59773.162504363121</v>
      </c>
      <c r="AN284" s="515">
        <v>-60126.227045991604</v>
      </c>
    </row>
    <row r="285" spans="1:40" x14ac:dyDescent="0.25">
      <c r="A285" s="613" t="s">
        <v>1598</v>
      </c>
      <c r="B285" s="285"/>
      <c r="C285" s="217"/>
      <c r="D285" s="217"/>
      <c r="E285" s="217"/>
      <c r="F285" s="217"/>
      <c r="G285" s="217"/>
      <c r="H285" s="217"/>
      <c r="I285" s="217"/>
      <c r="J285" s="217"/>
      <c r="K285" s="217"/>
      <c r="L285" s="217"/>
      <c r="M285" s="217"/>
      <c r="N285" s="217"/>
      <c r="O285" s="217"/>
      <c r="P285" s="217"/>
      <c r="Q285" s="217"/>
      <c r="R285" s="217"/>
      <c r="S285" s="217"/>
      <c r="T285" s="217"/>
      <c r="U285" s="217"/>
      <c r="V285" s="217"/>
      <c r="W285" s="217"/>
      <c r="X285" s="217"/>
      <c r="Y285" s="217"/>
      <c r="Z285" s="217"/>
      <c r="AA285" s="217"/>
      <c r="AB285" s="217"/>
      <c r="AC285" s="217"/>
      <c r="AD285" s="217"/>
      <c r="AE285" s="217"/>
      <c r="AF285" s="217"/>
      <c r="AG285" s="217"/>
      <c r="AH285" s="217"/>
      <c r="AI285" s="217"/>
      <c r="AJ285" s="217"/>
      <c r="AK285" s="217"/>
      <c r="AL285" s="217"/>
      <c r="AM285" s="217"/>
      <c r="AN285" s="218"/>
    </row>
    <row r="286" spans="1:40" x14ac:dyDescent="0.25">
      <c r="A286" s="606" t="s">
        <v>1400</v>
      </c>
      <c r="B286" s="615" t="s">
        <v>1599</v>
      </c>
      <c r="C286" s="590">
        <v>71200.210603186046</v>
      </c>
      <c r="D286" s="590">
        <v>91073.703916842176</v>
      </c>
      <c r="E286" s="590">
        <v>95874.603986995062</v>
      </c>
      <c r="F286" s="590">
        <v>71200.210603186046</v>
      </c>
      <c r="G286" s="590">
        <v>84199.109784513159</v>
      </c>
      <c r="H286" s="590">
        <v>89000.009854666045</v>
      </c>
      <c r="I286" s="590">
        <v>71200.21060318606</v>
      </c>
      <c r="J286" s="590">
        <v>76687.49728484865</v>
      </c>
      <c r="K286" s="590">
        <v>81488.397355001536</v>
      </c>
      <c r="L286" s="590">
        <v>570920.19487384765</v>
      </c>
      <c r="M286" s="590">
        <v>117336.11210925465</v>
      </c>
      <c r="N286" s="590">
        <v>1166285.3944807602</v>
      </c>
      <c r="O286" s="590">
        <v>191058.15889515338</v>
      </c>
      <c r="P286" s="590">
        <v>738690.76360885228</v>
      </c>
      <c r="Q286" s="590">
        <v>49613.176897541227</v>
      </c>
      <c r="R286" s="590">
        <v>87068.056804411215</v>
      </c>
      <c r="S286" s="590">
        <v>1014042.0414620218</v>
      </c>
      <c r="T286" s="590">
        <v>420169.59282717074</v>
      </c>
      <c r="U286" s="590">
        <v>445167.44100659236</v>
      </c>
      <c r="V286" s="227">
        <v>523320.19222079508</v>
      </c>
      <c r="W286" s="69">
        <v>452281.66808327491</v>
      </c>
      <c r="X286" s="227">
        <v>356623.10062711698</v>
      </c>
      <c r="Y286" s="227">
        <v>2123604.4188460968</v>
      </c>
      <c r="Z286" s="69">
        <v>757705.4640656393</v>
      </c>
      <c r="AA286" s="69">
        <v>839781.89891790075</v>
      </c>
      <c r="AB286" s="69">
        <v>165658.12253690153</v>
      </c>
      <c r="AC286" s="69">
        <v>201734.52946337179</v>
      </c>
      <c r="AD286" s="227">
        <v>526794.70063891716</v>
      </c>
      <c r="AE286" s="227">
        <v>774757.5884343381</v>
      </c>
      <c r="AF286" s="227">
        <v>66918.374373620012</v>
      </c>
      <c r="AG286" s="227">
        <v>66918.374373620012</v>
      </c>
      <c r="AH286" s="227">
        <v>-26811.589428019983</v>
      </c>
      <c r="AI286" s="590">
        <v>72284.477769732024</v>
      </c>
      <c r="AJ286" s="227">
        <v>-203329.7805640336</v>
      </c>
      <c r="AK286" s="227">
        <v>647243.9102984576</v>
      </c>
      <c r="AL286" s="227">
        <v>-13290.227583950527</v>
      </c>
      <c r="AM286" s="227">
        <v>-513165.16199637984</v>
      </c>
      <c r="AN286" s="515">
        <v>-427279.21244479285</v>
      </c>
    </row>
    <row r="287" spans="1:40" x14ac:dyDescent="0.25">
      <c r="A287" s="606" t="s">
        <v>1401</v>
      </c>
      <c r="B287" s="615" t="s">
        <v>1599</v>
      </c>
      <c r="C287" s="590">
        <v>70203.391928731347</v>
      </c>
      <c r="D287" s="590">
        <v>89992.577502033077</v>
      </c>
      <c r="E287" s="590">
        <v>94773.111095583503</v>
      </c>
      <c r="F287" s="590">
        <v>70203.391928731347</v>
      </c>
      <c r="G287" s="590">
        <v>83147.146913727396</v>
      </c>
      <c r="H287" s="590">
        <v>87927.680507277808</v>
      </c>
      <c r="I287" s="590">
        <v>70203.391928731347</v>
      </c>
      <c r="J287" s="590">
        <v>75667.400330450575</v>
      </c>
      <c r="K287" s="590">
        <v>80447.933924001001</v>
      </c>
      <c r="L287" s="590">
        <v>570382.76934804837</v>
      </c>
      <c r="M287" s="590">
        <v>116439.56083776147</v>
      </c>
      <c r="N287" s="590">
        <v>722326.09444688039</v>
      </c>
      <c r="O287" s="590">
        <v>186922.59723066131</v>
      </c>
      <c r="P287" s="590">
        <v>542768.14756190369</v>
      </c>
      <c r="Q287" s="590">
        <v>47013.379593784462</v>
      </c>
      <c r="R287" s="590">
        <v>70803.025000316324</v>
      </c>
      <c r="S287" s="590">
        <v>40998.166124206953</v>
      </c>
      <c r="T287" s="590">
        <v>208505.02954083521</v>
      </c>
      <c r="U287" s="590">
        <v>181830.94350558589</v>
      </c>
      <c r="V287" s="227">
        <v>503984.08483080962</v>
      </c>
      <c r="W287" s="69">
        <v>106143.8724505518</v>
      </c>
      <c r="X287" s="227">
        <v>204684.49453546153</v>
      </c>
      <c r="Y287" s="227">
        <v>26160.993576454395</v>
      </c>
      <c r="Z287" s="69">
        <v>755344.54254305293</v>
      </c>
      <c r="AA287" s="69">
        <v>442139.43772825092</v>
      </c>
      <c r="AB287" s="69">
        <v>16922.21155077876</v>
      </c>
      <c r="AC287" s="69">
        <v>3584.728030915724</v>
      </c>
      <c r="AD287" s="227">
        <v>519572.80631567864</v>
      </c>
      <c r="AE287" s="227">
        <v>179089.69194805733</v>
      </c>
      <c r="AF287" s="227">
        <v>54922.525522054435</v>
      </c>
      <c r="AG287" s="227">
        <v>54922.525522054435</v>
      </c>
      <c r="AH287" s="227">
        <v>-97596.001806273955</v>
      </c>
      <c r="AI287" s="590">
        <v>71272.479115463299</v>
      </c>
      <c r="AJ287" s="227">
        <v>204353.92342901503</v>
      </c>
      <c r="AK287" s="227">
        <v>654585.77692286682</v>
      </c>
      <c r="AL287" s="227">
        <v>-3513.6147214831544</v>
      </c>
      <c r="AM287" s="227">
        <v>-387691.5986511865</v>
      </c>
      <c r="AN287" s="515">
        <v>-381047.4362544021</v>
      </c>
    </row>
    <row r="288" spans="1:40" x14ac:dyDescent="0.25">
      <c r="A288" s="606" t="s">
        <v>1275</v>
      </c>
      <c r="B288" s="615" t="s">
        <v>1599</v>
      </c>
      <c r="C288" s="590">
        <v>1419.8755856285675</v>
      </c>
      <c r="D288" s="590">
        <v>1540.7165104420694</v>
      </c>
      <c r="E288" s="590">
        <v>1569.9084192453311</v>
      </c>
      <c r="F288" s="590">
        <v>1419.8755856285675</v>
      </c>
      <c r="G288" s="590">
        <v>1498.9154893756183</v>
      </c>
      <c r="H288" s="590">
        <v>1528.10739817888</v>
      </c>
      <c r="I288" s="590">
        <v>1419.8755856285675</v>
      </c>
      <c r="J288" s="590">
        <v>1453.2410733595682</v>
      </c>
      <c r="K288" s="590">
        <v>1482.4329821628298</v>
      </c>
      <c r="L288" s="590">
        <v>844.85170703375525</v>
      </c>
      <c r="M288" s="590">
        <v>1283.575738295234</v>
      </c>
      <c r="N288" s="590">
        <v>614555.35872496746</v>
      </c>
      <c r="O288" s="590">
        <v>5876.6740517422086</v>
      </c>
      <c r="P288" s="590">
        <v>1408.7392371218004</v>
      </c>
      <c r="Q288" s="590">
        <v>14688.630557275852</v>
      </c>
      <c r="R288" s="590">
        <v>23327.131506652608</v>
      </c>
      <c r="S288" s="590">
        <v>2186.608996202965</v>
      </c>
      <c r="T288" s="590">
        <v>7789.8207686525966</v>
      </c>
      <c r="U288" s="590">
        <v>18820.474786427341</v>
      </c>
      <c r="V288" s="227">
        <v>27752.683193498066</v>
      </c>
      <c r="W288" s="69">
        <v>27492.435379271126</v>
      </c>
      <c r="X288" s="227">
        <v>69851.050082979738</v>
      </c>
      <c r="Y288" s="227">
        <v>3152.15210101091</v>
      </c>
      <c r="Z288" s="69">
        <v>728406.28456421208</v>
      </c>
      <c r="AA288" s="69">
        <v>168162.16642744641</v>
      </c>
      <c r="AB288" s="69">
        <v>2448.4548197805575</v>
      </c>
      <c r="AC288" s="69">
        <v>377.21156311082683</v>
      </c>
      <c r="AD288" s="227">
        <v>10348.797582638417</v>
      </c>
      <c r="AE288" s="227">
        <v>58589.313053109756</v>
      </c>
      <c r="AF288" s="227">
        <v>17191.61519601168</v>
      </c>
      <c r="AG288" s="227">
        <v>17191.61519601168</v>
      </c>
      <c r="AH288" s="227">
        <v>-43196.146405949279</v>
      </c>
      <c r="AI288" s="590">
        <v>1441.4980564757029</v>
      </c>
      <c r="AJ288" s="227">
        <v>13266.852534272435</v>
      </c>
      <c r="AK288" s="227">
        <v>51859.580449572946</v>
      </c>
      <c r="AL288" s="227">
        <v>-13941.74422283133</v>
      </c>
      <c r="AM288" s="227">
        <v>-178172.52320833268</v>
      </c>
      <c r="AN288" s="515">
        <v>-62234.355522015227</v>
      </c>
    </row>
    <row r="289" spans="1:40" x14ac:dyDescent="0.25">
      <c r="A289" s="606" t="s">
        <v>233</v>
      </c>
      <c r="B289" s="615" t="s">
        <v>1599</v>
      </c>
      <c r="C289" s="590">
        <v>34972.128930666739</v>
      </c>
      <c r="D289" s="590">
        <v>54629.12746259648</v>
      </c>
      <c r="E289" s="590">
        <v>59377.7282315458</v>
      </c>
      <c r="F289" s="590">
        <v>34972.128930666731</v>
      </c>
      <c r="G289" s="590">
        <v>47829.422718491573</v>
      </c>
      <c r="H289" s="590">
        <v>52578.023487440892</v>
      </c>
      <c r="I289" s="590">
        <v>34972.128930666724</v>
      </c>
      <c r="J289" s="590">
        <v>40399.639059024492</v>
      </c>
      <c r="K289" s="590">
        <v>45148.239827973819</v>
      </c>
      <c r="L289" s="590">
        <v>565711.24700050312</v>
      </c>
      <c r="M289" s="590">
        <v>109302.1461026841</v>
      </c>
      <c r="N289" s="590">
        <v>81220.927034162902</v>
      </c>
      <c r="O289" s="590">
        <v>167514.92166455736</v>
      </c>
      <c r="P289" s="590">
        <v>532797.42371447734</v>
      </c>
      <c r="Q289" s="590">
        <v>30761.256670945397</v>
      </c>
      <c r="R289" s="590">
        <v>35952.013600512335</v>
      </c>
      <c r="S289" s="590">
        <v>12817.325859879007</v>
      </c>
      <c r="T289" s="590">
        <v>195901.84350269014</v>
      </c>
      <c r="U289" s="590">
        <v>152423.62759095509</v>
      </c>
      <c r="V289" s="227">
        <v>465423.08138021058</v>
      </c>
      <c r="W289" s="69">
        <v>67896.19285952198</v>
      </c>
      <c r="X289" s="227">
        <v>113906.03594336212</v>
      </c>
      <c r="Y289" s="227">
        <v>12636.328335956856</v>
      </c>
      <c r="Z289" s="69">
        <v>7137.2515937705248</v>
      </c>
      <c r="AA289" s="69">
        <v>252949.91789432897</v>
      </c>
      <c r="AB289" s="69">
        <v>4668.5793929323318</v>
      </c>
      <c r="AC289" s="69">
        <v>811.15264961214393</v>
      </c>
      <c r="AD289" s="227">
        <v>498292.63803575555</v>
      </c>
      <c r="AE289" s="227">
        <v>97977.931295948714</v>
      </c>
      <c r="AF289" s="227">
        <v>26773.543830527924</v>
      </c>
      <c r="AG289" s="227">
        <v>26773.543830527924</v>
      </c>
      <c r="AH289" s="227">
        <v>-63473.802597510774</v>
      </c>
      <c r="AI289" s="590">
        <v>35504.699421996687</v>
      </c>
      <c r="AJ289" s="227">
        <v>158561.97335469417</v>
      </c>
      <c r="AK289" s="227">
        <v>551211.49410707864</v>
      </c>
      <c r="AL289" s="227">
        <v>-15933.500703766438</v>
      </c>
      <c r="AM289" s="227">
        <v>-232081.13033675059</v>
      </c>
      <c r="AN289" s="515">
        <v>-224783.93798184363</v>
      </c>
    </row>
    <row r="290" spans="1:40" x14ac:dyDescent="0.25">
      <c r="A290" s="606" t="s">
        <v>1402</v>
      </c>
      <c r="B290" s="615" t="s">
        <v>1599</v>
      </c>
      <c r="C290" s="590">
        <v>33811.387412436052</v>
      </c>
      <c r="D290" s="590">
        <v>33822.733528994548</v>
      </c>
      <c r="E290" s="590">
        <v>33825.47444479238</v>
      </c>
      <c r="F290" s="590">
        <v>33811.387412436052</v>
      </c>
      <c r="G290" s="590">
        <v>33818.808705860196</v>
      </c>
      <c r="H290" s="590">
        <v>33821.549621658036</v>
      </c>
      <c r="I290" s="590">
        <v>33811.387412436052</v>
      </c>
      <c r="J290" s="590">
        <v>33814.520198066508</v>
      </c>
      <c r="K290" s="590">
        <v>33817.261113864348</v>
      </c>
      <c r="L290" s="590">
        <v>3826.6706405115456</v>
      </c>
      <c r="M290" s="590">
        <v>5853.8389967821386</v>
      </c>
      <c r="N290" s="590">
        <v>26549.808687750065</v>
      </c>
      <c r="O290" s="590">
        <v>13531.001514361709</v>
      </c>
      <c r="P290" s="590">
        <v>8561.9846103044019</v>
      </c>
      <c r="Q290" s="590">
        <v>1563.4923655632147</v>
      </c>
      <c r="R290" s="590">
        <v>11523.879893151376</v>
      </c>
      <c r="S290" s="590">
        <v>25994.231268124986</v>
      </c>
      <c r="T290" s="590">
        <v>4813.3652694924131</v>
      </c>
      <c r="U290" s="590">
        <v>10586.84112820343</v>
      </c>
      <c r="V290" s="227">
        <v>10808.32025710099</v>
      </c>
      <c r="W290" s="69">
        <v>10755.244211758702</v>
      </c>
      <c r="X290" s="227">
        <v>20927.408509119676</v>
      </c>
      <c r="Y290" s="227">
        <v>12229.476873186633</v>
      </c>
      <c r="Z290" s="69">
        <v>19801.006385070323</v>
      </c>
      <c r="AA290" s="69">
        <v>21027.353406475584</v>
      </c>
      <c r="AB290" s="69">
        <v>9805.1773380658688</v>
      </c>
      <c r="AC290" s="69">
        <v>2396.3638181927536</v>
      </c>
      <c r="AD290" s="227">
        <v>10931.370697284701</v>
      </c>
      <c r="AE290" s="227">
        <v>22522.447598998882</v>
      </c>
      <c r="AF290" s="227">
        <v>10957.366495514823</v>
      </c>
      <c r="AG290" s="227">
        <v>10957.366495514823</v>
      </c>
      <c r="AH290" s="227">
        <v>9073.9471971860767</v>
      </c>
      <c r="AI290" s="590">
        <v>34326.281636990912</v>
      </c>
      <c r="AJ290" s="227">
        <v>32525.097540048413</v>
      </c>
      <c r="AK290" s="227">
        <v>51514.702366215344</v>
      </c>
      <c r="AL290" s="227">
        <v>26361.630205114612</v>
      </c>
      <c r="AM290" s="227">
        <v>22562.05488885384</v>
      </c>
      <c r="AN290" s="515">
        <v>-94037.836069314857</v>
      </c>
    </row>
    <row r="291" spans="1:40" x14ac:dyDescent="0.25">
      <c r="A291" s="606" t="s">
        <v>1403</v>
      </c>
      <c r="B291" s="615" t="s">
        <v>1600</v>
      </c>
      <c r="C291" s="590">
        <v>2.8061590804602514</v>
      </c>
      <c r="D291" s="590">
        <v>3.469665110478533</v>
      </c>
      <c r="E291" s="590">
        <v>3.6299502750335115</v>
      </c>
      <c r="F291" s="590">
        <v>2.8061590804602514</v>
      </c>
      <c r="G291" s="590">
        <v>3.2401465961067153</v>
      </c>
      <c r="H291" s="590">
        <v>3.4004317606616938</v>
      </c>
      <c r="I291" s="590">
        <v>2.8061590804602514</v>
      </c>
      <c r="J291" s="590">
        <v>2.9893602793768159</v>
      </c>
      <c r="K291" s="590">
        <v>3.149645443931794</v>
      </c>
      <c r="L291" s="590">
        <v>28.184159136362201</v>
      </c>
      <c r="M291" s="590">
        <v>0.75538534778969435</v>
      </c>
      <c r="N291" s="590">
        <v>63.607112767444882</v>
      </c>
      <c r="O291" s="590">
        <v>4.0282425469387348</v>
      </c>
      <c r="P291" s="590">
        <v>38.485403006837885</v>
      </c>
      <c r="Q291" s="590">
        <v>2.8934412669403544</v>
      </c>
      <c r="R291" s="590">
        <v>6.5476899123933361</v>
      </c>
      <c r="S291" s="590">
        <v>62.371153684151309</v>
      </c>
      <c r="T291" s="590">
        <v>5.5877387895108912</v>
      </c>
      <c r="U291" s="590">
        <v>5.8777394607816094</v>
      </c>
      <c r="V291" s="227">
        <v>8.9761896933648657</v>
      </c>
      <c r="W291" s="69">
        <v>7.6692944981699904</v>
      </c>
      <c r="X291" s="227">
        <v>43.226390082282464</v>
      </c>
      <c r="Y291" s="227">
        <v>23.418709092330324</v>
      </c>
      <c r="Z291" s="69">
        <v>3.657549348442183</v>
      </c>
      <c r="AA291" s="69">
        <v>45.982823829356462</v>
      </c>
      <c r="AB291" s="69">
        <v>-2.3397829939526869</v>
      </c>
      <c r="AC291" s="69">
        <v>-6.8840689769578605</v>
      </c>
      <c r="AD291" s="227">
        <v>20.757462745513219</v>
      </c>
      <c r="AE291" s="227">
        <v>59.997624236574183</v>
      </c>
      <c r="AF291" s="227">
        <v>4.8785017386877669</v>
      </c>
      <c r="AG291" s="227">
        <v>4.8785017386877669</v>
      </c>
      <c r="AH291" s="227">
        <v>-11.519866651556919</v>
      </c>
      <c r="AI291" s="590">
        <v>2.8488924674723362</v>
      </c>
      <c r="AJ291" s="227">
        <v>5.3602703871006536</v>
      </c>
      <c r="AK291" s="227">
        <v>49.923942824733068</v>
      </c>
      <c r="AL291" s="227">
        <v>-3.0176910336520999</v>
      </c>
      <c r="AM291" s="227">
        <v>-47.206382524462271</v>
      </c>
      <c r="AN291" s="515">
        <v>-41.256783292183663</v>
      </c>
    </row>
    <row r="292" spans="1:40" x14ac:dyDescent="0.25">
      <c r="A292" s="606" t="s">
        <v>237</v>
      </c>
      <c r="B292" s="615" t="s">
        <v>1601</v>
      </c>
      <c r="C292" s="590">
        <v>2.3567014833569293</v>
      </c>
      <c r="D292" s="590">
        <v>2.5735450056126119</v>
      </c>
      <c r="E292" s="590">
        <v>2.6259285531238161</v>
      </c>
      <c r="F292" s="590">
        <v>2.3567014833569293</v>
      </c>
      <c r="G292" s="590">
        <v>2.4985349818485396</v>
      </c>
      <c r="H292" s="590">
        <v>2.5509185293597438</v>
      </c>
      <c r="I292" s="590">
        <v>2.3567014833569293</v>
      </c>
      <c r="J292" s="590">
        <v>2.4165743276978273</v>
      </c>
      <c r="K292" s="590">
        <v>2.4689578752090315</v>
      </c>
      <c r="L292" s="590">
        <v>5.0777578310273288</v>
      </c>
      <c r="M292" s="590">
        <v>0.99479512128384817</v>
      </c>
      <c r="N292" s="590">
        <v>7.169441721969581</v>
      </c>
      <c r="O292" s="590">
        <v>3.189624973977546</v>
      </c>
      <c r="P292" s="590">
        <v>4.8760052853681133</v>
      </c>
      <c r="Q292" s="590">
        <v>16.158189210630965</v>
      </c>
      <c r="R292" s="590">
        <v>1.7727066943310299</v>
      </c>
      <c r="S292" s="590">
        <v>1.8658335506370138</v>
      </c>
      <c r="T292" s="590">
        <v>3.5053892478603954</v>
      </c>
      <c r="U292" s="590">
        <v>18.734542260861286</v>
      </c>
      <c r="V292" s="590">
        <v>19.491323902513795</v>
      </c>
      <c r="W292" s="590">
        <v>13.117433768382277</v>
      </c>
      <c r="X292" s="590">
        <v>17.125777609199254</v>
      </c>
      <c r="Y292" s="590">
        <v>13.405962634127615</v>
      </c>
      <c r="Z292" s="590">
        <v>18.650494016759033</v>
      </c>
      <c r="AA292" s="590">
        <v>17.338832092230014</v>
      </c>
      <c r="AB292" s="590">
        <v>13.558824619899129</v>
      </c>
      <c r="AC292" s="590">
        <v>2.2830777151114416</v>
      </c>
      <c r="AD292" s="590">
        <v>271.86948709955084</v>
      </c>
      <c r="AE292" s="590">
        <v>269.42488475210661</v>
      </c>
      <c r="AF292" s="590">
        <v>0.62193347480137851</v>
      </c>
      <c r="AG292" s="590">
        <v>0.62193347480137851</v>
      </c>
      <c r="AH292" s="590">
        <v>-0.77772169656677703</v>
      </c>
      <c r="AI292" s="590">
        <v>2.3925903384334308</v>
      </c>
      <c r="AJ292" s="590">
        <v>-0.66549239493361934</v>
      </c>
      <c r="AK292" s="590">
        <v>32.497088757741608</v>
      </c>
      <c r="AL292" s="590">
        <v>1.6412300475753523</v>
      </c>
      <c r="AM292" s="590">
        <v>-1.6870312568096637</v>
      </c>
      <c r="AN292" s="587">
        <v>-1.1554576991427572</v>
      </c>
    </row>
    <row r="293" spans="1:40" x14ac:dyDescent="0.25">
      <c r="A293" s="606" t="s">
        <v>234</v>
      </c>
      <c r="B293" s="615" t="s">
        <v>1601</v>
      </c>
      <c r="C293" s="590">
        <v>3.747870013181577</v>
      </c>
      <c r="D293" s="590">
        <v>4.3131165101900724</v>
      </c>
      <c r="E293" s="590">
        <v>4.4496648212651584</v>
      </c>
      <c r="F293" s="590">
        <v>3.7478700131815774</v>
      </c>
      <c r="G293" s="590">
        <v>4.1175877125939309</v>
      </c>
      <c r="H293" s="590">
        <v>4.2541360236690169</v>
      </c>
      <c r="I293" s="590">
        <v>3.7478700131815774</v>
      </c>
      <c r="J293" s="590">
        <v>3.9039406911413415</v>
      </c>
      <c r="K293" s="590">
        <v>4.040489002216427</v>
      </c>
      <c r="L293" s="590">
        <v>9.3134758120400711</v>
      </c>
      <c r="M293" s="590">
        <v>6.3263705917885655</v>
      </c>
      <c r="N293" s="590">
        <v>8.4266398121157486</v>
      </c>
      <c r="O293" s="590">
        <v>7.8117676458011243</v>
      </c>
      <c r="P293" s="590">
        <v>9.5738729910175913</v>
      </c>
      <c r="Q293" s="590">
        <v>1.9773464938690217</v>
      </c>
      <c r="R293" s="590">
        <v>3.9917977272309315</v>
      </c>
      <c r="S293" s="590">
        <v>5.5310858203161137</v>
      </c>
      <c r="T293" s="590">
        <v>8.5332976698019465</v>
      </c>
      <c r="U293" s="590">
        <v>6.7225957063325268</v>
      </c>
      <c r="V293" s="590">
        <v>18.540878380513831</v>
      </c>
      <c r="W293" s="590">
        <v>-30.211109572686741</v>
      </c>
      <c r="X293" s="590">
        <v>12.541487120978035</v>
      </c>
      <c r="Y293" s="590">
        <v>1.8756736564744443</v>
      </c>
      <c r="Z293" s="590">
        <v>2.9212986043099383</v>
      </c>
      <c r="AA293" s="590">
        <v>16.4937926097824</v>
      </c>
      <c r="AB293" s="590">
        <v>3.4999867538667964</v>
      </c>
      <c r="AC293" s="590">
        <v>10.443836255765662</v>
      </c>
      <c r="AD293" s="590">
        <v>249.80607534133483</v>
      </c>
      <c r="AE293" s="590">
        <v>244.28744121861081</v>
      </c>
      <c r="AF293" s="590">
        <v>2.9695412222977757</v>
      </c>
      <c r="AG293" s="590">
        <v>2.9695412222977757</v>
      </c>
      <c r="AH293" s="590">
        <v>-2.0086273516756346</v>
      </c>
      <c r="AI293" s="590">
        <v>3.8049441758188598</v>
      </c>
      <c r="AJ293" s="590">
        <v>-0.56803116278238264</v>
      </c>
      <c r="AK293" s="590">
        <v>44.695031189983446</v>
      </c>
      <c r="AL293" s="590">
        <v>3.6793380089500936</v>
      </c>
      <c r="AM293" s="590">
        <v>-8.2016352566685207</v>
      </c>
      <c r="AN293" s="587">
        <v>-7.2406219022435785</v>
      </c>
    </row>
    <row r="294" spans="1:40" x14ac:dyDescent="0.25">
      <c r="A294" s="606" t="s">
        <v>1404</v>
      </c>
      <c r="B294" s="615" t="s">
        <v>1601</v>
      </c>
      <c r="C294" s="590">
        <v>8.1868064347329259</v>
      </c>
      <c r="D294" s="590">
        <v>8.867230018475329</v>
      </c>
      <c r="E294" s="590">
        <v>9.0316020078063595</v>
      </c>
      <c r="F294" s="590">
        <v>8.1868064347329259</v>
      </c>
      <c r="G294" s="590">
        <v>8.6318594219491729</v>
      </c>
      <c r="H294" s="590">
        <v>8.7962314112802034</v>
      </c>
      <c r="I294" s="590">
        <v>8.1868064347329259</v>
      </c>
      <c r="J294" s="590">
        <v>8.3746787534054175</v>
      </c>
      <c r="K294" s="590">
        <v>8.5390507427364462</v>
      </c>
      <c r="L294" s="590">
        <v>11.443389077617921</v>
      </c>
      <c r="M294" s="590">
        <v>8.2091968516103258</v>
      </c>
      <c r="N294" s="590">
        <v>13.240442237256373</v>
      </c>
      <c r="O294" s="590">
        <v>11.020178023794468</v>
      </c>
      <c r="P294" s="590">
        <v>29.40597893760631</v>
      </c>
      <c r="Q294" s="590">
        <v>3.9102118286031065</v>
      </c>
      <c r="R294" s="590">
        <v>4.8062398891156572</v>
      </c>
      <c r="S294" s="590">
        <v>74.568705716722576</v>
      </c>
      <c r="T294" s="590">
        <v>11.911566427715011</v>
      </c>
      <c r="U294" s="590">
        <v>12.154355844352116</v>
      </c>
      <c r="V294" s="590">
        <v>27.33013331432872</v>
      </c>
      <c r="W294" s="590">
        <v>-61.720324636828273</v>
      </c>
      <c r="X294" s="590">
        <v>23.350018108549666</v>
      </c>
      <c r="Y294" s="590">
        <v>3.7860832367402577</v>
      </c>
      <c r="Z294" s="590">
        <v>6.7742683786483955</v>
      </c>
      <c r="AA294" s="590">
        <v>28.917071491786487</v>
      </c>
      <c r="AB294" s="590">
        <v>6.2926414562337127</v>
      </c>
      <c r="AC294" s="590">
        <v>17.408008021676611</v>
      </c>
      <c r="AD294" s="590">
        <v>37.858368151086303</v>
      </c>
      <c r="AE294" s="590">
        <v>34.896544404676433</v>
      </c>
      <c r="AF294" s="590">
        <v>5.6218142116727297</v>
      </c>
      <c r="AG294" s="590">
        <v>5.6218142116727297</v>
      </c>
      <c r="AH294" s="590">
        <v>-3.1956149842735697</v>
      </c>
      <c r="AI294" s="590">
        <v>8.3114786139420556</v>
      </c>
      <c r="AJ294" s="590">
        <v>42.193929046903797</v>
      </c>
      <c r="AK294" s="590">
        <v>102.19169456694659</v>
      </c>
      <c r="AL294" s="590">
        <v>50.594198848177875</v>
      </c>
      <c r="AM294" s="590">
        <v>34.561420373536528</v>
      </c>
      <c r="AN294" s="587">
        <v>25.74422487822487</v>
      </c>
    </row>
    <row r="295" spans="1:40" x14ac:dyDescent="0.25">
      <c r="A295" s="606" t="s">
        <v>235</v>
      </c>
      <c r="B295" s="615" t="s">
        <v>1601</v>
      </c>
      <c r="C295" s="590">
        <v>0.86393275392134516</v>
      </c>
      <c r="D295" s="590">
        <v>0.89793674324513761</v>
      </c>
      <c r="E295" s="590">
        <v>0.90615119010425604</v>
      </c>
      <c r="F295" s="590">
        <v>0.86393275392134505</v>
      </c>
      <c r="G295" s="590">
        <v>0.88617415969770996</v>
      </c>
      <c r="H295" s="590">
        <v>0.8943886065568285</v>
      </c>
      <c r="I295" s="590">
        <v>0.86393275392134505</v>
      </c>
      <c r="J295" s="590">
        <v>0.87332162354758369</v>
      </c>
      <c r="K295" s="590">
        <v>0.88153607040670212</v>
      </c>
      <c r="L295" s="590">
        <v>0.28725353887797161</v>
      </c>
      <c r="M295" s="590">
        <v>0.45778029279436666</v>
      </c>
      <c r="N295" s="590">
        <v>5.9745998998227661</v>
      </c>
      <c r="O295" s="590">
        <v>0.61179145349650799</v>
      </c>
      <c r="P295" s="590">
        <v>0.3772715723977963</v>
      </c>
      <c r="Q295" s="590">
        <v>0.29939813786935821</v>
      </c>
      <c r="R295" s="590">
        <v>0.5697434061494091</v>
      </c>
      <c r="S295" s="590">
        <v>0.57275183219347059</v>
      </c>
      <c r="T295" s="590">
        <v>0.68059725881092004</v>
      </c>
      <c r="U295" s="590">
        <v>0.72385082910440768</v>
      </c>
      <c r="V295" s="590">
        <v>2.5951633292997776</v>
      </c>
      <c r="W295" s="590">
        <v>-3.7614418433121366</v>
      </c>
      <c r="X295" s="590">
        <v>3.6991441598329611</v>
      </c>
      <c r="Y295" s="590">
        <v>0.22672046568870935</v>
      </c>
      <c r="Z295" s="590">
        <v>6.306065067294651</v>
      </c>
      <c r="AA295" s="590">
        <v>3.7403551106749893</v>
      </c>
      <c r="AB295" s="590">
        <v>0.43582339134357817</v>
      </c>
      <c r="AC295" s="590">
        <v>1.618787508987213</v>
      </c>
      <c r="AD295" s="590">
        <v>2.0141600217342437</v>
      </c>
      <c r="AE295" s="590">
        <v>3.2820402971792753</v>
      </c>
      <c r="AF295" s="590">
        <v>0.4619287147697288</v>
      </c>
      <c r="AG295" s="590">
        <v>0.4619287147697288</v>
      </c>
      <c r="AH295" s="590">
        <v>-0.81397860625210405</v>
      </c>
      <c r="AI295" s="590">
        <v>0.87708909027547732</v>
      </c>
      <c r="AJ295" s="590">
        <v>3.2617543903840676</v>
      </c>
      <c r="AK295" s="590">
        <v>12.864713983123018</v>
      </c>
      <c r="AL295" s="590">
        <v>3.6613790962174031</v>
      </c>
      <c r="AM295" s="590">
        <v>0.33636769439570635</v>
      </c>
      <c r="AN295" s="587">
        <v>-0.36715196710593606</v>
      </c>
    </row>
    <row r="296" spans="1:40" x14ac:dyDescent="0.25">
      <c r="A296" s="606" t="s">
        <v>236</v>
      </c>
      <c r="B296" s="615" t="s">
        <v>1601</v>
      </c>
      <c r="C296" s="590">
        <v>0.75053217580181808</v>
      </c>
      <c r="D296" s="590">
        <v>0.7824967547999514</v>
      </c>
      <c r="E296" s="590">
        <v>0.79021853511972517</v>
      </c>
      <c r="F296" s="590">
        <v>0.75053217580181808</v>
      </c>
      <c r="G296" s="590">
        <v>0.77143963948787198</v>
      </c>
      <c r="H296" s="590">
        <v>0.77916141980764575</v>
      </c>
      <c r="I296" s="590">
        <v>0.75053217580181808</v>
      </c>
      <c r="J296" s="590">
        <v>0.75935794215568209</v>
      </c>
      <c r="K296" s="590">
        <v>0.76707972247545586</v>
      </c>
      <c r="L296" s="590">
        <v>0.23425327937515517</v>
      </c>
      <c r="M296" s="590">
        <v>0.43465610396675158</v>
      </c>
      <c r="N296" s="590">
        <v>1.3420436757136383</v>
      </c>
      <c r="O296" s="590">
        <v>0.53148919996725552</v>
      </c>
      <c r="P296" s="590">
        <v>0.29108730141346389</v>
      </c>
      <c r="Q296" s="590">
        <v>0.17900060901603196</v>
      </c>
      <c r="R296" s="590">
        <v>0.29972973504387412</v>
      </c>
      <c r="S296" s="590">
        <v>0.39176350893657319</v>
      </c>
      <c r="T296" s="590">
        <v>0.58054219153796416</v>
      </c>
      <c r="U296" s="590">
        <v>0.53864762368449326</v>
      </c>
      <c r="V296" s="590">
        <v>2.2826608339170553</v>
      </c>
      <c r="W296" s="590">
        <v>-4.0950216139898643</v>
      </c>
      <c r="X296" s="590">
        <v>2.9379817879844574</v>
      </c>
      <c r="Y296" s="590">
        <v>0.13940616063778766</v>
      </c>
      <c r="Z296" s="590">
        <v>0.95043107897097834</v>
      </c>
      <c r="AA296" s="590">
        <v>2.1434393153814084</v>
      </c>
      <c r="AB296" s="590">
        <v>0.3844378663980158</v>
      </c>
      <c r="AC296" s="590">
        <v>1.6091521644901512</v>
      </c>
      <c r="AD296" s="590">
        <v>1.882133623967857</v>
      </c>
      <c r="AE296" s="590">
        <v>2.6359036814516696</v>
      </c>
      <c r="AF296" s="590">
        <v>0.2729376956452822</v>
      </c>
      <c r="AG296" s="590">
        <v>0.2729376956452822</v>
      </c>
      <c r="AH296" s="590">
        <v>-0.4477563489423414</v>
      </c>
      <c r="AI296" s="590">
        <v>0.76196159979880007</v>
      </c>
      <c r="AJ296" s="590">
        <v>2.7894506238447301</v>
      </c>
      <c r="AK296" s="590">
        <v>10.800186263278501</v>
      </c>
      <c r="AL296" s="590">
        <v>3.462889484252401</v>
      </c>
      <c r="AM296" s="590">
        <v>1.6357134344704594</v>
      </c>
      <c r="AN296" s="587">
        <v>2.2916332800694326</v>
      </c>
    </row>
    <row r="297" spans="1:40" x14ac:dyDescent="0.25">
      <c r="A297" s="606" t="s">
        <v>798</v>
      </c>
      <c r="B297" s="615" t="s">
        <v>1601</v>
      </c>
      <c r="C297" s="590">
        <v>3.6541196198347046</v>
      </c>
      <c r="D297" s="590">
        <v>3.8637946453863545</v>
      </c>
      <c r="E297" s="590">
        <v>3.9144464774016408</v>
      </c>
      <c r="F297" s="590">
        <v>3.6541196198347046</v>
      </c>
      <c r="G297" s="590">
        <v>3.7912643318876791</v>
      </c>
      <c r="H297" s="590">
        <v>3.8419161639029653</v>
      </c>
      <c r="I297" s="590">
        <v>3.6541196198347046</v>
      </c>
      <c r="J297" s="590">
        <v>3.7120131646196182</v>
      </c>
      <c r="K297" s="590">
        <v>3.7626649966349044</v>
      </c>
      <c r="L297" s="590">
        <v>5.9220313172819807</v>
      </c>
      <c r="M297" s="590">
        <v>1.5940698572489589</v>
      </c>
      <c r="N297" s="590">
        <v>8.6638904424168484</v>
      </c>
      <c r="O297" s="590">
        <v>2.362570334569694</v>
      </c>
      <c r="P297" s="590">
        <v>13.307101526125864</v>
      </c>
      <c r="Q297" s="590">
        <v>3.3446892661733378</v>
      </c>
      <c r="R297" s="590">
        <v>2.8937934680186213</v>
      </c>
      <c r="S297" s="590">
        <v>39.04969614036024</v>
      </c>
      <c r="T297" s="590">
        <v>2.8512291963622323</v>
      </c>
      <c r="U297" s="590">
        <v>5.2518004422885536</v>
      </c>
      <c r="V297" s="590">
        <v>7.8004240350834522</v>
      </c>
      <c r="W297" s="590">
        <v>6.6094314888175187</v>
      </c>
      <c r="X297" s="590">
        <v>9.9689141168737265</v>
      </c>
      <c r="Y297" s="590">
        <v>0.73332472101871804</v>
      </c>
      <c r="Z297" s="590">
        <v>5.2644686240958745</v>
      </c>
      <c r="AA297" s="590">
        <v>20.616290133860637</v>
      </c>
      <c r="AB297" s="590">
        <v>0.33925179332834587</v>
      </c>
      <c r="AC297" s="590">
        <v>5.590852260070716E-2</v>
      </c>
      <c r="AD297" s="590">
        <v>7.8794776433311258</v>
      </c>
      <c r="AE297" s="590">
        <v>10.389049905939837</v>
      </c>
      <c r="AF297" s="590">
        <v>2.1439017119414436</v>
      </c>
      <c r="AG297" s="590">
        <v>2.1439017119414436</v>
      </c>
      <c r="AH297" s="590">
        <v>-5.2362514305121444</v>
      </c>
      <c r="AI297" s="590">
        <v>3.7097661115073142</v>
      </c>
      <c r="AJ297" s="590">
        <v>32.819989252100903</v>
      </c>
      <c r="AK297" s="590">
        <v>82.930204992632738</v>
      </c>
      <c r="AL297" s="590">
        <v>69.761850279981346</v>
      </c>
      <c r="AM297" s="590">
        <v>78.944044966301988</v>
      </c>
      <c r="AN297" s="587">
        <v>59.410174038592423</v>
      </c>
    </row>
    <row r="298" spans="1:40" x14ac:dyDescent="0.25">
      <c r="A298" s="606" t="s">
        <v>799</v>
      </c>
      <c r="B298" s="615" t="s">
        <v>1601</v>
      </c>
      <c r="C298" s="590">
        <v>9.4070522383991398E-2</v>
      </c>
      <c r="D298" s="590">
        <v>9.6944030345358784E-2</v>
      </c>
      <c r="E298" s="590">
        <v>9.7638192380970018E-2</v>
      </c>
      <c r="F298" s="590">
        <v>9.4070522383991384E-2</v>
      </c>
      <c r="G298" s="590">
        <v>9.5950032930880932E-2</v>
      </c>
      <c r="H298" s="590">
        <v>9.6644194966492153E-2</v>
      </c>
      <c r="I298" s="590">
        <v>9.4070522383991384E-2</v>
      </c>
      <c r="J298" s="590">
        <v>9.4863929044672821E-2</v>
      </c>
      <c r="K298" s="590">
        <v>9.5558091080284041E-2</v>
      </c>
      <c r="L298" s="590">
        <v>4.7403816585085523E-2</v>
      </c>
      <c r="M298" s="590">
        <v>2.4207132526646396E-2</v>
      </c>
      <c r="N298" s="590">
        <v>0.16731321208649275</v>
      </c>
      <c r="O298" s="590">
        <v>7.2343875426987683E-2</v>
      </c>
      <c r="P298" s="590">
        <v>8.316191741165499E-2</v>
      </c>
      <c r="Q298" s="590">
        <v>1.9912945390286731E-2</v>
      </c>
      <c r="R298" s="590">
        <v>1.6883532490295755E-2</v>
      </c>
      <c r="S298" s="590">
        <v>0.19751884706625991</v>
      </c>
      <c r="T298" s="590">
        <v>7.4014557573135575E-2</v>
      </c>
      <c r="U298" s="590">
        <v>5.8782555473290747E-2</v>
      </c>
      <c r="V298" s="590">
        <v>0.2753811797008322</v>
      </c>
      <c r="W298" s="590">
        <v>-5.1695775300931297</v>
      </c>
      <c r="X298" s="590">
        <v>0.32043748464825045</v>
      </c>
      <c r="Y298" s="590">
        <v>1.4675984190096299E-2</v>
      </c>
      <c r="Z298" s="590">
        <v>3.4335879906265548E-2</v>
      </c>
      <c r="AA298" s="590">
        <v>0.16469749242236642</v>
      </c>
      <c r="AB298" s="590">
        <v>5.7391532441731306E-2</v>
      </c>
      <c r="AC298" s="590">
        <v>0.26440318442322408</v>
      </c>
      <c r="AD298" s="590">
        <v>0.3002508066334274</v>
      </c>
      <c r="AE298" s="590">
        <v>0.35245979975727115</v>
      </c>
      <c r="AF298" s="590">
        <v>1.9142655277223718E-2</v>
      </c>
      <c r="AG298" s="590">
        <v>1.9142655277223718E-2</v>
      </c>
      <c r="AH298" s="590">
        <v>-1.9270452109079919E-2</v>
      </c>
      <c r="AI298" s="590">
        <v>9.5503068410143541E-2</v>
      </c>
      <c r="AJ298" s="590">
        <v>-0.33765958712718236</v>
      </c>
      <c r="AK298" s="590">
        <v>0.80806948791186439</v>
      </c>
      <c r="AL298" s="590">
        <v>0.53438122907496988</v>
      </c>
      <c r="AM298" s="590">
        <v>0.44914234886854754</v>
      </c>
      <c r="AN298" s="587">
        <v>0.5022461231786296</v>
      </c>
    </row>
    <row r="299" spans="1:40" x14ac:dyDescent="0.25">
      <c r="A299" s="606" t="s">
        <v>800</v>
      </c>
      <c r="B299" s="615" t="s">
        <v>1601</v>
      </c>
      <c r="C299" s="590">
        <v>0.18682144182363028</v>
      </c>
      <c r="D299" s="590">
        <v>0.19378019019892687</v>
      </c>
      <c r="E299" s="590">
        <v>0.19546123615475694</v>
      </c>
      <c r="F299" s="590">
        <v>0.18682144182363028</v>
      </c>
      <c r="G299" s="590">
        <v>0.19137303560390176</v>
      </c>
      <c r="H299" s="590">
        <v>0.19305408155973183</v>
      </c>
      <c r="I299" s="590">
        <v>0.18682144182363028</v>
      </c>
      <c r="J299" s="590">
        <v>0.18874282759502697</v>
      </c>
      <c r="K299" s="590">
        <v>0.19042387355085705</v>
      </c>
      <c r="L299" s="590">
        <v>9.2240565243133246E-2</v>
      </c>
      <c r="M299" s="590">
        <v>0.27226595953288457</v>
      </c>
      <c r="N299" s="590">
        <v>0.22293499487305926</v>
      </c>
      <c r="O299" s="590">
        <v>0.19846194748583237</v>
      </c>
      <c r="P299" s="590">
        <v>0.1019593403004091</v>
      </c>
      <c r="Q299" s="590">
        <v>5.392815854524028E-2</v>
      </c>
      <c r="R299" s="590">
        <v>8.1052319398176892E-2</v>
      </c>
      <c r="S299" s="590">
        <v>9.2682700251958988E-2</v>
      </c>
      <c r="T299" s="590">
        <v>0.20508250569111636</v>
      </c>
      <c r="U299" s="590">
        <v>0.16357522402499383</v>
      </c>
      <c r="V299" s="590">
        <v>0.75735559637957428</v>
      </c>
      <c r="W299" s="590">
        <v>-0.28774559383149645</v>
      </c>
      <c r="X299" s="590">
        <v>0.92024287625288481</v>
      </c>
      <c r="Y299" s="590">
        <v>5.2830919330358078E-2</v>
      </c>
      <c r="Z299" s="590">
        <v>9.0962553972280979E-2</v>
      </c>
      <c r="AA299" s="590">
        <v>0.60640447715756463</v>
      </c>
      <c r="AB299" s="590">
        <v>0.16477586861219679</v>
      </c>
      <c r="AC299" s="590">
        <v>0.68692545417312467</v>
      </c>
      <c r="AD299" s="590">
        <v>0.7917707910262497</v>
      </c>
      <c r="AE299" s="590">
        <v>0.97966205647065407</v>
      </c>
      <c r="AF299" s="590">
        <v>9.1130194952704829E-2</v>
      </c>
      <c r="AG299" s="590">
        <v>9.1130194952704829E-2</v>
      </c>
      <c r="AH299" s="590">
        <v>-0.10980445095152651</v>
      </c>
      <c r="AI299" s="590">
        <v>0.18966643839962463</v>
      </c>
      <c r="AJ299" s="590">
        <v>1.3235159256860614</v>
      </c>
      <c r="AK299" s="590">
        <v>2.8561739332392695</v>
      </c>
      <c r="AL299" s="590">
        <v>1.3696027481765694</v>
      </c>
      <c r="AM299" s="590">
        <v>0.86739835496765882</v>
      </c>
      <c r="AN299" s="587">
        <v>1.2036606691931011</v>
      </c>
    </row>
    <row r="300" spans="1:40" x14ac:dyDescent="0.25">
      <c r="A300" s="606" t="s">
        <v>6</v>
      </c>
      <c r="B300" s="615" t="s">
        <v>1601</v>
      </c>
      <c r="C300" s="590">
        <v>9.6436867544686891</v>
      </c>
      <c r="D300" s="590">
        <v>13.391604576020955</v>
      </c>
      <c r="E300" s="590">
        <v>14.297000454261109</v>
      </c>
      <c r="F300" s="590">
        <v>9.6436867544686891</v>
      </c>
      <c r="G300" s="590">
        <v>12.095133268342508</v>
      </c>
      <c r="H300" s="590">
        <v>13.000529146582664</v>
      </c>
      <c r="I300" s="590">
        <v>9.6436867544686891</v>
      </c>
      <c r="J300" s="590">
        <v>10.678527445110515</v>
      </c>
      <c r="K300" s="590">
        <v>11.583923323350669</v>
      </c>
      <c r="L300" s="590">
        <v>70.321399857627938</v>
      </c>
      <c r="M300" s="590">
        <v>138.5835105694434</v>
      </c>
      <c r="N300" s="590">
        <v>106.43094786519734</v>
      </c>
      <c r="O300" s="590">
        <v>32.975547458418767</v>
      </c>
      <c r="P300" s="590">
        <v>65.03206084195736</v>
      </c>
      <c r="Q300" s="590">
        <v>8.1247940663702458</v>
      </c>
      <c r="R300" s="590">
        <v>10.494963633552182</v>
      </c>
      <c r="S300" s="590">
        <v>4.8567305622648522</v>
      </c>
      <c r="T300" s="590">
        <v>38.589502446961973</v>
      </c>
      <c r="U300" s="590">
        <v>27.378094628480564</v>
      </c>
      <c r="V300" s="590">
        <v>92.871903287795604</v>
      </c>
      <c r="W300" s="590">
        <v>-14.732309947318484</v>
      </c>
      <c r="X300" s="590">
        <v>-3368.8173168753237</v>
      </c>
      <c r="Y300" s="590">
        <v>2.6525848277794233</v>
      </c>
      <c r="Z300" s="590">
        <v>108.9490412307549</v>
      </c>
      <c r="AA300" s="590">
        <v>69.35963745430918</v>
      </c>
      <c r="AB300" s="590">
        <v>2.0004907114173229</v>
      </c>
      <c r="AC300" s="590">
        <v>0.39715095001876471</v>
      </c>
      <c r="AD300" s="590">
        <v>91.938006351093904</v>
      </c>
      <c r="AE300" s="590">
        <v>-3065.4822935684865</v>
      </c>
      <c r="AF300" s="590">
        <v>8.0101147342964421</v>
      </c>
      <c r="AG300" s="590">
        <v>8.0101147342964421</v>
      </c>
      <c r="AH300" s="590">
        <v>-16.309507446978056</v>
      </c>
      <c r="AI300" s="590">
        <v>9.790544928394608</v>
      </c>
      <c r="AJ300" s="590">
        <v>-823.89972511634983</v>
      </c>
      <c r="AK300" s="590">
        <v>-3012.8974107670037</v>
      </c>
      <c r="AL300" s="590">
        <v>-2.528915343376589</v>
      </c>
      <c r="AM300" s="590">
        <v>-63.307444464034489</v>
      </c>
      <c r="AN300" s="587">
        <v>-63.851540976820715</v>
      </c>
    </row>
    <row r="301" spans="1:40" x14ac:dyDescent="0.25">
      <c r="A301" s="606" t="s">
        <v>3</v>
      </c>
      <c r="B301" s="615" t="s">
        <v>1601</v>
      </c>
      <c r="C301" s="590">
        <v>8.2725818921341732E-2</v>
      </c>
      <c r="D301" s="590">
        <v>0.10989895250625448</v>
      </c>
      <c r="E301" s="590">
        <v>0.11646324882171091</v>
      </c>
      <c r="F301" s="590">
        <v>8.2725818921341732E-2</v>
      </c>
      <c r="G301" s="590">
        <v>0.1004992832205597</v>
      </c>
      <c r="H301" s="590">
        <v>0.10706357953601614</v>
      </c>
      <c r="I301" s="590">
        <v>8.2725818921341732E-2</v>
      </c>
      <c r="J301" s="590">
        <v>9.0228615317839919E-2</v>
      </c>
      <c r="K301" s="590">
        <v>9.6792911633296369E-2</v>
      </c>
      <c r="L301" s="590">
        <v>8.8808520548040143E-2</v>
      </c>
      <c r="M301" s="590">
        <v>3.8834910429875094E-2</v>
      </c>
      <c r="N301" s="590">
        <v>0.19776100573987809</v>
      </c>
      <c r="O301" s="590">
        <v>0.30164384026056612</v>
      </c>
      <c r="P301" s="590">
        <v>9.4117457365460108E-2</v>
      </c>
      <c r="Q301" s="590">
        <v>7.125981589266929E-2</v>
      </c>
      <c r="R301" s="590">
        <v>9.2502065295580804E-2</v>
      </c>
      <c r="S301" s="590">
        <v>7.9764147815110986E-2</v>
      </c>
      <c r="T301" s="590">
        <v>0.33987549933154049</v>
      </c>
      <c r="U301" s="590">
        <v>0.16894946361812777</v>
      </c>
      <c r="V301" s="590">
        <v>0.94892114921287185</v>
      </c>
      <c r="W301" s="590">
        <v>-1.5113190425101</v>
      </c>
      <c r="X301" s="590">
        <v>-18.847338566018095</v>
      </c>
      <c r="Y301" s="590">
        <v>4.3651608522692294E-2</v>
      </c>
      <c r="Z301" s="590">
        <v>4.2389215387016725E-2</v>
      </c>
      <c r="AA301" s="590">
        <v>0.66032808342704941</v>
      </c>
      <c r="AB301" s="590">
        <v>8.3370886292409602E-2</v>
      </c>
      <c r="AC301" s="590">
        <v>0.34169297744366067</v>
      </c>
      <c r="AD301" s="590">
        <v>0.81559898029539024</v>
      </c>
      <c r="AE301" s="590">
        <v>-21.763522850121614</v>
      </c>
      <c r="AF301" s="590">
        <v>7.8113619634288062E-2</v>
      </c>
      <c r="AG301" s="590">
        <v>7.8113619634288062E-2</v>
      </c>
      <c r="AH301" s="590">
        <v>-0.15271814665173047</v>
      </c>
      <c r="AI301" s="590">
        <v>8.3985602965829159E-2</v>
      </c>
      <c r="AJ301" s="590">
        <v>7.8333043391136378E-2</v>
      </c>
      <c r="AK301" s="590">
        <v>-25.986256312977879</v>
      </c>
      <c r="AL301" s="590">
        <v>1.5675531802819694E-3</v>
      </c>
      <c r="AM301" s="590">
        <v>-0.58327959748289282</v>
      </c>
      <c r="AN301" s="587">
        <v>-0.22264680301190681</v>
      </c>
    </row>
    <row r="302" spans="1:40" x14ac:dyDescent="0.25">
      <c r="A302" s="606" t="s">
        <v>2</v>
      </c>
      <c r="B302" s="615" t="s">
        <v>1601</v>
      </c>
      <c r="C302" s="590">
        <v>4873.7821180925584</v>
      </c>
      <c r="D302" s="590">
        <v>6053.9769962213913</v>
      </c>
      <c r="E302" s="590">
        <v>6339.0802532974576</v>
      </c>
      <c r="F302" s="590">
        <v>4873.7821180925584</v>
      </c>
      <c r="G302" s="590">
        <v>5645.7266370047691</v>
      </c>
      <c r="H302" s="590">
        <v>5930.8298940808363</v>
      </c>
      <c r="I302" s="590">
        <v>4873.7821180925584</v>
      </c>
      <c r="J302" s="590">
        <v>5199.6467023562973</v>
      </c>
      <c r="K302" s="590">
        <v>5484.7499594323635</v>
      </c>
      <c r="L302" s="590">
        <v>17222.831216607643</v>
      </c>
      <c r="M302" s="590">
        <v>6765.3887352791253</v>
      </c>
      <c r="N302" s="590">
        <v>73288.96812737966</v>
      </c>
      <c r="O302" s="590">
        <v>10907.287050114201</v>
      </c>
      <c r="P302" s="590">
        <v>19687.198909062634</v>
      </c>
      <c r="Q302" s="590">
        <v>3370.5940931834725</v>
      </c>
      <c r="R302" s="590">
        <v>5384.0122978370619</v>
      </c>
      <c r="S302" s="590">
        <v>3026.3828464923881</v>
      </c>
      <c r="T302" s="590">
        <v>12791.358530664535</v>
      </c>
      <c r="U302" s="590">
        <v>17261.74053582858</v>
      </c>
      <c r="V302" s="227">
        <v>44061.088104152739</v>
      </c>
      <c r="W302" s="227">
        <v>-72376.001336072222</v>
      </c>
      <c r="X302" s="227">
        <v>4914.6667361047212</v>
      </c>
      <c r="Y302" s="227">
        <v>1676.3423366096565</v>
      </c>
      <c r="Z302" s="227">
        <v>85234.79855508836</v>
      </c>
      <c r="AA302" s="227">
        <v>33554.383278673798</v>
      </c>
      <c r="AB302" s="227">
        <v>16371.828331006142</v>
      </c>
      <c r="AC302" s="227">
        <v>88677.881987474757</v>
      </c>
      <c r="AD302" s="227">
        <v>108271.65930622688</v>
      </c>
      <c r="AE302" s="227">
        <v>78204.461561886637</v>
      </c>
      <c r="AF302" s="227">
        <v>4180.9542826955094</v>
      </c>
      <c r="AG302" s="227">
        <v>4180.9542826955094</v>
      </c>
      <c r="AH302" s="227">
        <v>-7385.7692346346412</v>
      </c>
      <c r="AI302" s="227">
        <v>4948.0021503477747</v>
      </c>
      <c r="AJ302" s="227">
        <v>11688.671151461129</v>
      </c>
      <c r="AK302" s="227">
        <v>36999.320133205489</v>
      </c>
      <c r="AL302" s="227">
        <v>-90.7987247544702</v>
      </c>
      <c r="AM302" s="227">
        <v>-29920.54919962223</v>
      </c>
      <c r="AN302" s="515">
        <v>-17428.680055577086</v>
      </c>
    </row>
    <row r="303" spans="1:40" x14ac:dyDescent="0.25">
      <c r="A303" s="606" t="s">
        <v>1405</v>
      </c>
      <c r="B303" s="615" t="s">
        <v>1601</v>
      </c>
      <c r="C303" s="590">
        <v>4887.0166810697347</v>
      </c>
      <c r="D303" s="590">
        <v>6068.7756326715644</v>
      </c>
      <c r="E303" s="590">
        <v>6354.2567277214439</v>
      </c>
      <c r="F303" s="590">
        <v>4887.0166810697347</v>
      </c>
      <c r="G303" s="590">
        <v>5659.9842326751304</v>
      </c>
      <c r="H303" s="590">
        <v>5945.4653277250109</v>
      </c>
      <c r="I303" s="590">
        <v>4887.0166810697347</v>
      </c>
      <c r="J303" s="590">
        <v>5213.3131229541777</v>
      </c>
      <c r="K303" s="590">
        <v>5498.7942180040582</v>
      </c>
      <c r="L303" s="590">
        <v>17253.292357171362</v>
      </c>
      <c r="M303" s="590">
        <v>6778.4306195751751</v>
      </c>
      <c r="N303" s="590">
        <v>73324.554749975039</v>
      </c>
      <c r="O303" s="590">
        <v>10929.503682821738</v>
      </c>
      <c r="P303" s="590">
        <v>19717.440449759346</v>
      </c>
      <c r="Q303" s="590">
        <v>3424.0610416660193</v>
      </c>
      <c r="R303" s="590">
        <v>5395.8100587009949</v>
      </c>
      <c r="S303" s="590">
        <v>3040.8897340142748</v>
      </c>
      <c r="T303" s="590">
        <v>12815.693128253864</v>
      </c>
      <c r="U303" s="590">
        <v>17330.693938175358</v>
      </c>
      <c r="V303" s="227">
        <v>44150.971729675432</v>
      </c>
      <c r="W303" s="227">
        <v>-72382.593268251178</v>
      </c>
      <c r="X303" s="227">
        <v>4987.7501275101677</v>
      </c>
      <c r="Y303" s="227">
        <v>1721.0717406604808</v>
      </c>
      <c r="Z303" s="227">
        <v>85297.516540199751</v>
      </c>
      <c r="AA303" s="227">
        <v>33634.341455652808</v>
      </c>
      <c r="AB303" s="227">
        <v>16419.586646922809</v>
      </c>
      <c r="AC303" s="227">
        <v>88701.409322374486</v>
      </c>
      <c r="AD303" s="227">
        <v>109511.53827846164</v>
      </c>
      <c r="AE303" s="227">
        <v>79428.049384136131</v>
      </c>
      <c r="AF303" s="227">
        <v>4187.5590639460606</v>
      </c>
      <c r="AG303" s="227">
        <v>4187.5590639460606</v>
      </c>
      <c r="AH303" s="227">
        <v>-7391.3495483320503</v>
      </c>
      <c r="AI303" s="227">
        <v>4961.4382548931317</v>
      </c>
      <c r="AJ303" s="227">
        <v>11685.704413098261</v>
      </c>
      <c r="AK303" s="227">
        <v>37170.837775513282</v>
      </c>
      <c r="AL303" s="227">
        <v>-79.901740901653056</v>
      </c>
      <c r="AM303" s="227">
        <v>-29938.695397680716</v>
      </c>
      <c r="AN303" s="515">
        <v>-17443.659352204842</v>
      </c>
    </row>
    <row r="304" spans="1:40" x14ac:dyDescent="0.25">
      <c r="A304" s="609" t="s">
        <v>797</v>
      </c>
      <c r="B304" s="618" t="s">
        <v>1602</v>
      </c>
      <c r="C304" s="598">
        <v>5196.982694918428</v>
      </c>
      <c r="D304" s="598">
        <v>6497.8478630711961</v>
      </c>
      <c r="E304" s="598">
        <v>6812.1018081867524</v>
      </c>
      <c r="F304" s="598">
        <v>5196.982694918428</v>
      </c>
      <c r="G304" s="598">
        <v>6047.8555083909496</v>
      </c>
      <c r="H304" s="598">
        <v>6362.1094535065067</v>
      </c>
      <c r="I304" s="598">
        <v>5196.982694918428</v>
      </c>
      <c r="J304" s="598">
        <v>5556.1656528002413</v>
      </c>
      <c r="K304" s="598">
        <v>5870.4195979157976</v>
      </c>
      <c r="L304" s="598">
        <v>19373.114799038289</v>
      </c>
      <c r="M304" s="598">
        <v>10918.821165091944</v>
      </c>
      <c r="N304" s="598">
        <v>76550.185750924909</v>
      </c>
      <c r="O304" s="598">
        <v>11994.523765473752</v>
      </c>
      <c r="P304" s="598">
        <v>21681.089928710448</v>
      </c>
      <c r="Q304" s="598">
        <v>3685.6338345825511</v>
      </c>
      <c r="R304" s="598">
        <v>5733.8130388065438</v>
      </c>
      <c r="S304" s="598">
        <v>3207.3959171232927</v>
      </c>
      <c r="T304" s="598">
        <v>14058.446312490842</v>
      </c>
      <c r="U304" s="598">
        <v>18192.684361671829</v>
      </c>
      <c r="V304" s="254">
        <v>47177.609921386858</v>
      </c>
      <c r="W304" s="254">
        <v>-73234.206203286521</v>
      </c>
      <c r="X304" s="254">
        <v>-91190.366335935076</v>
      </c>
      <c r="Y304" s="254">
        <v>1812.0356576550025</v>
      </c>
      <c r="Z304" s="254">
        <v>88555.770224676904</v>
      </c>
      <c r="AA304" s="254">
        <v>35881.528218566804</v>
      </c>
      <c r="AB304" s="254">
        <v>16501.961522080874</v>
      </c>
      <c r="AC304" s="254">
        <v>88806.526603527163</v>
      </c>
      <c r="AD304" s="254">
        <v>112473.94938934488</v>
      </c>
      <c r="AE304" s="254">
        <v>-7147.0625924891283</v>
      </c>
      <c r="AF304" s="254">
        <v>4447.585501188255</v>
      </c>
      <c r="AG304" s="254">
        <v>4447.585501188255</v>
      </c>
      <c r="AH304" s="254">
        <v>-7919.064924287919</v>
      </c>
      <c r="AI304" s="254">
        <v>5276.1245633689623</v>
      </c>
      <c r="AJ304" s="254">
        <v>-12845.122474523185</v>
      </c>
      <c r="AK304" s="254">
        <v>-59707.753038786395</v>
      </c>
      <c r="AL304" s="254">
        <v>-154.83547611605843</v>
      </c>
      <c r="AM304" s="254">
        <v>-31984.492572821775</v>
      </c>
      <c r="AN304" s="519">
        <v>-19407.217850536352</v>
      </c>
    </row>
    <row r="305" spans="1:40" x14ac:dyDescent="0.25">
      <c r="A305" s="613" t="s">
        <v>1659</v>
      </c>
      <c r="B305" s="285"/>
      <c r="C305" s="217"/>
      <c r="D305" s="217"/>
      <c r="E305" s="217"/>
      <c r="F305" s="217"/>
      <c r="G305" s="217"/>
      <c r="H305" s="217"/>
      <c r="I305" s="217"/>
      <c r="J305" s="217"/>
      <c r="K305" s="217"/>
      <c r="L305" s="217"/>
      <c r="M305" s="217"/>
      <c r="N305" s="217"/>
      <c r="O305" s="217"/>
      <c r="P305" s="217"/>
      <c r="Q305" s="217"/>
      <c r="R305" s="217"/>
      <c r="S305" s="217"/>
      <c r="T305" s="217"/>
      <c r="U305" s="217"/>
      <c r="V305" s="217"/>
      <c r="W305" s="217"/>
      <c r="X305" s="217"/>
      <c r="Y305" s="217"/>
      <c r="Z305" s="217"/>
      <c r="AA305" s="217"/>
      <c r="AB305" s="217"/>
      <c r="AC305" s="217"/>
      <c r="AD305" s="217"/>
      <c r="AE305" s="217"/>
      <c r="AF305" s="217"/>
      <c r="AG305" s="217"/>
      <c r="AH305" s="217"/>
      <c r="AI305" s="217"/>
      <c r="AJ305" s="217"/>
      <c r="AK305" s="217"/>
      <c r="AL305" s="217"/>
      <c r="AM305" s="217"/>
      <c r="AN305" s="218"/>
    </row>
    <row r="306" spans="1:40" x14ac:dyDescent="0.25">
      <c r="A306" s="606" t="s">
        <v>1400</v>
      </c>
      <c r="B306" s="615" t="s">
        <v>1599</v>
      </c>
      <c r="C306" s="590">
        <v>1000000</v>
      </c>
      <c r="D306" s="590">
        <v>1000000</v>
      </c>
      <c r="E306" s="590">
        <v>1000000</v>
      </c>
      <c r="F306" s="590">
        <v>1000000</v>
      </c>
      <c r="G306" s="590">
        <v>1000000</v>
      </c>
      <c r="H306" s="590">
        <v>1000000</v>
      </c>
      <c r="I306" s="590">
        <v>1000000</v>
      </c>
      <c r="J306" s="590">
        <v>1000000</v>
      </c>
      <c r="K306" s="590">
        <v>1000000</v>
      </c>
      <c r="L306" s="590">
        <v>1000000</v>
      </c>
      <c r="M306" s="590">
        <v>1000000</v>
      </c>
      <c r="N306" s="590">
        <v>1000000</v>
      </c>
      <c r="O306" s="590">
        <v>1000000</v>
      </c>
      <c r="P306" s="590">
        <v>1000000</v>
      </c>
      <c r="Q306" s="590">
        <v>1000000</v>
      </c>
      <c r="R306" s="590">
        <v>1000000</v>
      </c>
      <c r="S306" s="590">
        <v>1000000</v>
      </c>
      <c r="T306" s="590">
        <v>1000000</v>
      </c>
      <c r="U306" s="590">
        <v>1000000</v>
      </c>
      <c r="V306" s="227">
        <v>1000000</v>
      </c>
      <c r="W306" s="69">
        <v>1000000</v>
      </c>
      <c r="X306" s="227">
        <v>1000000</v>
      </c>
      <c r="Y306" s="227">
        <v>1000000</v>
      </c>
      <c r="Z306" s="69">
        <v>1000000</v>
      </c>
      <c r="AA306" s="69">
        <v>1000000</v>
      </c>
      <c r="AB306" s="69">
        <v>1000000</v>
      </c>
      <c r="AC306" s="69">
        <v>1000000</v>
      </c>
      <c r="AD306" s="227">
        <v>1000000</v>
      </c>
      <c r="AE306" s="227">
        <v>1000000</v>
      </c>
      <c r="AF306" s="227">
        <v>1000000</v>
      </c>
      <c r="AG306" s="227">
        <v>1000000</v>
      </c>
      <c r="AH306" s="227">
        <v>1000000</v>
      </c>
      <c r="AI306" s="590">
        <v>1000000</v>
      </c>
      <c r="AJ306" s="227">
        <v>1000000</v>
      </c>
      <c r="AK306" s="227">
        <v>1000000</v>
      </c>
      <c r="AL306" s="227">
        <v>1000000</v>
      </c>
      <c r="AM306" s="227">
        <v>1000000</v>
      </c>
      <c r="AN306" s="515">
        <v>1000000</v>
      </c>
    </row>
    <row r="307" spans="1:40" x14ac:dyDescent="0.25">
      <c r="A307" s="606" t="s">
        <v>1401</v>
      </c>
      <c r="B307" s="615" t="s">
        <v>1599</v>
      </c>
      <c r="C307" s="590">
        <v>1000000</v>
      </c>
      <c r="D307" s="590">
        <v>1000000</v>
      </c>
      <c r="E307" s="590">
        <v>1000000</v>
      </c>
      <c r="F307" s="590">
        <v>1000000</v>
      </c>
      <c r="G307" s="590">
        <v>1000000</v>
      </c>
      <c r="H307" s="590">
        <v>1000000</v>
      </c>
      <c r="I307" s="590">
        <v>1000000</v>
      </c>
      <c r="J307" s="590">
        <v>1000000</v>
      </c>
      <c r="K307" s="590">
        <v>1000000</v>
      </c>
      <c r="L307" s="590">
        <v>1000000</v>
      </c>
      <c r="M307" s="590">
        <v>1000000</v>
      </c>
      <c r="N307" s="590">
        <v>511494.65936177887</v>
      </c>
      <c r="O307" s="590">
        <v>500000</v>
      </c>
      <c r="P307" s="590">
        <v>509965.27662661363</v>
      </c>
      <c r="Q307" s="590">
        <v>0</v>
      </c>
      <c r="R307" s="590">
        <v>0</v>
      </c>
      <c r="S307" s="590">
        <v>0</v>
      </c>
      <c r="T307" s="590">
        <v>0</v>
      </c>
      <c r="U307" s="590">
        <v>52854.070798773471</v>
      </c>
      <c r="V307" s="227">
        <v>0</v>
      </c>
      <c r="W307" s="69">
        <v>0</v>
      </c>
      <c r="X307" s="227">
        <v>0</v>
      </c>
      <c r="Y307" s="227">
        <v>0</v>
      </c>
      <c r="Z307" s="69">
        <v>1000000</v>
      </c>
      <c r="AA307" s="69">
        <v>0</v>
      </c>
      <c r="AB307" s="69">
        <v>0</v>
      </c>
      <c r="AC307" s="69">
        <v>0</v>
      </c>
      <c r="AD307" s="227">
        <v>1000000</v>
      </c>
      <c r="AE307" s="227">
        <v>1000000</v>
      </c>
      <c r="AF307" s="227">
        <v>1000000</v>
      </c>
      <c r="AG307" s="227">
        <v>1000000</v>
      </c>
      <c r="AH307" s="227">
        <v>1000000</v>
      </c>
      <c r="AI307" s="590">
        <v>1000000</v>
      </c>
      <c r="AJ307" s="227">
        <v>0</v>
      </c>
      <c r="AK307" s="227">
        <v>0</v>
      </c>
      <c r="AL307" s="227">
        <v>0</v>
      </c>
      <c r="AM307" s="227">
        <v>0</v>
      </c>
      <c r="AN307" s="515">
        <v>0</v>
      </c>
    </row>
    <row r="308" spans="1:40" x14ac:dyDescent="0.25">
      <c r="A308" s="606" t="s">
        <v>1275</v>
      </c>
      <c r="B308" s="615" t="s">
        <v>1599</v>
      </c>
      <c r="C308" s="590">
        <v>0</v>
      </c>
      <c r="D308" s="590">
        <v>0</v>
      </c>
      <c r="E308" s="590">
        <v>0</v>
      </c>
      <c r="F308" s="590">
        <v>0</v>
      </c>
      <c r="G308" s="590">
        <v>0</v>
      </c>
      <c r="H308" s="590">
        <v>0</v>
      </c>
      <c r="I308" s="590">
        <v>0</v>
      </c>
      <c r="J308" s="590">
        <v>0</v>
      </c>
      <c r="K308" s="590">
        <v>0</v>
      </c>
      <c r="L308" s="590">
        <v>0</v>
      </c>
      <c r="M308" s="590">
        <v>0</v>
      </c>
      <c r="N308" s="590">
        <v>511494.65936177887</v>
      </c>
      <c r="O308" s="590">
        <v>0</v>
      </c>
      <c r="P308" s="590">
        <v>0</v>
      </c>
      <c r="Q308" s="590">
        <v>0</v>
      </c>
      <c r="R308" s="590">
        <v>0</v>
      </c>
      <c r="S308" s="590">
        <v>0</v>
      </c>
      <c r="T308" s="590">
        <v>0</v>
      </c>
      <c r="U308" s="590">
        <v>0</v>
      </c>
      <c r="V308" s="227">
        <v>0</v>
      </c>
      <c r="W308" s="69">
        <v>0</v>
      </c>
      <c r="X308" s="227">
        <v>0</v>
      </c>
      <c r="Y308" s="227">
        <v>0</v>
      </c>
      <c r="Z308" s="69">
        <v>1</v>
      </c>
      <c r="AA308" s="69">
        <v>0</v>
      </c>
      <c r="AB308" s="69">
        <v>0</v>
      </c>
      <c r="AC308" s="69">
        <v>0</v>
      </c>
      <c r="AD308" s="227">
        <v>0</v>
      </c>
      <c r="AE308" s="227">
        <v>0</v>
      </c>
      <c r="AF308" s="227">
        <v>0</v>
      </c>
      <c r="AG308" s="227">
        <v>0</v>
      </c>
      <c r="AH308" s="227">
        <v>0</v>
      </c>
      <c r="AI308" s="590">
        <v>0</v>
      </c>
      <c r="AJ308" s="227">
        <v>0</v>
      </c>
      <c r="AK308" s="227">
        <v>0</v>
      </c>
      <c r="AL308" s="227">
        <v>0</v>
      </c>
      <c r="AM308" s="227">
        <v>0</v>
      </c>
      <c r="AN308" s="515">
        <v>0</v>
      </c>
    </row>
    <row r="309" spans="1:40" x14ac:dyDescent="0.25">
      <c r="A309" s="606" t="s">
        <v>233</v>
      </c>
      <c r="B309" s="615" t="s">
        <v>1599</v>
      </c>
      <c r="C309" s="590">
        <v>0</v>
      </c>
      <c r="D309" s="590">
        <v>0</v>
      </c>
      <c r="E309" s="590">
        <v>0</v>
      </c>
      <c r="F309" s="590">
        <v>0</v>
      </c>
      <c r="G309" s="590">
        <v>0</v>
      </c>
      <c r="H309" s="590">
        <v>0</v>
      </c>
      <c r="I309" s="590">
        <v>0</v>
      </c>
      <c r="J309" s="590">
        <v>0</v>
      </c>
      <c r="K309" s="590">
        <v>0</v>
      </c>
      <c r="L309" s="590">
        <v>1000000</v>
      </c>
      <c r="M309" s="590">
        <v>1000000</v>
      </c>
      <c r="N309" s="590">
        <v>0</v>
      </c>
      <c r="O309" s="590">
        <v>0</v>
      </c>
      <c r="P309" s="590">
        <v>509965.27662661363</v>
      </c>
      <c r="Q309" s="590">
        <v>0</v>
      </c>
      <c r="R309" s="590">
        <v>0</v>
      </c>
      <c r="S309" s="590">
        <v>0</v>
      </c>
      <c r="T309" s="590">
        <v>0</v>
      </c>
      <c r="U309" s="590">
        <v>52854.070798773471</v>
      </c>
      <c r="V309" s="227">
        <v>0</v>
      </c>
      <c r="W309" s="69">
        <v>0</v>
      </c>
      <c r="X309" s="227">
        <v>0</v>
      </c>
      <c r="Y309" s="227">
        <v>0</v>
      </c>
      <c r="Z309" s="69">
        <v>999999</v>
      </c>
      <c r="AA309" s="69">
        <v>0</v>
      </c>
      <c r="AB309" s="69">
        <v>0</v>
      </c>
      <c r="AC309" s="69">
        <v>0</v>
      </c>
      <c r="AD309" s="227">
        <v>1000000</v>
      </c>
      <c r="AE309" s="227">
        <v>1000000</v>
      </c>
      <c r="AF309" s="227">
        <v>1000000</v>
      </c>
      <c r="AG309" s="227">
        <v>1000000</v>
      </c>
      <c r="AH309" s="227">
        <v>1000000</v>
      </c>
      <c r="AI309" s="590">
        <v>0</v>
      </c>
      <c r="AJ309" s="227">
        <v>0</v>
      </c>
      <c r="AK309" s="227">
        <v>0</v>
      </c>
      <c r="AL309" s="227">
        <v>0</v>
      </c>
      <c r="AM309" s="227">
        <v>0</v>
      </c>
      <c r="AN309" s="515">
        <v>0</v>
      </c>
    </row>
    <row r="310" spans="1:40" x14ac:dyDescent="0.25">
      <c r="A310" s="606" t="s">
        <v>1402</v>
      </c>
      <c r="B310" s="615" t="s">
        <v>1599</v>
      </c>
      <c r="C310" s="590">
        <v>1000000</v>
      </c>
      <c r="D310" s="590">
        <v>1000000</v>
      </c>
      <c r="E310" s="590">
        <v>1000000</v>
      </c>
      <c r="F310" s="590">
        <v>1000000</v>
      </c>
      <c r="G310" s="590">
        <v>1000000</v>
      </c>
      <c r="H310" s="590">
        <v>1000000</v>
      </c>
      <c r="I310" s="590">
        <v>1000000</v>
      </c>
      <c r="J310" s="590">
        <v>1000000</v>
      </c>
      <c r="K310" s="590">
        <v>1000000</v>
      </c>
      <c r="L310" s="590">
        <v>0</v>
      </c>
      <c r="M310" s="590">
        <v>0</v>
      </c>
      <c r="N310" s="590">
        <v>0</v>
      </c>
      <c r="O310" s="590">
        <v>500000</v>
      </c>
      <c r="P310" s="590">
        <v>0</v>
      </c>
      <c r="Q310" s="590">
        <v>0</v>
      </c>
      <c r="R310" s="590">
        <v>0</v>
      </c>
      <c r="S310" s="590">
        <v>0</v>
      </c>
      <c r="T310" s="590">
        <v>0</v>
      </c>
      <c r="U310" s="590">
        <v>0</v>
      </c>
      <c r="V310" s="227">
        <v>0</v>
      </c>
      <c r="W310" s="69">
        <v>0</v>
      </c>
      <c r="X310" s="227">
        <v>0</v>
      </c>
      <c r="Y310" s="227">
        <v>0</v>
      </c>
      <c r="Z310" s="69">
        <v>0</v>
      </c>
      <c r="AA310" s="69">
        <v>0</v>
      </c>
      <c r="AB310" s="69">
        <v>0</v>
      </c>
      <c r="AC310" s="69">
        <v>0</v>
      </c>
      <c r="AD310" s="227">
        <v>0</v>
      </c>
      <c r="AE310" s="227">
        <v>0</v>
      </c>
      <c r="AF310" s="227">
        <v>0</v>
      </c>
      <c r="AG310" s="227">
        <v>0</v>
      </c>
      <c r="AH310" s="227">
        <v>0</v>
      </c>
      <c r="AI310" s="590">
        <v>1000000</v>
      </c>
      <c r="AJ310" s="227">
        <v>0</v>
      </c>
      <c r="AK310" s="227">
        <v>0</v>
      </c>
      <c r="AL310" s="227">
        <v>0</v>
      </c>
      <c r="AM310" s="227">
        <v>0</v>
      </c>
      <c r="AN310" s="515">
        <v>0</v>
      </c>
    </row>
    <row r="311" spans="1:40" x14ac:dyDescent="0.25">
      <c r="A311" s="606" t="s">
        <v>1403</v>
      </c>
      <c r="B311" s="615" t="s">
        <v>1600</v>
      </c>
      <c r="C311" s="590">
        <v>0</v>
      </c>
      <c r="D311" s="590">
        <v>0</v>
      </c>
      <c r="E311" s="590">
        <v>0</v>
      </c>
      <c r="F311" s="590">
        <v>0</v>
      </c>
      <c r="G311" s="590">
        <v>0</v>
      </c>
      <c r="H311" s="590">
        <v>0</v>
      </c>
      <c r="I311" s="590">
        <v>0</v>
      </c>
      <c r="J311" s="590">
        <v>0</v>
      </c>
      <c r="K311" s="590">
        <v>0</v>
      </c>
      <c r="L311" s="590">
        <v>0</v>
      </c>
      <c r="M311" s="590">
        <v>0</v>
      </c>
      <c r="N311" s="590">
        <v>0</v>
      </c>
      <c r="O311" s="590">
        <v>0</v>
      </c>
      <c r="P311" s="590">
        <v>0</v>
      </c>
      <c r="Q311" s="590">
        <v>0</v>
      </c>
      <c r="R311" s="590">
        <v>0</v>
      </c>
      <c r="S311" s="590">
        <v>0</v>
      </c>
      <c r="T311" s="590">
        <v>0</v>
      </c>
      <c r="U311" s="590">
        <v>0</v>
      </c>
      <c r="V311" s="227">
        <v>0</v>
      </c>
      <c r="W311" s="69">
        <v>0</v>
      </c>
      <c r="X311" s="227">
        <v>0</v>
      </c>
      <c r="Y311" s="227">
        <v>0</v>
      </c>
      <c r="Z311" s="69">
        <v>0</v>
      </c>
      <c r="AA311" s="69">
        <v>0</v>
      </c>
      <c r="AB311" s="69">
        <v>0</v>
      </c>
      <c r="AC311" s="69">
        <v>0</v>
      </c>
      <c r="AD311" s="227">
        <v>0</v>
      </c>
      <c r="AE311" s="227">
        <v>0</v>
      </c>
      <c r="AF311" s="227">
        <v>0</v>
      </c>
      <c r="AG311" s="227">
        <v>0</v>
      </c>
      <c r="AH311" s="227">
        <v>0</v>
      </c>
      <c r="AI311" s="590">
        <v>0</v>
      </c>
      <c r="AJ311" s="227">
        <v>0</v>
      </c>
      <c r="AK311" s="227">
        <v>0</v>
      </c>
      <c r="AL311" s="227">
        <v>0</v>
      </c>
      <c r="AM311" s="227">
        <v>0</v>
      </c>
      <c r="AN311" s="515">
        <v>0</v>
      </c>
    </row>
    <row r="312" spans="1:40" x14ac:dyDescent="0.25">
      <c r="A312" s="606" t="s">
        <v>237</v>
      </c>
      <c r="B312" s="615" t="s">
        <v>1601</v>
      </c>
      <c r="C312" s="590">
        <v>62.169038778233116</v>
      </c>
      <c r="D312" s="590">
        <v>62.169038778233116</v>
      </c>
      <c r="E312" s="590">
        <v>62.169038778233116</v>
      </c>
      <c r="F312" s="590">
        <v>62.780697211860549</v>
      </c>
      <c r="G312" s="590">
        <v>62.780697211860549</v>
      </c>
      <c r="H312" s="590">
        <v>62.780697211860549</v>
      </c>
      <c r="I312" s="590">
        <v>60.135385316484559</v>
      </c>
      <c r="J312" s="590">
        <v>60.135385316484559</v>
      </c>
      <c r="K312" s="590">
        <v>60.135385316484559</v>
      </c>
      <c r="L312" s="590">
        <v>60.135385316484559</v>
      </c>
      <c r="M312" s="590">
        <v>65.344353860839504</v>
      </c>
      <c r="N312" s="590">
        <v>60.135385316484559</v>
      </c>
      <c r="O312" s="590">
        <v>60.135385316484559</v>
      </c>
      <c r="P312" s="590">
        <v>60.135385316484559</v>
      </c>
      <c r="Q312" s="590">
        <v>60.135385316484559</v>
      </c>
      <c r="R312" s="590">
        <v>60.135385316484559</v>
      </c>
      <c r="S312" s="590">
        <v>60.135385316484559</v>
      </c>
      <c r="T312" s="590">
        <v>60.135385316484559</v>
      </c>
      <c r="U312" s="590">
        <v>60.135385316484559</v>
      </c>
      <c r="V312" s="590">
        <v>0</v>
      </c>
      <c r="W312" s="590">
        <v>0</v>
      </c>
      <c r="X312" s="590">
        <v>0</v>
      </c>
      <c r="Y312" s="590">
        <v>0</v>
      </c>
      <c r="Z312" s="590">
        <v>0</v>
      </c>
      <c r="AA312" s="590">
        <v>0</v>
      </c>
      <c r="AB312" s="590">
        <v>0</v>
      </c>
      <c r="AC312" s="590">
        <v>60.135385316484559</v>
      </c>
      <c r="AD312" s="590">
        <v>0</v>
      </c>
      <c r="AE312" s="590">
        <v>0</v>
      </c>
      <c r="AF312" s="590">
        <v>0</v>
      </c>
      <c r="AG312" s="590">
        <v>0</v>
      </c>
      <c r="AH312" s="590">
        <v>0</v>
      </c>
      <c r="AI312" s="590">
        <v>62.1830299599741</v>
      </c>
      <c r="AJ312" s="590">
        <v>58.902926366174093</v>
      </c>
      <c r="AK312" s="590">
        <v>59.852144768949252</v>
      </c>
      <c r="AL312" s="590">
        <v>60.135385316484559</v>
      </c>
      <c r="AM312" s="590">
        <v>60.135385316484559</v>
      </c>
      <c r="AN312" s="587">
        <v>60.135385316484559</v>
      </c>
    </row>
    <row r="313" spans="1:40" x14ac:dyDescent="0.25">
      <c r="A313" s="606" t="s">
        <v>234</v>
      </c>
      <c r="B313" s="615" t="s">
        <v>1601</v>
      </c>
      <c r="C313" s="590">
        <v>136.77188531211286</v>
      </c>
      <c r="D313" s="590">
        <v>136.77188531211286</v>
      </c>
      <c r="E313" s="590">
        <v>136.77188531211286</v>
      </c>
      <c r="F313" s="590">
        <v>138.1175338660932</v>
      </c>
      <c r="G313" s="590">
        <v>138.1175338660932</v>
      </c>
      <c r="H313" s="590">
        <v>138.1175338660932</v>
      </c>
      <c r="I313" s="590">
        <v>132.29784769626605</v>
      </c>
      <c r="J313" s="590">
        <v>132.29784769626605</v>
      </c>
      <c r="K313" s="590">
        <v>132.29784769626605</v>
      </c>
      <c r="L313" s="590">
        <v>132.29784769626605</v>
      </c>
      <c r="M313" s="590">
        <v>169.89532003818275</v>
      </c>
      <c r="N313" s="590">
        <v>132.29784769626605</v>
      </c>
      <c r="O313" s="590">
        <v>132.29784769626605</v>
      </c>
      <c r="P313" s="590">
        <v>132.29784769626605</v>
      </c>
      <c r="Q313" s="590">
        <v>132.29784769626605</v>
      </c>
      <c r="R313" s="590">
        <v>132.29784769626605</v>
      </c>
      <c r="S313" s="590">
        <v>132.29784769626605</v>
      </c>
      <c r="T313" s="590">
        <v>132.29784769626605</v>
      </c>
      <c r="U313" s="590">
        <v>132.29784769626605</v>
      </c>
      <c r="V313" s="590">
        <v>48.010699892561107</v>
      </c>
      <c r="W313" s="590">
        <v>48.010699892561107</v>
      </c>
      <c r="X313" s="590">
        <v>48.010699892561107</v>
      </c>
      <c r="Y313" s="590">
        <v>48.010699892561107</v>
      </c>
      <c r="Z313" s="590">
        <v>48.010699892561107</v>
      </c>
      <c r="AA313" s="590">
        <v>48.010699892561107</v>
      </c>
      <c r="AB313" s="590">
        <v>48.010699892561107</v>
      </c>
      <c r="AC313" s="590">
        <v>132.29784769626605</v>
      </c>
      <c r="AD313" s="590">
        <v>47.988110428369566</v>
      </c>
      <c r="AE313" s="590">
        <v>47.988110428369566</v>
      </c>
      <c r="AF313" s="590">
        <v>47.988110428369566</v>
      </c>
      <c r="AG313" s="590">
        <v>47.988110428369566</v>
      </c>
      <c r="AH313" s="590">
        <v>47.988110428369566</v>
      </c>
      <c r="AI313" s="590">
        <v>136.80266591194302</v>
      </c>
      <c r="AJ313" s="590">
        <v>129.58643800558301</v>
      </c>
      <c r="AK313" s="590">
        <v>131.67471849168837</v>
      </c>
      <c r="AL313" s="590">
        <v>132.29784769626605</v>
      </c>
      <c r="AM313" s="590">
        <v>132.29784769626605</v>
      </c>
      <c r="AN313" s="587">
        <v>132.29784769626605</v>
      </c>
    </row>
    <row r="314" spans="1:40" x14ac:dyDescent="0.25">
      <c r="A314" s="606" t="s">
        <v>1404</v>
      </c>
      <c r="B314" s="615" t="s">
        <v>1601</v>
      </c>
      <c r="C314" s="590">
        <v>1740.733085790527</v>
      </c>
      <c r="D314" s="590">
        <v>1740.733085790527</v>
      </c>
      <c r="E314" s="590">
        <v>1740.733085790527</v>
      </c>
      <c r="F314" s="590">
        <v>1657.4104063931181</v>
      </c>
      <c r="G314" s="590">
        <v>1657.4104063931181</v>
      </c>
      <c r="H314" s="590">
        <v>1657.4104063931181</v>
      </c>
      <c r="I314" s="590">
        <v>1587.5741723551923</v>
      </c>
      <c r="J314" s="590">
        <v>1587.5741723551923</v>
      </c>
      <c r="K314" s="590">
        <v>1587.5741723551923</v>
      </c>
      <c r="L314" s="590">
        <v>1587.5741723551923</v>
      </c>
      <c r="M314" s="590">
        <v>237.38800000000001</v>
      </c>
      <c r="N314" s="590">
        <v>1587.5741723551923</v>
      </c>
      <c r="O314" s="590">
        <v>1587.5741723551923</v>
      </c>
      <c r="P314" s="590">
        <v>1587.5741723551923</v>
      </c>
      <c r="Q314" s="590">
        <v>1587.5741723551923</v>
      </c>
      <c r="R314" s="590">
        <v>1587.5741723551923</v>
      </c>
      <c r="S314" s="590">
        <v>1587.5741723551923</v>
      </c>
      <c r="T314" s="590">
        <v>1587.5741723551923</v>
      </c>
      <c r="U314" s="590">
        <v>1587.5741723551923</v>
      </c>
      <c r="V314" s="590">
        <v>2146.6405726737003</v>
      </c>
      <c r="W314" s="590">
        <v>2146.6405726737003</v>
      </c>
      <c r="X314" s="590">
        <v>2146.6405726737003</v>
      </c>
      <c r="Y314" s="590">
        <v>2146.6405726737003</v>
      </c>
      <c r="Z314" s="590">
        <v>2146.6405726737003</v>
      </c>
      <c r="AA314" s="590">
        <v>2146.6405726737003</v>
      </c>
      <c r="AB314" s="590">
        <v>2146.6405726737003</v>
      </c>
      <c r="AC314" s="590">
        <v>1262.8430916461757</v>
      </c>
      <c r="AD314" s="590">
        <v>2145.6305590630468</v>
      </c>
      <c r="AE314" s="590">
        <v>2145.6305590630468</v>
      </c>
      <c r="AF314" s="590">
        <v>2145.6305590630468</v>
      </c>
      <c r="AG314" s="590">
        <v>2145.6305590630468</v>
      </c>
      <c r="AH314" s="590">
        <v>2145.6305590630468</v>
      </c>
      <c r="AI314" s="590">
        <v>1392.8998711034199</v>
      </c>
      <c r="AJ314" s="590">
        <v>1236.9614536896559</v>
      </c>
      <c r="AK314" s="590">
        <v>1256.8950401479344</v>
      </c>
      <c r="AL314" s="590">
        <v>1262.8430916461757</v>
      </c>
      <c r="AM314" s="590">
        <v>1262.8430916461757</v>
      </c>
      <c r="AN314" s="587">
        <v>1262.8430916461757</v>
      </c>
    </row>
    <row r="315" spans="1:40" x14ac:dyDescent="0.25">
      <c r="A315" s="606" t="s">
        <v>235</v>
      </c>
      <c r="B315" s="615" t="s">
        <v>1601</v>
      </c>
      <c r="C315" s="590">
        <v>185.16034223074257</v>
      </c>
      <c r="D315" s="590">
        <v>92.655087915551007</v>
      </c>
      <c r="E315" s="590">
        <v>75.835950767334339</v>
      </c>
      <c r="F315" s="590">
        <v>97.209072521560245</v>
      </c>
      <c r="G315" s="590">
        <v>39.642525960594668</v>
      </c>
      <c r="H315" s="590">
        <v>23.44789354289086</v>
      </c>
      <c r="I315" s="590">
        <v>57.362482564156139</v>
      </c>
      <c r="J315" s="590">
        <v>37.972158313474935</v>
      </c>
      <c r="K315" s="590">
        <v>22.459898912929969</v>
      </c>
      <c r="L315" s="590">
        <v>18.581834062793728</v>
      </c>
      <c r="M315" s="590">
        <v>5.2750000000000004</v>
      </c>
      <c r="N315" s="590">
        <v>18.581834062793728</v>
      </c>
      <c r="O315" s="590">
        <v>75.43184293326415</v>
      </c>
      <c r="P315" s="590">
        <v>18.581834062793728</v>
      </c>
      <c r="Q315" s="590">
        <v>18.581834062793728</v>
      </c>
      <c r="R315" s="590">
        <v>18.935026222154324</v>
      </c>
      <c r="S315" s="590">
        <v>18.581834062793728</v>
      </c>
      <c r="T315" s="590">
        <v>18.581834062793728</v>
      </c>
      <c r="U315" s="590">
        <v>18.581834062793728</v>
      </c>
      <c r="V315" s="590">
        <v>0</v>
      </c>
      <c r="W315" s="590">
        <v>0</v>
      </c>
      <c r="X315" s="590">
        <v>0</v>
      </c>
      <c r="Y315" s="590">
        <v>0</v>
      </c>
      <c r="Z315" s="590">
        <v>0</v>
      </c>
      <c r="AA315" s="590">
        <v>0</v>
      </c>
      <c r="AB315" s="590">
        <v>0</v>
      </c>
      <c r="AC315" s="590">
        <v>18.581834062793728</v>
      </c>
      <c r="AD315" s="590">
        <v>0</v>
      </c>
      <c r="AE315" s="590">
        <v>0</v>
      </c>
      <c r="AF315" s="590">
        <v>0</v>
      </c>
      <c r="AG315" s="590">
        <v>0</v>
      </c>
      <c r="AH315" s="590">
        <v>0</v>
      </c>
      <c r="AI315" s="590">
        <v>186.90533356705214</v>
      </c>
      <c r="AJ315" s="590">
        <v>82.885592766221009</v>
      </c>
      <c r="AK315" s="590">
        <v>78.243849967299695</v>
      </c>
      <c r="AL315" s="590">
        <v>18.581834062793728</v>
      </c>
      <c r="AM315" s="590">
        <v>18.581834062793728</v>
      </c>
      <c r="AN315" s="587">
        <v>18.581834062793728</v>
      </c>
    </row>
    <row r="316" spans="1:40" x14ac:dyDescent="0.25">
      <c r="A316" s="606" t="s">
        <v>236</v>
      </c>
      <c r="B316" s="615" t="s">
        <v>1601</v>
      </c>
      <c r="C316" s="590">
        <v>170.34751485228318</v>
      </c>
      <c r="D316" s="590">
        <v>85.242680882306928</v>
      </c>
      <c r="E316" s="590">
        <v>69.769074705947602</v>
      </c>
      <c r="F316" s="590">
        <v>89.432346719835436</v>
      </c>
      <c r="G316" s="590">
        <v>36.471123883747097</v>
      </c>
      <c r="H316" s="590">
        <v>21.572062059459597</v>
      </c>
      <c r="I316" s="590">
        <v>52.77348395902365</v>
      </c>
      <c r="J316" s="590">
        <v>34.934385648396933</v>
      </c>
      <c r="K316" s="590">
        <v>20.663106999895572</v>
      </c>
      <c r="L316" s="590">
        <v>17.09528733777023</v>
      </c>
      <c r="M316" s="590">
        <v>4.8530000000000006</v>
      </c>
      <c r="N316" s="590">
        <v>17.09528733777023</v>
      </c>
      <c r="O316" s="590">
        <v>69.397295498603</v>
      </c>
      <c r="P316" s="590">
        <v>17.09528733777023</v>
      </c>
      <c r="Q316" s="590">
        <v>17.09528733777023</v>
      </c>
      <c r="R316" s="590">
        <v>17.420224124381978</v>
      </c>
      <c r="S316" s="590">
        <v>17.09528733777023</v>
      </c>
      <c r="T316" s="590">
        <v>17.09528733777023</v>
      </c>
      <c r="U316" s="590">
        <v>17.09528733777023</v>
      </c>
      <c r="V316" s="590">
        <v>0</v>
      </c>
      <c r="W316" s="590">
        <v>0</v>
      </c>
      <c r="X316" s="590">
        <v>0</v>
      </c>
      <c r="Y316" s="590">
        <v>0</v>
      </c>
      <c r="Z316" s="590">
        <v>0</v>
      </c>
      <c r="AA316" s="590">
        <v>0</v>
      </c>
      <c r="AB316" s="590">
        <v>0</v>
      </c>
      <c r="AC316" s="590">
        <v>17.09528733777023</v>
      </c>
      <c r="AD316" s="590">
        <v>0</v>
      </c>
      <c r="AE316" s="590">
        <v>0</v>
      </c>
      <c r="AF316" s="590">
        <v>0</v>
      </c>
      <c r="AG316" s="590">
        <v>0</v>
      </c>
      <c r="AH316" s="590">
        <v>0</v>
      </c>
      <c r="AI316" s="590">
        <v>171.95290688168797</v>
      </c>
      <c r="AJ316" s="590">
        <v>76.254745344923322</v>
      </c>
      <c r="AK316" s="590">
        <v>71.984341969915718</v>
      </c>
      <c r="AL316" s="590">
        <v>17.09528733777023</v>
      </c>
      <c r="AM316" s="590">
        <v>17.09528733777023</v>
      </c>
      <c r="AN316" s="587">
        <v>17.09528733777023</v>
      </c>
    </row>
    <row r="317" spans="1:40" x14ac:dyDescent="0.25">
      <c r="A317" s="606" t="s">
        <v>798</v>
      </c>
      <c r="B317" s="615" t="s">
        <v>1601</v>
      </c>
      <c r="C317" s="590">
        <v>1411.1281730732978</v>
      </c>
      <c r="D317" s="590">
        <v>261.32003205061079</v>
      </c>
      <c r="E317" s="590">
        <v>52.264006410122157</v>
      </c>
      <c r="F317" s="590">
        <v>967.14921538353599</v>
      </c>
      <c r="G317" s="590">
        <v>251.61706127659122</v>
      </c>
      <c r="H317" s="590">
        <v>50.323412255318225</v>
      </c>
      <c r="I317" s="590">
        <v>482.02997430906981</v>
      </c>
      <c r="J317" s="590">
        <v>241.01498715453491</v>
      </c>
      <c r="K317" s="590">
        <v>48.202997430906976</v>
      </c>
      <c r="L317" s="590">
        <v>0</v>
      </c>
      <c r="M317" s="590">
        <v>0</v>
      </c>
      <c r="N317" s="590">
        <v>0</v>
      </c>
      <c r="O317" s="590">
        <v>706.62583980101647</v>
      </c>
      <c r="P317" s="590">
        <v>0</v>
      </c>
      <c r="Q317" s="590">
        <v>0</v>
      </c>
      <c r="R317" s="590">
        <v>4.390055712883977</v>
      </c>
      <c r="S317" s="590">
        <v>0</v>
      </c>
      <c r="T317" s="590">
        <v>0</v>
      </c>
      <c r="U317" s="590">
        <v>0</v>
      </c>
      <c r="V317" s="590">
        <v>48.010699892561107</v>
      </c>
      <c r="W317" s="590">
        <v>48.010699892561107</v>
      </c>
      <c r="X317" s="590">
        <v>48.010699892561107</v>
      </c>
      <c r="Y317" s="590">
        <v>48.010699892561107</v>
      </c>
      <c r="Z317" s="590">
        <v>48.010699892561107</v>
      </c>
      <c r="AA317" s="590">
        <v>48.010699892561107</v>
      </c>
      <c r="AB317" s="590">
        <v>48.010699892561107</v>
      </c>
      <c r="AC317" s="590">
        <v>0</v>
      </c>
      <c r="AD317" s="590">
        <v>47.988110428369566</v>
      </c>
      <c r="AE317" s="590">
        <v>47.988110428369566</v>
      </c>
      <c r="AF317" s="590">
        <v>47.988110428369566</v>
      </c>
      <c r="AG317" s="590">
        <v>47.988110428369566</v>
      </c>
      <c r="AH317" s="590">
        <v>47.988110428369566</v>
      </c>
      <c r="AI317" s="590">
        <v>100.28322042145258</v>
      </c>
      <c r="AJ317" s="590">
        <v>186.66405510439742</v>
      </c>
      <c r="AK317" s="590">
        <v>115.37462691306115</v>
      </c>
      <c r="AL317" s="590">
        <v>0</v>
      </c>
      <c r="AM317" s="590">
        <v>0</v>
      </c>
      <c r="AN317" s="587">
        <v>0</v>
      </c>
    </row>
    <row r="318" spans="1:40" x14ac:dyDescent="0.25">
      <c r="A318" s="606" t="s">
        <v>799</v>
      </c>
      <c r="B318" s="615" t="s">
        <v>1601</v>
      </c>
      <c r="C318" s="590">
        <v>25.55212722784248</v>
      </c>
      <c r="D318" s="590">
        <v>12.786402132346037</v>
      </c>
      <c r="E318" s="590">
        <v>10.465361205892139</v>
      </c>
      <c r="F318" s="590">
        <v>13.414852007975316</v>
      </c>
      <c r="G318" s="590">
        <v>5.4706685825620651</v>
      </c>
      <c r="H318" s="590">
        <v>3.235809308918939</v>
      </c>
      <c r="I318" s="590">
        <v>7.9160225938535485</v>
      </c>
      <c r="J318" s="590">
        <v>5.2401578472595407</v>
      </c>
      <c r="K318" s="590">
        <v>3.0994660499843358</v>
      </c>
      <c r="L318" s="590">
        <v>2.5642931006655352</v>
      </c>
      <c r="M318" s="590">
        <v>0.57045620920512885</v>
      </c>
      <c r="N318" s="590">
        <v>2.5642931006655352</v>
      </c>
      <c r="O318" s="590">
        <v>10.409594324790451</v>
      </c>
      <c r="P318" s="590">
        <v>2.5642931006655352</v>
      </c>
      <c r="Q318" s="590">
        <v>2.5642931006655352</v>
      </c>
      <c r="R318" s="590">
        <v>2.6130336186572962</v>
      </c>
      <c r="S318" s="590">
        <v>2.5642931006655352</v>
      </c>
      <c r="T318" s="590">
        <v>2.5642931006655352</v>
      </c>
      <c r="U318" s="590">
        <v>2.5642931006655352</v>
      </c>
      <c r="V318" s="590">
        <v>0</v>
      </c>
      <c r="W318" s="590">
        <v>0</v>
      </c>
      <c r="X318" s="590">
        <v>0</v>
      </c>
      <c r="Y318" s="590">
        <v>0</v>
      </c>
      <c r="Z318" s="590">
        <v>0</v>
      </c>
      <c r="AA318" s="590">
        <v>0</v>
      </c>
      <c r="AB318" s="590">
        <v>0</v>
      </c>
      <c r="AC318" s="590">
        <v>2.5642931006655352</v>
      </c>
      <c r="AD318" s="590">
        <v>0</v>
      </c>
      <c r="AE318" s="590">
        <v>0</v>
      </c>
      <c r="AF318" s="590">
        <v>0</v>
      </c>
      <c r="AG318" s="590">
        <v>0</v>
      </c>
      <c r="AH318" s="590">
        <v>0</v>
      </c>
      <c r="AI318" s="590">
        <v>25.792936032253195</v>
      </c>
      <c r="AJ318" s="590">
        <v>11.438211801738499</v>
      </c>
      <c r="AK318" s="590">
        <v>10.797651295487357</v>
      </c>
      <c r="AL318" s="590">
        <v>2.5642931006655352</v>
      </c>
      <c r="AM318" s="590">
        <v>2.5642931006655352</v>
      </c>
      <c r="AN318" s="587">
        <v>2.5642931006655352</v>
      </c>
    </row>
    <row r="319" spans="1:40" x14ac:dyDescent="0.25">
      <c r="A319" s="606" t="s">
        <v>800</v>
      </c>
      <c r="B319" s="615" t="s">
        <v>1601</v>
      </c>
      <c r="C319" s="590">
        <v>66.435530792390438</v>
      </c>
      <c r="D319" s="590">
        <v>33.244645544099704</v>
      </c>
      <c r="E319" s="590">
        <v>27.209939135319566</v>
      </c>
      <c r="F319" s="590">
        <v>34.878615220735817</v>
      </c>
      <c r="G319" s="590">
        <v>14.223738314661368</v>
      </c>
      <c r="H319" s="590">
        <v>8.4131042031892402</v>
      </c>
      <c r="I319" s="590">
        <v>20.581658744019222</v>
      </c>
      <c r="J319" s="590">
        <v>13.624410402874805</v>
      </c>
      <c r="K319" s="590">
        <v>8.0586117299592743</v>
      </c>
      <c r="L319" s="590">
        <v>6.6671620617303908</v>
      </c>
      <c r="M319" s="590">
        <v>1.4831861439333349</v>
      </c>
      <c r="N319" s="590">
        <v>6.6671620617303908</v>
      </c>
      <c r="O319" s="590">
        <v>27.064945244455174</v>
      </c>
      <c r="P319" s="590">
        <v>6.6671620617303908</v>
      </c>
      <c r="Q319" s="590">
        <v>6.6671620617303908</v>
      </c>
      <c r="R319" s="590">
        <v>6.7938874085089704</v>
      </c>
      <c r="S319" s="590">
        <v>6.6671620617303908</v>
      </c>
      <c r="T319" s="590">
        <v>6.6671620617303908</v>
      </c>
      <c r="U319" s="590">
        <v>6.6671620617303908</v>
      </c>
      <c r="V319" s="590">
        <v>0</v>
      </c>
      <c r="W319" s="590">
        <v>0</v>
      </c>
      <c r="X319" s="590">
        <v>0</v>
      </c>
      <c r="Y319" s="590">
        <v>0</v>
      </c>
      <c r="Z319" s="590">
        <v>0</v>
      </c>
      <c r="AA319" s="590">
        <v>0</v>
      </c>
      <c r="AB319" s="590">
        <v>0</v>
      </c>
      <c r="AC319" s="590">
        <v>6.6671620617303908</v>
      </c>
      <c r="AD319" s="590">
        <v>0</v>
      </c>
      <c r="AE319" s="590">
        <v>0</v>
      </c>
      <c r="AF319" s="590">
        <v>0</v>
      </c>
      <c r="AG319" s="590">
        <v>0</v>
      </c>
      <c r="AH319" s="590">
        <v>0</v>
      </c>
      <c r="AI319" s="590">
        <v>67.061633683858304</v>
      </c>
      <c r="AJ319" s="590">
        <v>29.73935068452009</v>
      </c>
      <c r="AK319" s="590">
        <v>28.073893368267132</v>
      </c>
      <c r="AL319" s="590">
        <v>6.6671620617303908</v>
      </c>
      <c r="AM319" s="590">
        <v>6.6671620617303908</v>
      </c>
      <c r="AN319" s="587">
        <v>6.6671620617303908</v>
      </c>
    </row>
    <row r="320" spans="1:40" x14ac:dyDescent="0.25">
      <c r="A320" s="606" t="s">
        <v>6</v>
      </c>
      <c r="B320" s="615" t="s">
        <v>1601</v>
      </c>
      <c r="C320" s="590">
        <v>1.2433807755646622</v>
      </c>
      <c r="D320" s="590">
        <v>1.2433807755646622</v>
      </c>
      <c r="E320" s="590">
        <v>1.2433807755646622</v>
      </c>
      <c r="F320" s="590">
        <v>1.255613944237211</v>
      </c>
      <c r="G320" s="590">
        <v>1.255613944237211</v>
      </c>
      <c r="H320" s="590">
        <v>1.255613944237211</v>
      </c>
      <c r="I320" s="590">
        <v>1.2027077063296914</v>
      </c>
      <c r="J320" s="590">
        <v>1.2027077063296914</v>
      </c>
      <c r="K320" s="590">
        <v>1.2027077063296914</v>
      </c>
      <c r="L320" s="590">
        <v>1.2027077063296914</v>
      </c>
      <c r="M320" s="590">
        <v>659.41</v>
      </c>
      <c r="N320" s="590">
        <v>1.2027077063296914</v>
      </c>
      <c r="O320" s="590">
        <v>1.2027077063296914</v>
      </c>
      <c r="P320" s="590">
        <v>1.2027077063296914</v>
      </c>
      <c r="Q320" s="590">
        <v>1.2027077063296914</v>
      </c>
      <c r="R320" s="590">
        <v>1.2027077063296914</v>
      </c>
      <c r="S320" s="590">
        <v>1.2027077063296914</v>
      </c>
      <c r="T320" s="590">
        <v>1.2027077063296914</v>
      </c>
      <c r="U320" s="590">
        <v>1.2027077063296914</v>
      </c>
      <c r="V320" s="590">
        <v>0</v>
      </c>
      <c r="W320" s="590">
        <v>0</v>
      </c>
      <c r="X320" s="590">
        <v>0</v>
      </c>
      <c r="Y320" s="590">
        <v>0</v>
      </c>
      <c r="Z320" s="590">
        <v>0</v>
      </c>
      <c r="AA320" s="590">
        <v>0</v>
      </c>
      <c r="AB320" s="590">
        <v>0</v>
      </c>
      <c r="AC320" s="590">
        <v>1.2027077063296914</v>
      </c>
      <c r="AD320" s="590">
        <v>0</v>
      </c>
      <c r="AE320" s="590">
        <v>0</v>
      </c>
      <c r="AF320" s="590">
        <v>0</v>
      </c>
      <c r="AG320" s="590">
        <v>0</v>
      </c>
      <c r="AH320" s="590">
        <v>0</v>
      </c>
      <c r="AI320" s="590">
        <v>1.2436605991994822</v>
      </c>
      <c r="AJ320" s="590">
        <v>1.178058527323482</v>
      </c>
      <c r="AK320" s="590">
        <v>1.1970428953789851</v>
      </c>
      <c r="AL320" s="590">
        <v>1.2027077063296914</v>
      </c>
      <c r="AM320" s="590">
        <v>1.2027077063296914</v>
      </c>
      <c r="AN320" s="587">
        <v>1.2027077063296914</v>
      </c>
    </row>
    <row r="321" spans="1:40" x14ac:dyDescent="0.25">
      <c r="A321" s="606" t="s">
        <v>3</v>
      </c>
      <c r="B321" s="615" t="s">
        <v>1601</v>
      </c>
      <c r="C321" s="590">
        <v>4.2274946369198521</v>
      </c>
      <c r="D321" s="590">
        <v>4.2274946369198521</v>
      </c>
      <c r="E321" s="590">
        <v>4.2274946369198521</v>
      </c>
      <c r="F321" s="590">
        <v>4.2690874104065166</v>
      </c>
      <c r="G321" s="590">
        <v>4.2690874104065166</v>
      </c>
      <c r="H321" s="590">
        <v>4.2690874104065166</v>
      </c>
      <c r="I321" s="590">
        <v>4.0892062015209509</v>
      </c>
      <c r="J321" s="590">
        <v>4.0892062015209509</v>
      </c>
      <c r="K321" s="590">
        <v>4.0892062015209509</v>
      </c>
      <c r="L321" s="590">
        <v>4.0892062015209509</v>
      </c>
      <c r="M321" s="590">
        <v>2</v>
      </c>
      <c r="N321" s="590">
        <v>4.0892062015209509</v>
      </c>
      <c r="O321" s="590">
        <v>4.0892062015209509</v>
      </c>
      <c r="P321" s="590">
        <v>4.0892062015209509</v>
      </c>
      <c r="Q321" s="590">
        <v>4.0892062015209509</v>
      </c>
      <c r="R321" s="590">
        <v>4.0892062015209509</v>
      </c>
      <c r="S321" s="590">
        <v>4.0892062015209509</v>
      </c>
      <c r="T321" s="590">
        <v>4.0892062015209509</v>
      </c>
      <c r="U321" s="590">
        <v>4.0892062015209509</v>
      </c>
      <c r="V321" s="590">
        <v>0</v>
      </c>
      <c r="W321" s="590">
        <v>0</v>
      </c>
      <c r="X321" s="590">
        <v>0</v>
      </c>
      <c r="Y321" s="590">
        <v>0</v>
      </c>
      <c r="Z321" s="590">
        <v>0</v>
      </c>
      <c r="AA321" s="590">
        <v>0</v>
      </c>
      <c r="AB321" s="590">
        <v>0</v>
      </c>
      <c r="AC321" s="590">
        <v>4.0892062015209509</v>
      </c>
      <c r="AD321" s="590">
        <v>0</v>
      </c>
      <c r="AE321" s="590">
        <v>0</v>
      </c>
      <c r="AF321" s="590">
        <v>0</v>
      </c>
      <c r="AG321" s="590">
        <v>0</v>
      </c>
      <c r="AH321" s="590">
        <v>0</v>
      </c>
      <c r="AI321" s="590">
        <v>4.22844603727824</v>
      </c>
      <c r="AJ321" s="590">
        <v>4.0053989928998384</v>
      </c>
      <c r="AK321" s="590">
        <v>4.069945844288549</v>
      </c>
      <c r="AL321" s="590">
        <v>4.0892062015209509</v>
      </c>
      <c r="AM321" s="590">
        <v>4.0892062015209509</v>
      </c>
      <c r="AN321" s="587">
        <v>4.0892062015209509</v>
      </c>
    </row>
    <row r="322" spans="1:40" x14ac:dyDescent="0.25">
      <c r="A322" s="606" t="s">
        <v>2</v>
      </c>
      <c r="B322" s="615" t="s">
        <v>1601</v>
      </c>
      <c r="C322" s="590">
        <v>84669.124073482439</v>
      </c>
      <c r="D322" s="590">
        <v>84669.124073482439</v>
      </c>
      <c r="E322" s="590">
        <v>84669.124073482439</v>
      </c>
      <c r="F322" s="590">
        <v>81376.351251730244</v>
      </c>
      <c r="G322" s="590">
        <v>81376.351251730244</v>
      </c>
      <c r="H322" s="590">
        <v>81376.351251730244</v>
      </c>
      <c r="I322" s="590">
        <v>77800.426794230705</v>
      </c>
      <c r="J322" s="590">
        <v>77800.426794230705</v>
      </c>
      <c r="K322" s="590">
        <v>77800.426794230705</v>
      </c>
      <c r="L322" s="590">
        <v>75902.581499718377</v>
      </c>
      <c r="M322" s="590">
        <v>57375.382645353529</v>
      </c>
      <c r="N322" s="590">
        <v>75902.581499718377</v>
      </c>
      <c r="O322" s="590">
        <v>76215.90060982728</v>
      </c>
      <c r="P322" s="590">
        <v>75902.581499718377</v>
      </c>
      <c r="Q322" s="590">
        <v>80715.882882945632</v>
      </c>
      <c r="R322" s="590">
        <v>105753.06902516889</v>
      </c>
      <c r="S322" s="590">
        <v>75902.581499718377</v>
      </c>
      <c r="T322" s="590">
        <v>76215.90060982728</v>
      </c>
      <c r="U322" s="590">
        <v>78932.777522465884</v>
      </c>
      <c r="V322" s="227">
        <v>73240.97147934376</v>
      </c>
      <c r="W322" s="227">
        <v>73240.97147934376</v>
      </c>
      <c r="X322" s="227">
        <v>73240.97147934376</v>
      </c>
      <c r="Y322" s="227">
        <v>73240.97147934376</v>
      </c>
      <c r="Z322" s="227">
        <v>73240.97147934376</v>
      </c>
      <c r="AA322" s="227">
        <v>73240.97147934376</v>
      </c>
      <c r="AB322" s="227">
        <v>73240.97147934376</v>
      </c>
      <c r="AC322" s="227">
        <v>73427.368671958495</v>
      </c>
      <c r="AD322" s="227">
        <v>0</v>
      </c>
      <c r="AE322" s="227">
        <v>0</v>
      </c>
      <c r="AF322" s="227">
        <v>0</v>
      </c>
      <c r="AG322" s="227">
        <v>0</v>
      </c>
      <c r="AH322" s="227">
        <v>0</v>
      </c>
      <c r="AI322" s="227">
        <v>85964.684589362383</v>
      </c>
      <c r="AJ322" s="227">
        <v>76312.276881754224</v>
      </c>
      <c r="AK322" s="227">
        <v>76455.250358428515</v>
      </c>
      <c r="AL322" s="227">
        <v>101108.66505145651</v>
      </c>
      <c r="AM322" s="227">
        <v>92310.943530400138</v>
      </c>
      <c r="AN322" s="515">
        <v>89407.39209245106</v>
      </c>
    </row>
    <row r="323" spans="1:40" x14ac:dyDescent="0.25">
      <c r="A323" s="606" t="s">
        <v>1405</v>
      </c>
      <c r="B323" s="615" t="s">
        <v>1601</v>
      </c>
      <c r="C323" s="590">
        <v>85077.811492688881</v>
      </c>
      <c r="D323" s="590">
        <v>85077.811492688881</v>
      </c>
      <c r="E323" s="590">
        <v>85077.811492688881</v>
      </c>
      <c r="F323" s="590">
        <v>81789.059596972977</v>
      </c>
      <c r="G323" s="590">
        <v>81789.059596972977</v>
      </c>
      <c r="H323" s="590">
        <v>81789.059596972977</v>
      </c>
      <c r="I323" s="590">
        <v>78195.745362942165</v>
      </c>
      <c r="J323" s="590">
        <v>78195.745362942165</v>
      </c>
      <c r="K323" s="590">
        <v>78195.745362942165</v>
      </c>
      <c r="L323" s="590">
        <v>76297.900068429837</v>
      </c>
      <c r="M323" s="590">
        <v>57846.017574946476</v>
      </c>
      <c r="N323" s="590">
        <v>76297.900068429837</v>
      </c>
      <c r="O323" s="590">
        <v>76611.21917853874</v>
      </c>
      <c r="P323" s="590">
        <v>76297.900068429837</v>
      </c>
      <c r="Q323" s="590">
        <v>81111.201451657093</v>
      </c>
      <c r="R323" s="590">
        <v>106148.38759388035</v>
      </c>
      <c r="S323" s="590">
        <v>76297.900068429837</v>
      </c>
      <c r="T323" s="590">
        <v>76611.21917853874</v>
      </c>
      <c r="U323" s="590">
        <v>79328.096091177344</v>
      </c>
      <c r="V323" s="227">
        <v>73316.416864889208</v>
      </c>
      <c r="W323" s="227">
        <v>73316.416864889208</v>
      </c>
      <c r="X323" s="227">
        <v>73316.416864889208</v>
      </c>
      <c r="Y323" s="227">
        <v>73316.416864889208</v>
      </c>
      <c r="Z323" s="227">
        <v>73316.416864889208</v>
      </c>
      <c r="AA323" s="227">
        <v>73316.416864889208</v>
      </c>
      <c r="AB323" s="227">
        <v>73316.416864889208</v>
      </c>
      <c r="AC323" s="227">
        <v>73822.687240669955</v>
      </c>
      <c r="AD323" s="227">
        <v>75.409887816009316</v>
      </c>
      <c r="AE323" s="227">
        <v>75.409887816009316</v>
      </c>
      <c r="AF323" s="227">
        <v>75.409887816009316</v>
      </c>
      <c r="AG323" s="227">
        <v>75.409887816009316</v>
      </c>
      <c r="AH323" s="227">
        <v>75.409887816009316</v>
      </c>
      <c r="AI323" s="227">
        <v>86373.463983932597</v>
      </c>
      <c r="AJ323" s="227">
        <v>76699.493500080425</v>
      </c>
      <c r="AK323" s="227">
        <v>76848.706957731061</v>
      </c>
      <c r="AL323" s="227">
        <v>101503.98362016797</v>
      </c>
      <c r="AM323" s="227">
        <v>92706.262099111598</v>
      </c>
      <c r="AN323" s="515">
        <v>89802.71066116252</v>
      </c>
    </row>
    <row r="324" spans="1:40" x14ac:dyDescent="0.25">
      <c r="A324" s="609" t="s">
        <v>797</v>
      </c>
      <c r="B324" s="618" t="s">
        <v>1602</v>
      </c>
      <c r="C324" s="598">
        <v>86268.970275679821</v>
      </c>
      <c r="D324" s="598">
        <v>86268.970275679821</v>
      </c>
      <c r="E324" s="598">
        <v>86268.970275679821</v>
      </c>
      <c r="F324" s="598">
        <v>82991.937755552222</v>
      </c>
      <c r="G324" s="598">
        <v>82991.937755552222</v>
      </c>
      <c r="H324" s="598">
        <v>82991.937755552222</v>
      </c>
      <c r="I324" s="598">
        <v>79347.939345606006</v>
      </c>
      <c r="J324" s="598">
        <v>79347.939345606006</v>
      </c>
      <c r="K324" s="598">
        <v>79347.939345606006</v>
      </c>
      <c r="L324" s="598">
        <v>77450.094051093678</v>
      </c>
      <c r="M324" s="598">
        <v>78042.435574946474</v>
      </c>
      <c r="N324" s="598">
        <v>77450.094051093678</v>
      </c>
      <c r="O324" s="598">
        <v>77763.413161202581</v>
      </c>
      <c r="P324" s="598">
        <v>77450.094051093678</v>
      </c>
      <c r="Q324" s="598">
        <v>82263.395434320933</v>
      </c>
      <c r="R324" s="598">
        <v>107300.58157654419</v>
      </c>
      <c r="S324" s="598">
        <v>77450.094051093678</v>
      </c>
      <c r="T324" s="598">
        <v>77763.413161202581</v>
      </c>
      <c r="U324" s="598">
        <v>80480.290073841184</v>
      </c>
      <c r="V324" s="254">
        <v>73316.416864889208</v>
      </c>
      <c r="W324" s="254">
        <v>73316.416864889208</v>
      </c>
      <c r="X324" s="254">
        <v>73316.416864889208</v>
      </c>
      <c r="Y324" s="254">
        <v>73316.416864889208</v>
      </c>
      <c r="Z324" s="254">
        <v>73316.416864889208</v>
      </c>
      <c r="AA324" s="254">
        <v>73316.416864889208</v>
      </c>
      <c r="AB324" s="254">
        <v>73316.416864889208</v>
      </c>
      <c r="AC324" s="254">
        <v>74974.881223333796</v>
      </c>
      <c r="AD324" s="254">
        <v>75.409887816009316</v>
      </c>
      <c r="AE324" s="254">
        <v>75.409887816009316</v>
      </c>
      <c r="AF324" s="254">
        <v>75.409887816009316</v>
      </c>
      <c r="AG324" s="254">
        <v>75.409887816009316</v>
      </c>
      <c r="AH324" s="254">
        <v>75.409887816009316</v>
      </c>
      <c r="AI324" s="254">
        <v>87564.890837965708</v>
      </c>
      <c r="AJ324" s="254">
        <v>77828.073569256318</v>
      </c>
      <c r="AK324" s="254">
        <v>77995.474051504134</v>
      </c>
      <c r="AL324" s="254">
        <v>102656.17760283181</v>
      </c>
      <c r="AM324" s="254">
        <v>93858.456081775439</v>
      </c>
      <c r="AN324" s="519">
        <v>90954.904643826361</v>
      </c>
    </row>
  </sheetData>
  <mergeCells count="166">
    <mergeCell ref="A90:G90"/>
    <mergeCell ref="P142:R142"/>
    <mergeCell ref="S142:S143"/>
    <mergeCell ref="Y142:Y143"/>
    <mergeCell ref="Z142:AB142"/>
    <mergeCell ref="O83:AA83"/>
    <mergeCell ref="O1:V1"/>
    <mergeCell ref="O92:AA93"/>
    <mergeCell ref="A83:K83"/>
    <mergeCell ref="A3:I3"/>
    <mergeCell ref="D1:E1"/>
    <mergeCell ref="A31:M31"/>
    <mergeCell ref="A98:O98"/>
    <mergeCell ref="I74:M74"/>
    <mergeCell ref="A74:G74"/>
    <mergeCell ref="A79:G81"/>
    <mergeCell ref="A1:A2"/>
    <mergeCell ref="AC142:AC143"/>
    <mergeCell ref="AD142:AD143"/>
    <mergeCell ref="AE142:AE143"/>
    <mergeCell ref="B166:B167"/>
    <mergeCell ref="C166:C167"/>
    <mergeCell ref="D166:D167"/>
    <mergeCell ref="E166:E167"/>
    <mergeCell ref="F166:G166"/>
    <mergeCell ref="H166:I166"/>
    <mergeCell ref="J166:K166"/>
    <mergeCell ref="L166:M166"/>
    <mergeCell ref="N166:O166"/>
    <mergeCell ref="P166:Q166"/>
    <mergeCell ref="R166:S166"/>
    <mergeCell ref="T166:U166"/>
    <mergeCell ref="V166:W166"/>
    <mergeCell ref="B214:H214"/>
    <mergeCell ref="I214:L214"/>
    <mergeCell ref="M214:AJ214"/>
    <mergeCell ref="AK214:BF214"/>
    <mergeCell ref="BG214:BH214"/>
    <mergeCell ref="AG166:AG167"/>
    <mergeCell ref="AH166:AH167"/>
    <mergeCell ref="AI166:AI167"/>
    <mergeCell ref="AJ166:AJ167"/>
    <mergeCell ref="AK166:AK167"/>
    <mergeCell ref="X166:Y166"/>
    <mergeCell ref="Z166:Z167"/>
    <mergeCell ref="AA166:AB166"/>
    <mergeCell ref="AC166:AD166"/>
    <mergeCell ref="AE166:AF166"/>
    <mergeCell ref="BI214:BV214"/>
    <mergeCell ref="BW214:BX214"/>
    <mergeCell ref="BY214:CB214"/>
    <mergeCell ref="CC214:CH214"/>
    <mergeCell ref="M215:N215"/>
    <mergeCell ref="O215:P215"/>
    <mergeCell ref="Q215:R215"/>
    <mergeCell ref="S215:T215"/>
    <mergeCell ref="U215:V215"/>
    <mergeCell ref="W215:X215"/>
    <mergeCell ref="Y215:Z215"/>
    <mergeCell ref="AA215:AB215"/>
    <mergeCell ref="AC215:AD215"/>
    <mergeCell ref="AE215:AF215"/>
    <mergeCell ref="AG215:AH215"/>
    <mergeCell ref="AI215:AJ215"/>
    <mergeCell ref="CG215:CH215"/>
    <mergeCell ref="BO215:BP215"/>
    <mergeCell ref="BQ215:BR215"/>
    <mergeCell ref="BS215:BT215"/>
    <mergeCell ref="BU215:BV215"/>
    <mergeCell ref="BW215:BX215"/>
    <mergeCell ref="BE215:BF215"/>
    <mergeCell ref="BG215:BH215"/>
    <mergeCell ref="B240:C240"/>
    <mergeCell ref="D240:E240"/>
    <mergeCell ref="F240:G240"/>
    <mergeCell ref="H240:I240"/>
    <mergeCell ref="J240:K240"/>
    <mergeCell ref="BY215:BZ215"/>
    <mergeCell ref="V240:W240"/>
    <mergeCell ref="X240:Y240"/>
    <mergeCell ref="Z240:AA240"/>
    <mergeCell ref="AB240:AC240"/>
    <mergeCell ref="AD240:AE240"/>
    <mergeCell ref="L240:M240"/>
    <mergeCell ref="N240:O240"/>
    <mergeCell ref="P240:Q240"/>
    <mergeCell ref="R240:S240"/>
    <mergeCell ref="T240:U240"/>
    <mergeCell ref="AP240:AQ240"/>
    <mergeCell ref="AR240:AS240"/>
    <mergeCell ref="AT240:AU240"/>
    <mergeCell ref="AV240:AW240"/>
    <mergeCell ref="AX240:AY240"/>
    <mergeCell ref="AF240:AG240"/>
    <mergeCell ref="AH240:AI240"/>
    <mergeCell ref="AJ240:AK240"/>
    <mergeCell ref="CA215:CB215"/>
    <mergeCell ref="CC215:CD215"/>
    <mergeCell ref="CE215:CF215"/>
    <mergeCell ref="AU215:AV215"/>
    <mergeCell ref="AW215:AX215"/>
    <mergeCell ref="AY215:AZ215"/>
    <mergeCell ref="BA215:BB215"/>
    <mergeCell ref="BC215:BD215"/>
    <mergeCell ref="AK215:AL215"/>
    <mergeCell ref="AM215:AN215"/>
    <mergeCell ref="AO215:AP215"/>
    <mergeCell ref="AQ215:AR215"/>
    <mergeCell ref="AS215:AT215"/>
    <mergeCell ref="BI215:BJ215"/>
    <mergeCell ref="BK215:BL215"/>
    <mergeCell ref="BM215:BN215"/>
    <mergeCell ref="AL240:AM240"/>
    <mergeCell ref="AN240:AO240"/>
    <mergeCell ref="BJ240:BK240"/>
    <mergeCell ref="BL240:BM240"/>
    <mergeCell ref="BN240:BO240"/>
    <mergeCell ref="BP240:BQ240"/>
    <mergeCell ref="BR240:BS240"/>
    <mergeCell ref="AZ240:BA240"/>
    <mergeCell ref="BB240:BC240"/>
    <mergeCell ref="BD240:BE240"/>
    <mergeCell ref="BF240:BG240"/>
    <mergeCell ref="BH240:BI240"/>
    <mergeCell ref="CD240:CE240"/>
    <mergeCell ref="CF240:CG240"/>
    <mergeCell ref="CH240:CI240"/>
    <mergeCell ref="CJ240:CK240"/>
    <mergeCell ref="CL240:CM240"/>
    <mergeCell ref="BT240:BU240"/>
    <mergeCell ref="BV240:BW240"/>
    <mergeCell ref="BX240:BY240"/>
    <mergeCell ref="BZ240:CA240"/>
    <mergeCell ref="CB240:CC240"/>
    <mergeCell ref="CX240:CY240"/>
    <mergeCell ref="CZ240:DA240"/>
    <mergeCell ref="DB240:DC240"/>
    <mergeCell ref="DD240:DE240"/>
    <mergeCell ref="DF240:DG240"/>
    <mergeCell ref="CN240:CO240"/>
    <mergeCell ref="CP240:CQ240"/>
    <mergeCell ref="CR240:CS240"/>
    <mergeCell ref="CT240:CU240"/>
    <mergeCell ref="CV240:CW240"/>
    <mergeCell ref="DR240:DS240"/>
    <mergeCell ref="DT240:DU240"/>
    <mergeCell ref="DV240:DW240"/>
    <mergeCell ref="DX240:DY240"/>
    <mergeCell ref="DZ240:EA240"/>
    <mergeCell ref="DH240:DI240"/>
    <mergeCell ref="DJ240:DK240"/>
    <mergeCell ref="DL240:DM240"/>
    <mergeCell ref="DN240:DO240"/>
    <mergeCell ref="DP240:DQ240"/>
    <mergeCell ref="EV240:EW240"/>
    <mergeCell ref="EX240:EY240"/>
    <mergeCell ref="EL240:EM240"/>
    <mergeCell ref="EN240:EO240"/>
    <mergeCell ref="EP240:EQ240"/>
    <mergeCell ref="ER240:ES240"/>
    <mergeCell ref="ET240:EU240"/>
    <mergeCell ref="EB240:EC240"/>
    <mergeCell ref="ED240:EE240"/>
    <mergeCell ref="EF240:EG240"/>
    <mergeCell ref="EH240:EI240"/>
    <mergeCell ref="EJ240:EK240"/>
  </mergeCells>
  <conditionalFormatting sqref="B240:E261">
    <cfRule type="expression" dxfId="9" priority="3">
      <formula>OR($B$2=2, $B$2=3)</formula>
    </cfRule>
  </conditionalFormatting>
  <conditionalFormatting sqref="C266:U284">
    <cfRule type="cellIs" dxfId="8" priority="4" operator="lessThan">
      <formula>-10</formula>
    </cfRule>
    <cfRule type="cellIs" dxfId="7" priority="5" operator="greaterThan">
      <formula>10</formula>
    </cfRule>
  </conditionalFormatting>
  <conditionalFormatting sqref="C286:U304">
    <cfRule type="cellIs" dxfId="6" priority="8" operator="lessThan">
      <formula>-10</formula>
    </cfRule>
    <cfRule type="cellIs" dxfId="5" priority="9" operator="greaterThan">
      <formula>10</formula>
    </cfRule>
  </conditionalFormatting>
  <conditionalFormatting sqref="C306:U324">
    <cfRule type="cellIs" dxfId="4" priority="1" operator="lessThan">
      <formula>-10</formula>
    </cfRule>
    <cfRule type="cellIs" dxfId="3" priority="2" operator="greaterThan">
      <formula>10</formula>
    </cfRule>
  </conditionalFormatting>
  <conditionalFormatting sqref="W283:W284">
    <cfRule type="cellIs" dxfId="2" priority="6" operator="lessThan">
      <formula>-10</formula>
    </cfRule>
    <cfRule type="cellIs" dxfId="1" priority="7" operator="greaterThan">
      <formula>10</formula>
    </cfRule>
  </conditionalFormatting>
  <hyperlinks>
    <hyperlink ref="B1" r:id="rId1" xr:uid="{88B21D4B-760B-46EC-92CF-071F569AD5A5}"/>
    <hyperlink ref="B2" r:id="rId2" xr:uid="{940D9146-5AE1-49AC-8D4D-2D0FA6CCD32C}"/>
  </hyperlinks>
  <pageMargins left="0.7" right="0.7" top="0.75" bottom="0.75" header="0.3" footer="0.3"/>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92485-4F81-4284-96BF-2910838D0154}">
  <sheetPr codeName="Sheet22">
    <tabColor theme="7" tint="0.59999389629810485"/>
  </sheetPr>
  <dimension ref="A1:AH120"/>
  <sheetViews>
    <sheetView topLeftCell="R87" workbookViewId="0">
      <selection activeCell="AG108" sqref="AG108"/>
    </sheetView>
  </sheetViews>
  <sheetFormatPr defaultRowHeight="15" x14ac:dyDescent="0.25"/>
  <cols>
    <col min="1" max="1" width="9.5703125" customWidth="1"/>
    <col min="2" max="2" width="30.5703125" customWidth="1"/>
    <col min="3" max="3" width="33.7109375" bestFit="1" customWidth="1"/>
    <col min="8" max="8" width="12.85546875" bestFit="1" customWidth="1"/>
    <col min="9" max="9" width="12.5703125" customWidth="1"/>
    <col min="10" max="10" width="7.5703125" bestFit="1" customWidth="1"/>
    <col min="13" max="13" width="10.42578125" customWidth="1"/>
    <col min="17" max="17" width="2.140625" style="48" customWidth="1"/>
    <col min="18" max="18" width="39.5703125" customWidth="1"/>
    <col min="19" max="25" width="10.140625" bestFit="1" customWidth="1"/>
    <col min="27" max="27" width="40.7109375" customWidth="1"/>
    <col min="28" max="28" width="10.42578125" bestFit="1" customWidth="1"/>
    <col min="29" max="29" width="10.140625" bestFit="1" customWidth="1"/>
    <col min="30" max="30" width="10.42578125" bestFit="1" customWidth="1"/>
  </cols>
  <sheetData>
    <row r="1" spans="1:34" x14ac:dyDescent="0.25">
      <c r="A1" s="470" t="s">
        <v>1372</v>
      </c>
      <c r="B1" s="66"/>
      <c r="C1" s="66"/>
      <c r="D1" s="66"/>
      <c r="E1" s="66"/>
      <c r="F1" s="66"/>
      <c r="G1" s="66"/>
      <c r="H1" s="66"/>
      <c r="I1" s="66"/>
      <c r="J1" s="66"/>
      <c r="K1" s="66"/>
      <c r="L1" s="66"/>
      <c r="M1" s="938" t="s">
        <v>1661</v>
      </c>
      <c r="N1" s="938"/>
      <c r="O1" s="938"/>
      <c r="P1" s="938"/>
      <c r="Q1" s="744"/>
      <c r="R1" s="253" t="s">
        <v>1373</v>
      </c>
    </row>
    <row r="2" spans="1:34" ht="15.75" x14ac:dyDescent="0.25">
      <c r="A2" s="939" t="s">
        <v>526</v>
      </c>
      <c r="B2" s="940"/>
      <c r="C2" s="940"/>
      <c r="D2" s="940"/>
      <c r="E2" s="940"/>
      <c r="F2" s="940"/>
      <c r="G2" s="940"/>
      <c r="H2" s="940"/>
      <c r="I2" s="940"/>
      <c r="J2" s="940"/>
      <c r="M2" s="938"/>
      <c r="N2" s="938"/>
      <c r="O2" s="938"/>
      <c r="P2" s="938"/>
      <c r="Q2" s="744"/>
      <c r="R2" s="941" t="s">
        <v>875</v>
      </c>
      <c r="S2" s="863"/>
      <c r="T2" s="863"/>
      <c r="U2" s="863"/>
      <c r="V2" s="863"/>
      <c r="W2" s="863"/>
      <c r="X2" s="863"/>
      <c r="Y2" s="863"/>
      <c r="AA2" s="863" t="s">
        <v>885</v>
      </c>
      <c r="AB2" s="863"/>
      <c r="AC2" s="863"/>
      <c r="AD2" s="863"/>
      <c r="AE2" s="863"/>
      <c r="AF2" s="863"/>
      <c r="AG2" s="863"/>
      <c r="AH2" s="863"/>
    </row>
    <row r="3" spans="1:34" ht="15.75" thickBot="1" x14ac:dyDescent="0.3">
      <c r="A3" s="122" t="s">
        <v>524</v>
      </c>
      <c r="B3" s="113" t="s">
        <v>112</v>
      </c>
      <c r="C3" s="119" t="s">
        <v>82</v>
      </c>
      <c r="D3" s="119" t="s">
        <v>208</v>
      </c>
      <c r="E3" s="114" t="s">
        <v>276</v>
      </c>
      <c r="F3" s="114" t="s">
        <v>277</v>
      </c>
      <c r="G3" s="115" t="s">
        <v>279</v>
      </c>
      <c r="H3" s="115" t="s">
        <v>280</v>
      </c>
      <c r="I3" s="115" t="s">
        <v>281</v>
      </c>
      <c r="J3" s="115" t="s">
        <v>282</v>
      </c>
      <c r="M3" s="938"/>
      <c r="N3" s="938"/>
      <c r="O3" s="938"/>
      <c r="P3" s="938"/>
      <c r="Q3" s="744"/>
      <c r="R3" s="216" t="s">
        <v>876</v>
      </c>
      <c r="S3" s="83">
        <v>2020</v>
      </c>
      <c r="T3" s="83">
        <v>2025</v>
      </c>
      <c r="U3" s="83">
        <v>2030</v>
      </c>
      <c r="V3" s="83">
        <v>2035</v>
      </c>
      <c r="W3" s="83">
        <v>2040</v>
      </c>
      <c r="X3" s="83">
        <v>2045</v>
      </c>
      <c r="Y3" s="83">
        <v>2050</v>
      </c>
      <c r="AA3" s="83" t="s">
        <v>876</v>
      </c>
      <c r="AB3" s="83">
        <v>2020</v>
      </c>
      <c r="AC3" s="83">
        <v>2025</v>
      </c>
      <c r="AD3" s="83">
        <v>2030</v>
      </c>
      <c r="AE3" s="83">
        <v>2035</v>
      </c>
      <c r="AF3" s="83">
        <v>2040</v>
      </c>
      <c r="AG3" s="83">
        <v>2045</v>
      </c>
      <c r="AH3" s="83">
        <v>2050</v>
      </c>
    </row>
    <row r="4" spans="1:34" ht="27.6" customHeight="1" thickTop="1" thickBot="1" x14ac:dyDescent="0.3">
      <c r="A4" s="123"/>
      <c r="B4" s="116"/>
      <c r="C4" s="120" t="s">
        <v>0</v>
      </c>
      <c r="D4" s="116"/>
      <c r="E4" s="117" t="s">
        <v>83</v>
      </c>
      <c r="F4" s="117" t="s">
        <v>278</v>
      </c>
      <c r="G4" s="117"/>
      <c r="H4" s="118" t="s">
        <v>283</v>
      </c>
      <c r="I4" s="118" t="s">
        <v>283</v>
      </c>
      <c r="J4" s="118" t="s">
        <v>284</v>
      </c>
      <c r="M4" s="938"/>
      <c r="N4" s="938"/>
      <c r="O4" s="938"/>
      <c r="P4" s="938"/>
      <c r="Q4" s="744"/>
      <c r="R4" s="26" t="s">
        <v>877</v>
      </c>
      <c r="AA4" s="26" t="s">
        <v>877</v>
      </c>
    </row>
    <row r="5" spans="1:34" ht="15.75" thickTop="1" x14ac:dyDescent="0.25">
      <c r="A5" s="124" t="s">
        <v>285</v>
      </c>
      <c r="B5" s="125" t="s">
        <v>286</v>
      </c>
      <c r="C5" s="125" t="s">
        <v>287</v>
      </c>
      <c r="D5" s="125" t="s">
        <v>288</v>
      </c>
      <c r="E5" s="125"/>
      <c r="F5" s="126"/>
      <c r="G5" s="127">
        <v>12.5</v>
      </c>
      <c r="H5" s="125"/>
      <c r="I5" s="634">
        <v>7.4625760131172711</v>
      </c>
      <c r="J5" s="129">
        <v>0.4376230344297341</v>
      </c>
      <c r="M5" s="938"/>
      <c r="N5" s="938"/>
      <c r="O5" s="938"/>
      <c r="P5" s="938"/>
      <c r="Q5" s="744"/>
      <c r="R5" s="15" t="s">
        <v>878</v>
      </c>
      <c r="S5" s="69">
        <v>4.8648656915384398</v>
      </c>
      <c r="T5" s="69">
        <v>5.1209112542509896</v>
      </c>
      <c r="U5" s="69">
        <v>5.3904328992115698</v>
      </c>
      <c r="V5" s="69">
        <v>5.6741398939069096</v>
      </c>
      <c r="W5" s="69">
        <v>5.9727788356914902</v>
      </c>
      <c r="X5" s="69">
        <v>6.28713561651736</v>
      </c>
      <c r="Y5" s="69">
        <v>6.6180374910708997</v>
      </c>
      <c r="AA5" s="15" t="s">
        <v>878</v>
      </c>
      <c r="AB5" s="69"/>
      <c r="AC5" s="81">
        <f>T5/S5</f>
        <v>1.0526315789473686</v>
      </c>
      <c r="AD5" s="81">
        <f t="shared" ref="AD5:AH6" si="0">U5/T5</f>
        <v>1.0526315789473688</v>
      </c>
      <c r="AE5" s="81">
        <f t="shared" si="0"/>
        <v>1.0526315789473673</v>
      </c>
      <c r="AF5" s="81">
        <f t="shared" si="0"/>
        <v>1.0526315789473695</v>
      </c>
      <c r="AG5" s="81">
        <f t="shared" si="0"/>
        <v>1.0526315789473688</v>
      </c>
      <c r="AH5" s="81">
        <f t="shared" si="0"/>
        <v>1.0526315789473675</v>
      </c>
    </row>
    <row r="6" spans="1:34" x14ac:dyDescent="0.25">
      <c r="A6" s="124" t="s">
        <v>289</v>
      </c>
      <c r="B6" s="125" t="s">
        <v>290</v>
      </c>
      <c r="C6" s="125" t="s">
        <v>291</v>
      </c>
      <c r="D6" s="125" t="s">
        <v>288</v>
      </c>
      <c r="E6" s="125"/>
      <c r="F6" s="126">
        <v>2010</v>
      </c>
      <c r="G6" s="130">
        <v>25</v>
      </c>
      <c r="H6" s="634">
        <v>814.53238577880768</v>
      </c>
      <c r="I6" s="634">
        <v>7.4625760131172711</v>
      </c>
      <c r="J6" s="129">
        <v>0.451476368560703</v>
      </c>
      <c r="K6" s="131">
        <f>J6/J$7-1</f>
        <v>5.699999999999994E-2</v>
      </c>
      <c r="L6" t="s">
        <v>292</v>
      </c>
      <c r="M6" s="938"/>
      <c r="N6" s="938"/>
      <c r="O6" s="938"/>
      <c r="P6" s="938"/>
      <c r="Q6" s="744"/>
      <c r="R6" s="15" t="s">
        <v>879</v>
      </c>
      <c r="S6" s="69">
        <v>4.6367568332282199</v>
      </c>
      <c r="T6" s="69">
        <v>4.8807966665560203</v>
      </c>
      <c r="U6" s="69">
        <v>5.1376807016379198</v>
      </c>
      <c r="V6" s="69">
        <v>5.40808494909255</v>
      </c>
      <c r="W6" s="69">
        <v>5.6927209990447896</v>
      </c>
      <c r="X6" s="69">
        <v>5.9923378937313503</v>
      </c>
      <c r="Y6" s="69">
        <v>6.3077240986645799</v>
      </c>
      <c r="AA6" s="15" t="s">
        <v>879</v>
      </c>
      <c r="AB6" s="69"/>
      <c r="AC6" s="81">
        <f>T6/S6</f>
        <v>1.0526315789473684</v>
      </c>
      <c r="AD6" s="81">
        <f t="shared" si="0"/>
        <v>1.0526315789473693</v>
      </c>
      <c r="AE6" s="81">
        <f t="shared" si="0"/>
        <v>1.052631578947369</v>
      </c>
      <c r="AF6" s="81">
        <f t="shared" si="0"/>
        <v>1.0526315789473684</v>
      </c>
      <c r="AG6" s="81">
        <f t="shared" si="0"/>
        <v>1.0526315789473673</v>
      </c>
      <c r="AH6" s="81">
        <f t="shared" si="0"/>
        <v>1.0526315789473686</v>
      </c>
    </row>
    <row r="7" spans="1:34" x14ac:dyDescent="0.25">
      <c r="A7" s="124" t="s">
        <v>293</v>
      </c>
      <c r="B7" s="125" t="s">
        <v>294</v>
      </c>
      <c r="C7" s="125" t="s">
        <v>295</v>
      </c>
      <c r="D7" s="125" t="s">
        <v>296</v>
      </c>
      <c r="E7" s="125"/>
      <c r="F7" s="126">
        <v>2010</v>
      </c>
      <c r="G7" s="125">
        <v>25</v>
      </c>
      <c r="H7" s="634">
        <v>814.53238577880768</v>
      </c>
      <c r="I7" s="634">
        <v>7.4625760131172711</v>
      </c>
      <c r="J7" s="129">
        <v>0.42712996079536708</v>
      </c>
      <c r="K7" s="131">
        <f>J7/J$8-1</f>
        <v>-9.6499526963103155E-2</v>
      </c>
      <c r="L7" t="s">
        <v>297</v>
      </c>
      <c r="M7" s="938"/>
      <c r="N7" s="938"/>
      <c r="O7" s="938"/>
      <c r="P7" s="938"/>
      <c r="Q7" s="744"/>
      <c r="R7" s="15" t="s">
        <v>395</v>
      </c>
      <c r="U7" s="69">
        <v>5.1133475754363102</v>
      </c>
      <c r="V7" s="69">
        <v>5.1133475754363102</v>
      </c>
      <c r="W7" s="69">
        <v>5.1133475754363102</v>
      </c>
      <c r="X7" s="69">
        <v>5.1133475754363102</v>
      </c>
      <c r="Y7" s="69">
        <v>5.1133475754363102</v>
      </c>
      <c r="AA7" s="15"/>
      <c r="AD7" s="69"/>
      <c r="AE7" s="69"/>
      <c r="AF7" s="69"/>
      <c r="AG7" s="69"/>
      <c r="AH7" s="69"/>
    </row>
    <row r="8" spans="1:34" x14ac:dyDescent="0.25">
      <c r="A8" s="124" t="s">
        <v>298</v>
      </c>
      <c r="B8" s="125" t="s">
        <v>299</v>
      </c>
      <c r="C8" s="125" t="s">
        <v>300</v>
      </c>
      <c r="D8" s="125" t="s">
        <v>288</v>
      </c>
      <c r="E8" s="125"/>
      <c r="F8" s="126">
        <v>2010</v>
      </c>
      <c r="G8" s="130">
        <v>25</v>
      </c>
      <c r="H8" s="634">
        <v>820.68444307320954</v>
      </c>
      <c r="I8" s="634">
        <v>7.4625760131172711</v>
      </c>
      <c r="J8" s="129">
        <v>0.47275012414733303</v>
      </c>
      <c r="K8" s="131">
        <f t="shared" ref="K8:K15" si="1">J8/J$8-1</f>
        <v>0</v>
      </c>
      <c r="M8" s="938"/>
      <c r="N8" s="938"/>
      <c r="O8" s="938"/>
      <c r="P8" s="938"/>
      <c r="Q8" s="744"/>
      <c r="R8" s="26" t="s">
        <v>377</v>
      </c>
      <c r="AA8" s="26" t="s">
        <v>377</v>
      </c>
    </row>
    <row r="9" spans="1:34" x14ac:dyDescent="0.25">
      <c r="A9" s="124"/>
      <c r="B9" s="125"/>
      <c r="C9" s="125" t="s">
        <v>301</v>
      </c>
      <c r="D9" s="125" t="s">
        <v>302</v>
      </c>
      <c r="E9" s="125"/>
      <c r="F9" s="125">
        <v>2015</v>
      </c>
      <c r="G9" s="130">
        <v>25</v>
      </c>
      <c r="H9" s="128">
        <v>1231.6418703392544</v>
      </c>
      <c r="I9" s="128">
        <v>7.7610790536419625</v>
      </c>
      <c r="J9" s="129">
        <v>0.44262389074578729</v>
      </c>
      <c r="K9" s="131">
        <f t="shared" si="1"/>
        <v>-6.3725490196078427E-2</v>
      </c>
      <c r="R9" s="15" t="s">
        <v>878</v>
      </c>
      <c r="S9" s="69">
        <v>10.116294837647599</v>
      </c>
      <c r="T9" s="69">
        <v>10.6487314080502</v>
      </c>
      <c r="U9" s="69">
        <v>11.209190955842301</v>
      </c>
      <c r="V9" s="69">
        <v>11.7991483745708</v>
      </c>
      <c r="W9" s="69">
        <v>12.420156183758699</v>
      </c>
      <c r="X9" s="69">
        <v>13.0738486144829</v>
      </c>
      <c r="Y9" s="69">
        <v>13.761945909982</v>
      </c>
      <c r="AA9" s="15" t="s">
        <v>878</v>
      </c>
      <c r="AB9" s="69"/>
      <c r="AC9" s="81">
        <f>T9/S9</f>
        <v>1.0526315789473779</v>
      </c>
      <c r="AD9" s="81">
        <f t="shared" ref="AD9:AD10" si="2">U9/T9</f>
        <v>1.052631578947367</v>
      </c>
      <c r="AE9" s="81">
        <f t="shared" ref="AE9:AE10" si="3">V9/U9</f>
        <v>1.0526315789473646</v>
      </c>
      <c r="AF9" s="81">
        <f t="shared" ref="AF9:AF10" si="4">W9/V9</f>
        <v>1.0526315789473653</v>
      </c>
      <c r="AG9" s="81">
        <f t="shared" ref="AG9:AG10" si="5">X9/W9</f>
        <v>1.0526315789473732</v>
      </c>
      <c r="AH9" s="81">
        <f t="shared" ref="AH9:AH10" si="6">Y9/X9</f>
        <v>1.0526315789473684</v>
      </c>
    </row>
    <row r="10" spans="1:34" x14ac:dyDescent="0.25">
      <c r="A10" s="124" t="s">
        <v>303</v>
      </c>
      <c r="B10" s="125" t="s">
        <v>304</v>
      </c>
      <c r="C10" s="125" t="s">
        <v>305</v>
      </c>
      <c r="D10" s="125" t="s">
        <v>288</v>
      </c>
      <c r="E10" s="125"/>
      <c r="F10" s="126">
        <v>2015</v>
      </c>
      <c r="G10" s="126">
        <v>25</v>
      </c>
      <c r="H10" s="634">
        <v>815.46191019484638</v>
      </c>
      <c r="I10" s="634">
        <v>7.5083155288151495</v>
      </c>
      <c r="J10" s="129">
        <v>0.45358554132787771</v>
      </c>
      <c r="K10" s="131">
        <f t="shared" si="1"/>
        <v>-4.0538504043803658E-2</v>
      </c>
      <c r="R10" s="15" t="s">
        <v>879</v>
      </c>
      <c r="S10" s="69">
        <v>10.048925661283899</v>
      </c>
      <c r="T10" s="69">
        <v>10.577816485562</v>
      </c>
      <c r="U10" s="69">
        <v>11.1345436690127</v>
      </c>
      <c r="V10" s="69">
        <v>11.720572283171199</v>
      </c>
      <c r="W10" s="69">
        <v>12.337444508601299</v>
      </c>
      <c r="X10" s="69">
        <v>12.986783693264501</v>
      </c>
      <c r="Y10" s="69">
        <v>13.670298624489</v>
      </c>
      <c r="AA10" s="15" t="s">
        <v>879</v>
      </c>
      <c r="AB10" s="69"/>
      <c r="AC10" s="81">
        <f>T10/S10</f>
        <v>1.0526315789473686</v>
      </c>
      <c r="AD10" s="81">
        <f t="shared" si="2"/>
        <v>1.052631578947375</v>
      </c>
      <c r="AE10" s="81">
        <f t="shared" si="3"/>
        <v>1.0526315789473626</v>
      </c>
      <c r="AF10" s="81">
        <f t="shared" si="4"/>
        <v>1.0526315789473717</v>
      </c>
      <c r="AG10" s="81">
        <f t="shared" si="5"/>
        <v>1.0526315789473664</v>
      </c>
      <c r="AH10" s="81">
        <f t="shared" si="6"/>
        <v>1.0526315789473724</v>
      </c>
    </row>
    <row r="11" spans="1:34" x14ac:dyDescent="0.25">
      <c r="A11" s="124" t="s">
        <v>306</v>
      </c>
      <c r="B11" s="125" t="s">
        <v>307</v>
      </c>
      <c r="C11" s="125" t="s">
        <v>308</v>
      </c>
      <c r="D11" s="125" t="s">
        <v>288</v>
      </c>
      <c r="E11" s="125"/>
      <c r="F11" s="126">
        <v>2030</v>
      </c>
      <c r="G11" s="130">
        <v>25</v>
      </c>
      <c r="H11" s="634">
        <v>1127.6930582784942</v>
      </c>
      <c r="I11" s="634">
        <v>7.4625760131172711</v>
      </c>
      <c r="J11" s="129">
        <v>0.6449662408010044</v>
      </c>
      <c r="K11" s="131">
        <f t="shared" si="1"/>
        <v>0.36428571428571432</v>
      </c>
      <c r="R11" s="15" t="s">
        <v>395</v>
      </c>
      <c r="U11" s="69">
        <v>11.5246343064487</v>
      </c>
      <c r="V11" s="69">
        <v>11.5246343064487</v>
      </c>
      <c r="W11" s="69">
        <v>11.5246343064487</v>
      </c>
      <c r="X11" s="69">
        <v>11.5246343064487</v>
      </c>
      <c r="Y11" s="69">
        <v>11.5246343064487</v>
      </c>
      <c r="AA11" s="15"/>
      <c r="AD11" s="69"/>
      <c r="AE11" s="69"/>
      <c r="AF11" s="69"/>
      <c r="AG11" s="69"/>
      <c r="AH11" s="69"/>
    </row>
    <row r="12" spans="1:34" x14ac:dyDescent="0.25">
      <c r="A12" s="124" t="s">
        <v>309</v>
      </c>
      <c r="B12" s="125" t="s">
        <v>310</v>
      </c>
      <c r="C12" s="125" t="s">
        <v>311</v>
      </c>
      <c r="D12" s="125" t="s">
        <v>288</v>
      </c>
      <c r="E12" s="125"/>
      <c r="F12" s="126">
        <v>2030</v>
      </c>
      <c r="G12" s="130">
        <v>25</v>
      </c>
      <c r="H12" s="634">
        <v>895.98562435668828</v>
      </c>
      <c r="I12" s="634">
        <v>7.4625760131172711</v>
      </c>
      <c r="J12" s="129">
        <v>0.50164040951189226</v>
      </c>
      <c r="K12" s="131">
        <f t="shared" si="1"/>
        <v>6.1111111111111116E-2</v>
      </c>
      <c r="R12" s="26" t="s">
        <v>880</v>
      </c>
      <c r="AA12" s="26" t="s">
        <v>880</v>
      </c>
    </row>
    <row r="13" spans="1:34" x14ac:dyDescent="0.25">
      <c r="A13" s="124"/>
      <c r="B13" s="125"/>
      <c r="C13" s="125" t="s">
        <v>312</v>
      </c>
      <c r="D13" s="125" t="s">
        <v>288</v>
      </c>
      <c r="E13" s="125"/>
      <c r="F13" s="126">
        <v>2010</v>
      </c>
      <c r="G13" s="130">
        <v>25</v>
      </c>
      <c r="H13" s="128">
        <v>1208.2640526205273</v>
      </c>
      <c r="I13" s="128">
        <v>11.069863511905075</v>
      </c>
      <c r="J13" s="129">
        <v>0.51597299264080343</v>
      </c>
      <c r="K13" s="131">
        <f t="shared" si="1"/>
        <v>9.1428571428571415E-2</v>
      </c>
      <c r="R13" s="15" t="s">
        <v>878</v>
      </c>
      <c r="S13" s="69">
        <v>14.0903397176015</v>
      </c>
      <c r="T13" s="69">
        <v>14.8319365448437</v>
      </c>
      <c r="U13" s="69">
        <v>15.612564784046</v>
      </c>
      <c r="V13" s="69">
        <v>16.4342787200485</v>
      </c>
      <c r="W13" s="69">
        <v>17.2992407579457</v>
      </c>
      <c r="X13" s="69">
        <v>18.2097271136271</v>
      </c>
      <c r="Y13" s="69">
        <v>19.168133803818002</v>
      </c>
      <c r="AA13" s="15" t="s">
        <v>878</v>
      </c>
      <c r="AB13" s="69"/>
      <c r="AC13" s="81">
        <f>T13/S13</f>
        <v>1.0526315789473695</v>
      </c>
      <c r="AD13" s="81">
        <f t="shared" ref="AD13:AD14" si="7">U13/T13</f>
        <v>1.0526315789473684</v>
      </c>
      <c r="AE13" s="81">
        <f t="shared" ref="AE13:AE14" si="8">V13/U13</f>
        <v>1.0526315789473735</v>
      </c>
      <c r="AF13" s="81">
        <f t="shared" ref="AF13:AF14" si="9">W13/V13</f>
        <v>1.052631578947363</v>
      </c>
      <c r="AG13" s="81">
        <f t="shared" ref="AG13:AG14" si="10">X13/W13</f>
        <v>1.052631578947371</v>
      </c>
      <c r="AH13" s="81">
        <f t="shared" ref="AH13:AH14" si="11">Y13/X13</f>
        <v>1.0526315789473686</v>
      </c>
    </row>
    <row r="14" spans="1:34" x14ac:dyDescent="0.25">
      <c r="A14" s="124" t="s">
        <v>313</v>
      </c>
      <c r="B14" s="125" t="s">
        <v>314</v>
      </c>
      <c r="C14" s="125" t="s">
        <v>315</v>
      </c>
      <c r="D14" s="125" t="s">
        <v>288</v>
      </c>
      <c r="E14" s="125"/>
      <c r="F14" s="126">
        <v>2015</v>
      </c>
      <c r="G14" s="130">
        <v>25</v>
      </c>
      <c r="H14" s="634">
        <v>929.61720101077276</v>
      </c>
      <c r="I14" s="634">
        <v>8.516959112695238</v>
      </c>
      <c r="J14" s="129">
        <v>0.51597299264080343</v>
      </c>
      <c r="K14" s="131">
        <f t="shared" si="1"/>
        <v>9.1428571428571415E-2</v>
      </c>
      <c r="R14" s="15" t="s">
        <v>879</v>
      </c>
      <c r="S14" s="69">
        <v>14.1188040304661</v>
      </c>
      <c r="T14" s="69">
        <v>14.861898979437999</v>
      </c>
      <c r="U14" s="69">
        <v>15.6441041888821</v>
      </c>
      <c r="V14" s="69">
        <v>16.4674780935601</v>
      </c>
      <c r="W14" s="69">
        <v>17.334187466905401</v>
      </c>
      <c r="X14" s="69">
        <v>18.2465131230583</v>
      </c>
      <c r="Y14" s="69">
        <v>19.206855919008699</v>
      </c>
      <c r="AA14" s="15" t="s">
        <v>879</v>
      </c>
      <c r="AB14" s="69"/>
      <c r="AC14" s="81">
        <f>T14/S14</f>
        <v>1.0526315789473684</v>
      </c>
      <c r="AD14" s="81">
        <f t="shared" si="7"/>
        <v>1.0526315789473681</v>
      </c>
      <c r="AE14" s="81">
        <f t="shared" si="8"/>
        <v>1.0526315789473681</v>
      </c>
      <c r="AF14" s="81">
        <f t="shared" si="9"/>
        <v>1.0526315789473704</v>
      </c>
      <c r="AG14" s="81">
        <f t="shared" si="10"/>
        <v>1.0526315789473675</v>
      </c>
      <c r="AH14" s="81">
        <f t="shared" si="11"/>
        <v>1.0526315789473664</v>
      </c>
    </row>
    <row r="15" spans="1:34" x14ac:dyDescent="0.25">
      <c r="A15" s="124"/>
      <c r="B15" s="125"/>
      <c r="C15" s="125" t="s">
        <v>316</v>
      </c>
      <c r="D15" s="125" t="s">
        <v>288</v>
      </c>
      <c r="E15" s="125"/>
      <c r="F15" s="126">
        <v>2015</v>
      </c>
      <c r="G15" s="130">
        <v>25</v>
      </c>
      <c r="H15" s="128">
        <v>1700.4286361726772</v>
      </c>
      <c r="I15" s="128">
        <v>15.578972885389833</v>
      </c>
      <c r="J15" s="129">
        <v>0.53114866889494472</v>
      </c>
      <c r="K15" s="131">
        <f t="shared" si="1"/>
        <v>0.12352941176470589</v>
      </c>
      <c r="R15" s="15" t="s">
        <v>395</v>
      </c>
      <c r="U15" s="69">
        <v>15.818799334471001</v>
      </c>
      <c r="V15" s="69">
        <v>15.818799334471001</v>
      </c>
      <c r="W15" s="69">
        <v>15.818799334471001</v>
      </c>
      <c r="X15" s="69">
        <v>15.818799334471001</v>
      </c>
      <c r="Y15" s="69">
        <v>15.818799334471001</v>
      </c>
      <c r="AA15" s="15"/>
      <c r="AD15" s="69"/>
      <c r="AE15" s="69"/>
      <c r="AF15" s="69"/>
      <c r="AG15" s="69"/>
      <c r="AH15" s="69"/>
    </row>
    <row r="16" spans="1:34" x14ac:dyDescent="0.25">
      <c r="A16" s="124" t="s">
        <v>317</v>
      </c>
      <c r="B16" s="125" t="s">
        <v>318</v>
      </c>
      <c r="C16" s="125" t="s">
        <v>319</v>
      </c>
      <c r="D16" s="125" t="s">
        <v>239</v>
      </c>
      <c r="E16" s="132"/>
      <c r="F16" s="132"/>
      <c r="G16" s="133">
        <v>20</v>
      </c>
      <c r="H16" s="133">
        <v>17.510999999999999</v>
      </c>
      <c r="I16" s="128">
        <f>H16*0.1</f>
        <v>1.7511000000000001</v>
      </c>
      <c r="J16" s="134">
        <v>0.26732757610913099</v>
      </c>
      <c r="K16" s="131"/>
      <c r="R16" s="26" t="s">
        <v>957</v>
      </c>
      <c r="AA16" s="26" t="s">
        <v>957</v>
      </c>
    </row>
    <row r="17" spans="1:34" x14ac:dyDescent="0.25">
      <c r="A17" s="124" t="s">
        <v>320</v>
      </c>
      <c r="B17" s="125" t="s">
        <v>321</v>
      </c>
      <c r="C17" s="125" t="s">
        <v>322</v>
      </c>
      <c r="D17" s="125" t="s">
        <v>239</v>
      </c>
      <c r="E17" s="125"/>
      <c r="F17" s="126">
        <v>2010</v>
      </c>
      <c r="G17" s="130">
        <f>G16</f>
        <v>20</v>
      </c>
      <c r="H17" s="128">
        <f>H16</f>
        <v>17.510999999999999</v>
      </c>
      <c r="I17" s="128">
        <f>I16</f>
        <v>1.7511000000000001</v>
      </c>
      <c r="J17" s="129">
        <v>0.27606670547975581</v>
      </c>
      <c r="K17" s="131"/>
      <c r="R17" s="15" t="s">
        <v>878</v>
      </c>
      <c r="S17" s="69">
        <v>0.35830000000000001</v>
      </c>
      <c r="T17" s="69">
        <v>0.37719999999999998</v>
      </c>
      <c r="U17" s="69">
        <v>0.39700000000000002</v>
      </c>
      <c r="V17" s="69">
        <v>0.41789999999999999</v>
      </c>
      <c r="W17" s="69">
        <v>0.43990000000000001</v>
      </c>
      <c r="X17" s="69">
        <v>0.46310000000000001</v>
      </c>
      <c r="Y17" s="69">
        <v>0.4874</v>
      </c>
      <c r="AA17" s="15" t="s">
        <v>878</v>
      </c>
      <c r="AC17" s="81">
        <f>T17/S17</f>
        <v>1.0527490929388779</v>
      </c>
      <c r="AD17" s="81">
        <f t="shared" ref="AD17:AD18" si="12">U17/T17</f>
        <v>1.0524920466595971</v>
      </c>
      <c r="AE17" s="81">
        <f t="shared" ref="AE17:AE18" si="13">V17/U17</f>
        <v>1.0526448362720402</v>
      </c>
      <c r="AF17" s="81">
        <f t="shared" ref="AF17:AF18" si="14">W17/V17</f>
        <v>1.0526441732471883</v>
      </c>
      <c r="AG17" s="81">
        <f t="shared" ref="AG17:AG18" si="15">X17/W17</f>
        <v>1.0527392589224824</v>
      </c>
      <c r="AH17" s="81">
        <f t="shared" ref="AH17:AH18" si="16">Y17/X17</f>
        <v>1.0524724681494277</v>
      </c>
    </row>
    <row r="18" spans="1:34" ht="15.75" thickBot="1" x14ac:dyDescent="0.3">
      <c r="A18" s="936" t="s">
        <v>323</v>
      </c>
      <c r="B18" s="937"/>
      <c r="C18" s="937"/>
      <c r="D18" s="937"/>
      <c r="E18" s="937"/>
      <c r="F18" s="937"/>
      <c r="G18" s="937"/>
      <c r="H18" s="937"/>
      <c r="I18" s="937"/>
      <c r="J18" s="937"/>
      <c r="R18" s="15" t="s">
        <v>879</v>
      </c>
      <c r="S18" s="69">
        <v>0.34189999999999998</v>
      </c>
      <c r="T18" s="69">
        <v>0.3599</v>
      </c>
      <c r="U18" s="69">
        <v>0.37890000000000001</v>
      </c>
      <c r="V18" s="69">
        <v>0.39879999999999999</v>
      </c>
      <c r="W18" s="69">
        <v>0.41980000000000001</v>
      </c>
      <c r="X18" s="69">
        <v>0.44190000000000002</v>
      </c>
      <c r="Y18" s="69">
        <v>0.46510000000000001</v>
      </c>
      <c r="AA18" s="15" t="s">
        <v>879</v>
      </c>
      <c r="AC18" s="81">
        <f>T18/S18</f>
        <v>1.0526469727990642</v>
      </c>
      <c r="AD18" s="81">
        <f t="shared" si="12"/>
        <v>1.0527924423450958</v>
      </c>
      <c r="AE18" s="81">
        <f t="shared" si="13"/>
        <v>1.0525204539456321</v>
      </c>
      <c r="AF18" s="81">
        <f t="shared" si="14"/>
        <v>1.0526579739217654</v>
      </c>
      <c r="AG18" s="81">
        <f t="shared" si="15"/>
        <v>1.0526441162458313</v>
      </c>
      <c r="AH18" s="81">
        <f t="shared" si="16"/>
        <v>1.0525005657388549</v>
      </c>
    </row>
    <row r="19" spans="1:34" ht="15.75" thickTop="1" x14ac:dyDescent="0.25">
      <c r="A19" s="124"/>
      <c r="B19" s="125"/>
      <c r="C19" s="125" t="s">
        <v>324</v>
      </c>
      <c r="D19" s="125" t="s">
        <v>288</v>
      </c>
      <c r="E19" s="125"/>
      <c r="F19" s="126"/>
      <c r="G19" s="127">
        <v>12.5</v>
      </c>
      <c r="H19" s="130"/>
      <c r="I19" s="127"/>
      <c r="J19" s="135"/>
    </row>
    <row r="20" spans="1:34" ht="15.75" x14ac:dyDescent="0.25">
      <c r="A20" s="124"/>
      <c r="B20" s="125"/>
      <c r="C20" s="125" t="s">
        <v>325</v>
      </c>
      <c r="D20" s="125" t="s">
        <v>288</v>
      </c>
      <c r="E20" s="125"/>
      <c r="F20" s="126">
        <v>2007</v>
      </c>
      <c r="G20" s="130"/>
      <c r="H20" s="130"/>
      <c r="I20" s="127"/>
      <c r="J20" s="135"/>
      <c r="R20" s="274" t="s">
        <v>1102</v>
      </c>
      <c r="S20" s="154"/>
      <c r="T20" s="154"/>
      <c r="U20" s="154"/>
      <c r="V20" s="154"/>
      <c r="W20" s="154"/>
      <c r="X20" s="154"/>
      <c r="Y20" s="154"/>
      <c r="AA20" s="266" t="s">
        <v>1109</v>
      </c>
    </row>
    <row r="21" spans="1:34" ht="15.75" thickBot="1" x14ac:dyDescent="0.3">
      <c r="A21" s="124"/>
      <c r="B21" s="125"/>
      <c r="C21" s="125" t="s">
        <v>326</v>
      </c>
      <c r="D21" s="125" t="s">
        <v>296</v>
      </c>
      <c r="E21" s="125"/>
      <c r="F21" s="126">
        <v>1979</v>
      </c>
      <c r="G21" s="125"/>
      <c r="H21" s="130"/>
      <c r="I21" s="136"/>
      <c r="J21" s="135"/>
      <c r="R21" s="216" t="s">
        <v>1093</v>
      </c>
      <c r="S21" s="83">
        <v>2020</v>
      </c>
      <c r="T21" s="83">
        <v>2025</v>
      </c>
      <c r="U21" s="83">
        <v>2030</v>
      </c>
      <c r="V21" s="83">
        <v>2035</v>
      </c>
      <c r="W21" s="83">
        <v>2040</v>
      </c>
      <c r="X21" s="83">
        <v>2045</v>
      </c>
      <c r="Y21" s="83">
        <v>2050</v>
      </c>
      <c r="AA21" s="83" t="s">
        <v>82</v>
      </c>
      <c r="AB21" s="83" t="s">
        <v>1098</v>
      </c>
      <c r="AC21" s="83" t="s">
        <v>1099</v>
      </c>
    </row>
    <row r="22" spans="1:34" ht="16.5" thickTop="1" thickBot="1" x14ac:dyDescent="0.3">
      <c r="A22" s="124"/>
      <c r="B22" s="125"/>
      <c r="C22" s="125" t="s">
        <v>327</v>
      </c>
      <c r="D22" s="125" t="s">
        <v>288</v>
      </c>
      <c r="E22" s="125"/>
      <c r="F22" s="126">
        <v>1985</v>
      </c>
      <c r="G22" s="130">
        <v>25</v>
      </c>
      <c r="H22" s="130"/>
      <c r="I22" s="127"/>
      <c r="J22" s="135"/>
      <c r="R22" s="26" t="s">
        <v>520</v>
      </c>
      <c r="AA22" t="s">
        <v>1096</v>
      </c>
      <c r="AB22" s="267">
        <v>7.5</v>
      </c>
      <c r="AC22" s="69"/>
    </row>
    <row r="23" spans="1:34" x14ac:dyDescent="0.25">
      <c r="A23" s="124"/>
      <c r="B23" s="125"/>
      <c r="C23" s="125" t="s">
        <v>328</v>
      </c>
      <c r="D23" s="125" t="s">
        <v>302</v>
      </c>
      <c r="E23" s="125"/>
      <c r="F23" s="126">
        <v>2015</v>
      </c>
      <c r="G23" s="125">
        <v>25</v>
      </c>
      <c r="H23" s="130"/>
      <c r="I23" s="127"/>
      <c r="J23" s="135"/>
      <c r="R23" s="15" t="s">
        <v>1077</v>
      </c>
      <c r="S23" s="267">
        <v>650.18499999999995</v>
      </c>
      <c r="T23" s="267">
        <v>650.18499999999995</v>
      </c>
      <c r="U23" s="267">
        <v>650.18499999999995</v>
      </c>
      <c r="V23" s="267">
        <v>650.18499999999995</v>
      </c>
      <c r="W23" s="267">
        <v>650.18499999999995</v>
      </c>
      <c r="X23" s="267">
        <v>650.18499999999995</v>
      </c>
      <c r="Y23" s="267">
        <v>650.18499999999995</v>
      </c>
      <c r="Z23" s="272" t="s">
        <v>1100</v>
      </c>
      <c r="AA23" t="s">
        <v>1097</v>
      </c>
      <c r="AB23" s="267">
        <v>9.9499999999999993</v>
      </c>
      <c r="AC23" s="81">
        <f>AB23/AB22</f>
        <v>1.3266666666666667</v>
      </c>
    </row>
    <row r="24" spans="1:34" ht="15.75" thickBot="1" x14ac:dyDescent="0.3">
      <c r="A24" s="124"/>
      <c r="B24" s="125"/>
      <c r="C24" s="125" t="s">
        <v>329</v>
      </c>
      <c r="D24" s="125" t="s">
        <v>288</v>
      </c>
      <c r="E24" s="125"/>
      <c r="F24" s="125">
        <v>2015</v>
      </c>
      <c r="G24" s="126">
        <v>11.845174528896468</v>
      </c>
      <c r="H24" s="130"/>
      <c r="I24" s="127"/>
      <c r="J24" s="135"/>
      <c r="R24" s="15" t="s">
        <v>796</v>
      </c>
      <c r="S24" s="267"/>
      <c r="T24" s="267"/>
      <c r="U24" s="267">
        <v>862.57899999999995</v>
      </c>
      <c r="V24" s="267">
        <v>862.57899999999995</v>
      </c>
      <c r="W24" s="267">
        <v>862.57899999999995</v>
      </c>
      <c r="X24" s="267">
        <v>862.57899999999995</v>
      </c>
      <c r="Y24" s="267">
        <v>862.57899999999995</v>
      </c>
      <c r="Z24" s="202">
        <f>U24/U23</f>
        <v>1.326667025538885</v>
      </c>
      <c r="AA24" t="s">
        <v>1094</v>
      </c>
      <c r="AB24" s="273">
        <v>7.5</v>
      </c>
    </row>
    <row r="25" spans="1:34" ht="15.75" thickBot="1" x14ac:dyDescent="0.3">
      <c r="A25" s="124"/>
      <c r="B25" s="125"/>
      <c r="C25" s="125" t="s">
        <v>330</v>
      </c>
      <c r="D25" s="125" t="s">
        <v>288</v>
      </c>
      <c r="E25" s="125"/>
      <c r="F25" s="126">
        <v>2030</v>
      </c>
      <c r="G25" s="130">
        <v>25</v>
      </c>
      <c r="H25" s="130"/>
      <c r="I25" s="127"/>
      <c r="J25" s="135"/>
      <c r="R25" s="26" t="s">
        <v>57</v>
      </c>
      <c r="AA25" t="s">
        <v>1095</v>
      </c>
      <c r="AB25" s="267">
        <v>14.47</v>
      </c>
      <c r="AC25" s="81">
        <f>AB25/AB24</f>
        <v>1.9293333333333333</v>
      </c>
    </row>
    <row r="26" spans="1:34" x14ac:dyDescent="0.25">
      <c r="A26" s="124"/>
      <c r="B26" s="125"/>
      <c r="C26" s="125" t="s">
        <v>331</v>
      </c>
      <c r="D26" s="125" t="s">
        <v>288</v>
      </c>
      <c r="E26" s="125"/>
      <c r="F26" s="126">
        <v>2030</v>
      </c>
      <c r="G26" s="130">
        <v>25</v>
      </c>
      <c r="H26" s="130"/>
      <c r="I26" s="127"/>
      <c r="J26" s="135"/>
      <c r="R26" s="15" t="s">
        <v>1077</v>
      </c>
      <c r="S26" s="267">
        <v>32.753999999999998</v>
      </c>
      <c r="T26" s="267">
        <v>32.753999999999998</v>
      </c>
      <c r="U26" s="267">
        <v>32.753999999999998</v>
      </c>
      <c r="V26" s="267">
        <v>32.753999999999998</v>
      </c>
      <c r="W26" s="267">
        <v>32.753999999999998</v>
      </c>
      <c r="X26" s="267">
        <v>32.753999999999998</v>
      </c>
      <c r="Y26" s="267">
        <v>32.753999999999998</v>
      </c>
      <c r="Z26" s="272" t="s">
        <v>1100</v>
      </c>
    </row>
    <row r="27" spans="1:34" ht="15.75" thickBot="1" x14ac:dyDescent="0.3">
      <c r="A27" s="124"/>
      <c r="B27" s="125"/>
      <c r="C27" s="125" t="s">
        <v>332</v>
      </c>
      <c r="D27" s="125" t="s">
        <v>288</v>
      </c>
      <c r="E27" s="125"/>
      <c r="F27" s="126">
        <v>2007</v>
      </c>
      <c r="G27" s="130">
        <v>25</v>
      </c>
      <c r="H27" s="130"/>
      <c r="I27" s="127"/>
      <c r="J27" s="135"/>
      <c r="R27" s="15" t="s">
        <v>796</v>
      </c>
      <c r="S27" s="267"/>
      <c r="T27" s="267"/>
      <c r="U27" s="267">
        <f>U26*$AC$25</f>
        <v>63.193383999999995</v>
      </c>
      <c r="V27" s="267">
        <f t="shared" ref="V27:Y27" si="17">V26*$AC$25</f>
        <v>63.193383999999995</v>
      </c>
      <c r="W27" s="267">
        <f t="shared" si="17"/>
        <v>63.193383999999995</v>
      </c>
      <c r="X27" s="267">
        <f t="shared" si="17"/>
        <v>63.193383999999995</v>
      </c>
      <c r="Y27" s="267">
        <f t="shared" si="17"/>
        <v>63.193383999999995</v>
      </c>
      <c r="Z27" s="202">
        <f>Y27/Y26</f>
        <v>1.9293333333333333</v>
      </c>
    </row>
    <row r="28" spans="1:34" x14ac:dyDescent="0.25">
      <c r="A28" s="124"/>
      <c r="B28" s="125"/>
      <c r="C28" s="125" t="s">
        <v>333</v>
      </c>
      <c r="D28" s="125" t="s">
        <v>288</v>
      </c>
      <c r="E28" s="125"/>
      <c r="F28" s="126">
        <v>2013</v>
      </c>
      <c r="G28" s="130">
        <v>25</v>
      </c>
      <c r="H28" s="130"/>
      <c r="I28" s="127"/>
      <c r="J28" s="135"/>
      <c r="R28" s="15" t="s">
        <v>216</v>
      </c>
      <c r="S28" s="267"/>
      <c r="T28" s="267">
        <v>54.152999999999999</v>
      </c>
      <c r="U28" s="267">
        <v>54.152999999999999</v>
      </c>
      <c r="V28" s="267">
        <v>54.152999999999999</v>
      </c>
      <c r="W28" s="267">
        <v>54.152999999999999</v>
      </c>
      <c r="X28" s="267">
        <v>54.152999999999999</v>
      </c>
      <c r="Y28" s="267">
        <v>54.152999999999999</v>
      </c>
    </row>
    <row r="29" spans="1:34" x14ac:dyDescent="0.25">
      <c r="A29" s="124"/>
      <c r="B29" s="125"/>
      <c r="C29" s="125" t="s">
        <v>334</v>
      </c>
      <c r="D29" s="125" t="s">
        <v>288</v>
      </c>
      <c r="E29" s="125"/>
      <c r="F29" s="126">
        <v>2015</v>
      </c>
      <c r="G29" s="130">
        <v>25</v>
      </c>
      <c r="H29" s="130"/>
      <c r="I29" s="127"/>
      <c r="J29" s="135"/>
    </row>
    <row r="30" spans="1:34" ht="16.5" thickBot="1" x14ac:dyDescent="0.3">
      <c r="A30" s="936" t="s">
        <v>525</v>
      </c>
      <c r="B30" s="937"/>
      <c r="C30" s="937"/>
      <c r="D30" s="937"/>
      <c r="E30" s="937"/>
      <c r="F30" s="937"/>
      <c r="G30" s="937"/>
      <c r="H30" s="937"/>
      <c r="I30" s="937"/>
      <c r="J30" s="937"/>
      <c r="R30" s="941" t="s">
        <v>1103</v>
      </c>
      <c r="S30" s="863"/>
      <c r="T30" s="863"/>
      <c r="U30" s="863"/>
      <c r="V30" s="863"/>
      <c r="W30" s="863"/>
      <c r="X30" s="863"/>
      <c r="Y30" s="863"/>
    </row>
    <row r="31" spans="1:34" ht="16.5" thickTop="1" thickBot="1" x14ac:dyDescent="0.3">
      <c r="A31" s="124" t="s">
        <v>335</v>
      </c>
      <c r="B31" s="125" t="s">
        <v>336</v>
      </c>
      <c r="C31" s="125" t="s">
        <v>337</v>
      </c>
      <c r="D31" s="125" t="s">
        <v>96</v>
      </c>
      <c r="E31" s="125"/>
      <c r="F31" s="125">
        <v>2005</v>
      </c>
      <c r="G31" s="125">
        <v>30</v>
      </c>
      <c r="H31" s="128">
        <v>20.108902754128071</v>
      </c>
      <c r="I31" s="128">
        <v>1.0054451377064035</v>
      </c>
      <c r="J31" s="135">
        <v>1.9172146697629859</v>
      </c>
      <c r="R31" s="216" t="s">
        <v>1093</v>
      </c>
      <c r="S31" s="83">
        <v>2020</v>
      </c>
      <c r="T31" s="83">
        <v>2025</v>
      </c>
      <c r="U31" s="83">
        <v>2030</v>
      </c>
      <c r="V31" s="83">
        <v>2035</v>
      </c>
      <c r="W31" s="83">
        <v>2040</v>
      </c>
      <c r="X31" s="83">
        <v>2045</v>
      </c>
      <c r="Y31" s="83">
        <v>2050</v>
      </c>
    </row>
    <row r="32" spans="1:34" ht="15.75" thickTop="1" x14ac:dyDescent="0.25">
      <c r="A32" s="124" t="s">
        <v>338</v>
      </c>
      <c r="B32" s="125" t="s">
        <v>339</v>
      </c>
      <c r="C32" s="125" t="s">
        <v>340</v>
      </c>
      <c r="D32" s="125" t="s">
        <v>96</v>
      </c>
      <c r="E32" s="125"/>
      <c r="F32" s="125">
        <v>2015</v>
      </c>
      <c r="G32" s="125">
        <v>30</v>
      </c>
      <c r="H32" s="128">
        <v>20.720414164558093</v>
      </c>
      <c r="I32" s="128">
        <v>1.027903765563994</v>
      </c>
      <c r="J32" s="135">
        <v>2.178653033821575</v>
      </c>
      <c r="R32" s="26" t="s">
        <v>520</v>
      </c>
    </row>
    <row r="33" spans="1:30" x14ac:dyDescent="0.25">
      <c r="A33" s="124" t="s">
        <v>341</v>
      </c>
      <c r="B33" s="125" t="s">
        <v>342</v>
      </c>
      <c r="C33" s="125" t="s">
        <v>343</v>
      </c>
      <c r="D33" s="125" t="s">
        <v>96</v>
      </c>
      <c r="E33" s="125"/>
      <c r="F33" s="125">
        <v>2010</v>
      </c>
      <c r="G33" s="125">
        <v>30</v>
      </c>
      <c r="H33" s="128">
        <v>20.327834233585889</v>
      </c>
      <c r="I33" s="128">
        <v>1.0163917116792944</v>
      </c>
      <c r="J33" s="135">
        <v>2.1302385219588733</v>
      </c>
      <c r="R33" s="15" t="s">
        <v>1077</v>
      </c>
      <c r="S33" s="267">
        <f>S23*0.1</f>
        <v>65.018500000000003</v>
      </c>
      <c r="T33" s="267">
        <f t="shared" ref="T33:Y33" si="18">T23*0.1</f>
        <v>65.018500000000003</v>
      </c>
      <c r="U33" s="267">
        <f t="shared" si="18"/>
        <v>65.018500000000003</v>
      </c>
      <c r="V33" s="267">
        <f t="shared" si="18"/>
        <v>65.018500000000003</v>
      </c>
      <c r="W33" s="267">
        <f t="shared" si="18"/>
        <v>65.018500000000003</v>
      </c>
      <c r="X33" s="267">
        <f t="shared" si="18"/>
        <v>65.018500000000003</v>
      </c>
      <c r="Y33" s="267">
        <f t="shared" si="18"/>
        <v>65.018500000000003</v>
      </c>
    </row>
    <row r="34" spans="1:30" x14ac:dyDescent="0.25">
      <c r="A34" s="124" t="s">
        <v>344</v>
      </c>
      <c r="B34" s="125" t="s">
        <v>345</v>
      </c>
      <c r="C34" s="125" t="s">
        <v>346</v>
      </c>
      <c r="D34" s="125" t="s">
        <v>96</v>
      </c>
      <c r="E34" s="125"/>
      <c r="F34" s="125">
        <v>2015</v>
      </c>
      <c r="G34" s="125">
        <v>30</v>
      </c>
      <c r="H34" s="128">
        <v>23.870342449190009</v>
      </c>
      <c r="I34" s="128">
        <v>1.1935171224595005</v>
      </c>
      <c r="J34" s="135">
        <v>2.3965183372037324</v>
      </c>
      <c r="R34" s="15" t="s">
        <v>796</v>
      </c>
      <c r="S34" s="267"/>
      <c r="T34" s="267"/>
      <c r="U34" s="267">
        <f>U24*0.1</f>
        <v>86.257900000000006</v>
      </c>
      <c r="V34" s="267">
        <f t="shared" ref="V34:Y34" si="19">V24*0.1</f>
        <v>86.257900000000006</v>
      </c>
      <c r="W34" s="267">
        <f t="shared" si="19"/>
        <v>86.257900000000006</v>
      </c>
      <c r="X34" s="267">
        <f t="shared" si="19"/>
        <v>86.257900000000006</v>
      </c>
      <c r="Y34" s="267">
        <f t="shared" si="19"/>
        <v>86.257900000000006</v>
      </c>
    </row>
    <row r="35" spans="1:30" x14ac:dyDescent="0.25">
      <c r="A35" s="124"/>
      <c r="B35" s="125"/>
      <c r="C35" s="125"/>
      <c r="D35" s="125"/>
      <c r="E35" s="125"/>
      <c r="F35" s="125"/>
      <c r="G35" s="125"/>
      <c r="H35" s="128"/>
      <c r="I35" s="128"/>
      <c r="J35" s="135"/>
      <c r="R35" s="26" t="s">
        <v>57</v>
      </c>
    </row>
    <row r="36" spans="1:30" x14ac:dyDescent="0.25">
      <c r="A36" s="124" t="s">
        <v>347</v>
      </c>
      <c r="B36" s="125" t="s">
        <v>348</v>
      </c>
      <c r="C36" s="125" t="s">
        <v>349</v>
      </c>
      <c r="D36" s="125" t="s">
        <v>350</v>
      </c>
      <c r="E36" s="125"/>
      <c r="F36" s="125">
        <v>2005</v>
      </c>
      <c r="G36" s="125">
        <v>30</v>
      </c>
      <c r="H36" s="128">
        <v>116.69461084272677</v>
      </c>
      <c r="I36" s="128">
        <v>5.8347305421363389</v>
      </c>
      <c r="J36" s="135">
        <v>2.4581977639536889</v>
      </c>
      <c r="R36" s="15" t="s">
        <v>1077</v>
      </c>
      <c r="S36" s="267">
        <f>S26*0.06</f>
        <v>1.9652399999999999</v>
      </c>
      <c r="T36" s="267">
        <f t="shared" ref="T36:Y38" si="20">T26*0.06</f>
        <v>1.9652399999999999</v>
      </c>
      <c r="U36" s="267">
        <f t="shared" si="20"/>
        <v>1.9652399999999999</v>
      </c>
      <c r="V36" s="267">
        <f t="shared" si="20"/>
        <v>1.9652399999999999</v>
      </c>
      <c r="W36" s="267">
        <f t="shared" si="20"/>
        <v>1.9652399999999999</v>
      </c>
      <c r="X36" s="267">
        <f t="shared" si="20"/>
        <v>1.9652399999999999</v>
      </c>
      <c r="Y36" s="267">
        <f t="shared" si="20"/>
        <v>1.9652399999999999</v>
      </c>
    </row>
    <row r="37" spans="1:30" x14ac:dyDescent="0.25">
      <c r="A37" s="124" t="s">
        <v>351</v>
      </c>
      <c r="B37" s="125" t="s">
        <v>352</v>
      </c>
      <c r="C37" s="125" t="s">
        <v>340</v>
      </c>
      <c r="D37" s="125" t="s">
        <v>353</v>
      </c>
      <c r="E37" s="125"/>
      <c r="F37" s="125">
        <v>2015</v>
      </c>
      <c r="G37" s="125">
        <v>30</v>
      </c>
      <c r="H37" s="128">
        <v>120.72361650800623</v>
      </c>
      <c r="I37" s="128">
        <v>6.0361808254003115</v>
      </c>
      <c r="J37" s="135">
        <v>2.7934065499473739</v>
      </c>
      <c r="R37" s="15" t="s">
        <v>796</v>
      </c>
      <c r="S37" s="267"/>
      <c r="T37" s="267"/>
      <c r="U37" s="267">
        <f t="shared" si="20"/>
        <v>3.7916030399999996</v>
      </c>
      <c r="V37" s="267">
        <f t="shared" si="20"/>
        <v>3.7916030399999996</v>
      </c>
      <c r="W37" s="267">
        <f t="shared" si="20"/>
        <v>3.7916030399999996</v>
      </c>
      <c r="X37" s="267">
        <f t="shared" si="20"/>
        <v>3.7916030399999996</v>
      </c>
      <c r="Y37" s="267">
        <f t="shared" si="20"/>
        <v>3.7916030399999996</v>
      </c>
    </row>
    <row r="38" spans="1:30" x14ac:dyDescent="0.25">
      <c r="A38" s="124" t="s">
        <v>354</v>
      </c>
      <c r="B38" s="125" t="s">
        <v>355</v>
      </c>
      <c r="C38" s="125" t="s">
        <v>343</v>
      </c>
      <c r="D38" s="125" t="s">
        <v>353</v>
      </c>
      <c r="E38" s="125"/>
      <c r="F38" s="125">
        <v>2010</v>
      </c>
      <c r="G38" s="125">
        <v>30</v>
      </c>
      <c r="H38" s="128">
        <v>116.82165966338562</v>
      </c>
      <c r="I38" s="128">
        <v>5.8410829831692812</v>
      </c>
      <c r="J38" s="135">
        <v>2.7313308488374322</v>
      </c>
      <c r="R38" s="15" t="s">
        <v>216</v>
      </c>
      <c r="S38" s="267"/>
      <c r="T38" s="267">
        <f t="shared" si="20"/>
        <v>3.24918</v>
      </c>
      <c r="U38" s="267">
        <f t="shared" si="20"/>
        <v>3.24918</v>
      </c>
      <c r="V38" s="267">
        <f t="shared" si="20"/>
        <v>3.24918</v>
      </c>
      <c r="W38" s="267">
        <f t="shared" si="20"/>
        <v>3.24918</v>
      </c>
      <c r="X38" s="267">
        <f t="shared" si="20"/>
        <v>3.24918</v>
      </c>
      <c r="Y38" s="267">
        <f t="shared" si="20"/>
        <v>3.24918</v>
      </c>
    </row>
    <row r="39" spans="1:30" x14ac:dyDescent="0.25">
      <c r="A39" s="124" t="s">
        <v>356</v>
      </c>
      <c r="B39" s="125" t="s">
        <v>357</v>
      </c>
      <c r="C39" s="125" t="s">
        <v>358</v>
      </c>
      <c r="D39" s="125" t="s">
        <v>353</v>
      </c>
      <c r="E39" s="125"/>
      <c r="F39" s="125">
        <v>2015</v>
      </c>
      <c r="G39" s="125">
        <v>30</v>
      </c>
      <c r="H39" s="128">
        <v>121.07065874932904</v>
      </c>
      <c r="I39" s="128">
        <v>6.0535329374664526</v>
      </c>
      <c r="J39" s="135">
        <v>2.8093688730899302</v>
      </c>
      <c r="R39" s="58" t="s">
        <v>1101</v>
      </c>
    </row>
    <row r="40" spans="1:30" x14ac:dyDescent="0.25">
      <c r="A40" s="124"/>
      <c r="B40" s="125"/>
    </row>
    <row r="41" spans="1:30" ht="15.75" x14ac:dyDescent="0.25">
      <c r="A41" s="124"/>
      <c r="B41" s="125"/>
      <c r="C41" s="125" t="s">
        <v>359</v>
      </c>
      <c r="D41" s="125"/>
      <c r="E41" s="125"/>
      <c r="F41" s="125"/>
      <c r="G41" s="125"/>
      <c r="H41" s="125"/>
      <c r="I41" s="125"/>
      <c r="J41" s="125"/>
      <c r="K41" s="125"/>
      <c r="L41" s="125">
        <v>2010</v>
      </c>
      <c r="M41" s="125" t="s">
        <v>360</v>
      </c>
      <c r="R41" s="274" t="s">
        <v>1107</v>
      </c>
      <c r="S41" s="154"/>
      <c r="T41" s="154"/>
      <c r="U41" s="154"/>
      <c r="V41" s="154"/>
      <c r="W41" s="154"/>
      <c r="X41" s="154"/>
      <c r="Y41" s="154"/>
      <c r="AA41" s="26" t="s">
        <v>1116</v>
      </c>
    </row>
    <row r="42" spans="1:30" ht="15.75" thickBot="1" x14ac:dyDescent="0.3">
      <c r="A42" s="124"/>
      <c r="B42" s="125"/>
      <c r="C42" s="125" t="s">
        <v>361</v>
      </c>
      <c r="D42" s="125" t="s">
        <v>362</v>
      </c>
      <c r="E42" s="125" t="s">
        <v>6</v>
      </c>
      <c r="F42" s="125" t="s">
        <v>237</v>
      </c>
      <c r="G42" s="125" t="s">
        <v>4</v>
      </c>
      <c r="H42" s="125" t="s">
        <v>234</v>
      </c>
      <c r="I42" s="125" t="s">
        <v>5</v>
      </c>
      <c r="J42" s="125" t="s">
        <v>235</v>
      </c>
      <c r="K42" s="125" t="s">
        <v>236</v>
      </c>
      <c r="L42" s="125" t="s">
        <v>5</v>
      </c>
      <c r="M42" s="125" t="s">
        <v>5</v>
      </c>
      <c r="R42" s="216" t="s">
        <v>1104</v>
      </c>
      <c r="S42" s="83">
        <v>2020</v>
      </c>
      <c r="T42" s="83">
        <v>2025</v>
      </c>
      <c r="U42" s="83">
        <v>2030</v>
      </c>
      <c r="V42" s="83">
        <v>2035</v>
      </c>
      <c r="W42" s="83">
        <v>2040</v>
      </c>
      <c r="X42" s="83">
        <v>2045</v>
      </c>
      <c r="Y42" s="83">
        <v>2050</v>
      </c>
      <c r="AA42" s="83" t="s">
        <v>82</v>
      </c>
      <c r="AB42" s="83" t="s">
        <v>1098</v>
      </c>
      <c r="AC42" s="83" t="s">
        <v>1110</v>
      </c>
    </row>
    <row r="43" spans="1:30" ht="15.75" thickTop="1" x14ac:dyDescent="0.25">
      <c r="A43" s="124"/>
      <c r="B43" s="125"/>
      <c r="C43" s="125" t="str">
        <f>B31</f>
        <v>Water Shipping, Diesel exisiting</v>
      </c>
      <c r="D43" s="129">
        <v>8.9145194197183053E-4</v>
      </c>
      <c r="E43" s="129">
        <v>2.7857873186619706E-3</v>
      </c>
      <c r="F43" s="129">
        <v>1.3258786622609422E-2</v>
      </c>
      <c r="G43" s="129">
        <v>0.82814272231156594</v>
      </c>
      <c r="H43" s="129">
        <v>7.2936953132083177E-2</v>
      </c>
      <c r="I43" s="129">
        <v>0.10901366185084826</v>
      </c>
      <c r="J43" s="129">
        <v>1.329966674580349E-2</v>
      </c>
      <c r="K43" s="129">
        <v>1.329966674580349E-2</v>
      </c>
      <c r="L43" s="129">
        <v>3.5974508410779926E-2</v>
      </c>
      <c r="M43" s="129">
        <v>3.5974508410779927E-3</v>
      </c>
      <c r="R43" s="26" t="s">
        <v>1108</v>
      </c>
      <c r="AA43" t="s">
        <v>1111</v>
      </c>
      <c r="AB43" s="188">
        <v>7000</v>
      </c>
      <c r="AC43" s="188"/>
    </row>
    <row r="44" spans="1:30" x14ac:dyDescent="0.25">
      <c r="A44" s="124"/>
      <c r="B44" s="125"/>
      <c r="C44" s="125" t="str">
        <f>B36</f>
        <v>Water Shipping, Residual Oil exisiting</v>
      </c>
      <c r="D44" s="129">
        <v>7.7091027770749673E-4</v>
      </c>
      <c r="E44" s="129">
        <v>2.217651898871899E-3</v>
      </c>
      <c r="F44" s="129">
        <v>1.3499665637468579E-2</v>
      </c>
      <c r="G44" s="129">
        <v>0.82187223780518093</v>
      </c>
      <c r="H44" s="129">
        <v>4.2023509071137867E-2</v>
      </c>
      <c r="I44" s="129">
        <v>0.50817071957737692</v>
      </c>
      <c r="J44" s="129">
        <v>4.9673687838688592E-2</v>
      </c>
      <c r="K44" s="129">
        <v>4.9673687838688592E-2</v>
      </c>
      <c r="L44" s="129">
        <v>0.16769633746053439</v>
      </c>
      <c r="M44" s="129">
        <v>1.676963374605344E-2</v>
      </c>
      <c r="R44" s="15" t="s">
        <v>1105</v>
      </c>
      <c r="S44" s="267">
        <v>36.04</v>
      </c>
      <c r="T44" s="267">
        <v>36.04</v>
      </c>
      <c r="U44" s="267">
        <v>36.04</v>
      </c>
      <c r="V44" s="267">
        <v>36.04</v>
      </c>
      <c r="W44" s="267">
        <v>36.04</v>
      </c>
      <c r="X44" s="267">
        <v>36.04</v>
      </c>
      <c r="Y44" s="267">
        <v>36.04</v>
      </c>
      <c r="AA44" t="s">
        <v>1112</v>
      </c>
      <c r="AB44" s="188"/>
      <c r="AC44" s="188">
        <v>750</v>
      </c>
      <c r="AD44" s="81">
        <f>(AC44+AB43)/AB43</f>
        <v>1.1071428571428572</v>
      </c>
    </row>
    <row r="45" spans="1:30" x14ac:dyDescent="0.25">
      <c r="A45" s="124"/>
      <c r="B45" s="125"/>
      <c r="C45" s="125" t="s">
        <v>363</v>
      </c>
      <c r="F45" s="129">
        <v>1.1932907960348481E-2</v>
      </c>
      <c r="G45" s="129">
        <v>0.74532845008040938</v>
      </c>
      <c r="H45" s="129">
        <v>6.5643257818874867E-2</v>
      </c>
      <c r="R45" s="15" t="s">
        <v>1106</v>
      </c>
      <c r="S45" s="267">
        <v>26.922000000000001</v>
      </c>
      <c r="T45" s="267">
        <v>26.922000000000001</v>
      </c>
      <c r="U45" s="267">
        <v>26.922000000000001</v>
      </c>
      <c r="V45" s="267">
        <v>26.922000000000001</v>
      </c>
      <c r="W45" s="267">
        <v>26.922000000000001</v>
      </c>
      <c r="X45" s="267">
        <v>26.922000000000001</v>
      </c>
      <c r="Y45" s="267">
        <v>26.922000000000001</v>
      </c>
      <c r="AA45" t="s">
        <v>1115</v>
      </c>
      <c r="AC45" s="188">
        <v>1900</v>
      </c>
      <c r="AD45" s="81">
        <f>(AC45+AB43)/AB43</f>
        <v>1.2714285714285714</v>
      </c>
    </row>
    <row r="46" spans="1:30" x14ac:dyDescent="0.25">
      <c r="A46" s="124"/>
      <c r="B46" s="125"/>
      <c r="C46" s="125" t="s">
        <v>364</v>
      </c>
      <c r="F46" s="129">
        <v>1.2149699073721721E-2</v>
      </c>
      <c r="G46" s="129">
        <v>0.7396850140246628</v>
      </c>
      <c r="H46" s="129">
        <v>3.782115816402408E-2</v>
      </c>
      <c r="R46" s="15" t="s">
        <v>216</v>
      </c>
      <c r="S46" s="267"/>
      <c r="T46" s="267">
        <f>T44*$AD$44</f>
        <v>39.901428571428575</v>
      </c>
      <c r="U46" s="267">
        <f t="shared" ref="U46:Y46" si="21">U44*$AD$44</f>
        <v>39.901428571428575</v>
      </c>
      <c r="V46" s="267">
        <f t="shared" si="21"/>
        <v>39.901428571428575</v>
      </c>
      <c r="W46" s="267">
        <f t="shared" si="21"/>
        <v>39.901428571428575</v>
      </c>
      <c r="X46" s="267">
        <f t="shared" si="21"/>
        <v>39.901428571428575</v>
      </c>
      <c r="Y46" s="267">
        <f t="shared" si="21"/>
        <v>39.901428571428575</v>
      </c>
      <c r="AA46" t="s">
        <v>1113</v>
      </c>
      <c r="AB46" s="188"/>
      <c r="AC46" s="188">
        <v>5000</v>
      </c>
      <c r="AD46" s="81">
        <f>(AC46+AB43)/AB43</f>
        <v>1.7142857142857142</v>
      </c>
    </row>
    <row r="47" spans="1:30" x14ac:dyDescent="0.25">
      <c r="A47" s="124" t="s">
        <v>365</v>
      </c>
      <c r="B47" s="125"/>
      <c r="K47" s="128" t="s">
        <v>366</v>
      </c>
      <c r="L47" s="125" t="s">
        <v>367</v>
      </c>
      <c r="R47" s="26" t="s">
        <v>984</v>
      </c>
      <c r="S47" s="267"/>
      <c r="T47" s="267"/>
      <c r="U47" s="267"/>
      <c r="V47" s="267"/>
      <c r="W47" s="267"/>
      <c r="X47" s="267"/>
      <c r="Y47" s="267"/>
      <c r="AA47" s="942" t="s">
        <v>1167</v>
      </c>
      <c r="AB47" s="942"/>
      <c r="AC47" s="942"/>
    </row>
    <row r="48" spans="1:30" x14ac:dyDescent="0.25">
      <c r="A48" s="124" t="s">
        <v>368</v>
      </c>
      <c r="B48" s="125"/>
      <c r="K48" s="129">
        <f>K43*0.43</f>
        <v>5.7188567006955003E-3</v>
      </c>
      <c r="L48" s="129">
        <f>K43*0.21</f>
        <v>2.7929300166187328E-3</v>
      </c>
      <c r="R48" s="15" t="s">
        <v>1105</v>
      </c>
      <c r="S48" s="267">
        <v>23.74</v>
      </c>
      <c r="T48" s="267">
        <v>23.74</v>
      </c>
      <c r="U48" s="267">
        <v>23.74</v>
      </c>
      <c r="V48" s="267">
        <v>23.74</v>
      </c>
      <c r="W48" s="267">
        <v>23.74</v>
      </c>
      <c r="X48" s="267">
        <v>23.74</v>
      </c>
      <c r="Y48" s="267">
        <v>23.74</v>
      </c>
      <c r="AA48" s="942"/>
      <c r="AB48" s="942"/>
      <c r="AC48" s="942"/>
    </row>
    <row r="49" spans="1:29" x14ac:dyDescent="0.25">
      <c r="A49" s="124"/>
      <c r="B49" s="125" t="s">
        <v>369</v>
      </c>
      <c r="K49" s="129">
        <f>K44*0.43</f>
        <v>2.1359685770636093E-2</v>
      </c>
      <c r="L49" s="129">
        <f>K44*0.21</f>
        <v>1.0431474446124604E-2</v>
      </c>
      <c r="R49" s="15" t="s">
        <v>1106</v>
      </c>
      <c r="S49" s="267">
        <v>20.89</v>
      </c>
      <c r="T49" s="267">
        <v>20.89</v>
      </c>
      <c r="U49" s="267">
        <v>20.89</v>
      </c>
      <c r="V49" s="267">
        <v>20.89</v>
      </c>
      <c r="W49" s="267">
        <v>20.89</v>
      </c>
      <c r="X49" s="267">
        <v>20.89</v>
      </c>
      <c r="Y49" s="267">
        <v>20.89</v>
      </c>
      <c r="AA49" s="942"/>
      <c r="AB49" s="942"/>
      <c r="AC49" s="942"/>
    </row>
    <row r="50" spans="1:29" x14ac:dyDescent="0.25">
      <c r="A50" s="124" t="s">
        <v>370</v>
      </c>
      <c r="B50" s="125"/>
      <c r="R50" s="15" t="s">
        <v>216</v>
      </c>
      <c r="S50" s="267"/>
      <c r="T50" s="267">
        <f>T48*$AD$44</f>
        <v>26.283571428571427</v>
      </c>
      <c r="U50" s="267">
        <f t="shared" ref="U50:Y50" si="22">U48*$AD$44</f>
        <v>26.283571428571427</v>
      </c>
      <c r="V50" s="267">
        <f t="shared" si="22"/>
        <v>26.283571428571427</v>
      </c>
      <c r="W50" s="267">
        <f t="shared" si="22"/>
        <v>26.283571428571427</v>
      </c>
      <c r="X50" s="267">
        <f t="shared" si="22"/>
        <v>26.283571428571427</v>
      </c>
      <c r="Y50" s="267">
        <f t="shared" si="22"/>
        <v>26.283571428571427</v>
      </c>
      <c r="AA50" s="942"/>
      <c r="AB50" s="942"/>
      <c r="AC50" s="942"/>
    </row>
    <row r="51" spans="1:29" x14ac:dyDescent="0.25">
      <c r="A51" s="124"/>
      <c r="B51" s="125" t="s">
        <v>371</v>
      </c>
      <c r="R51" s="26" t="s">
        <v>976</v>
      </c>
      <c r="S51" s="267"/>
      <c r="T51" s="267"/>
      <c r="U51" s="267"/>
      <c r="V51" s="267"/>
      <c r="W51" s="267"/>
      <c r="X51" s="267"/>
      <c r="Y51" s="267"/>
      <c r="AA51" s="942"/>
      <c r="AB51" s="942"/>
      <c r="AC51" s="942"/>
    </row>
    <row r="52" spans="1:29" x14ac:dyDescent="0.25">
      <c r="A52" s="124" t="s">
        <v>372</v>
      </c>
      <c r="B52" s="125"/>
      <c r="R52" s="15" t="s">
        <v>1105</v>
      </c>
      <c r="S52" s="267">
        <v>1358.86</v>
      </c>
      <c r="T52" s="267">
        <v>1358.86</v>
      </c>
      <c r="U52" s="267">
        <v>1358.86</v>
      </c>
      <c r="V52" s="267">
        <v>1358.86</v>
      </c>
      <c r="W52" s="267">
        <v>1358.86</v>
      </c>
      <c r="X52" s="267">
        <v>1358.86</v>
      </c>
      <c r="Y52" s="267">
        <v>1358.86</v>
      </c>
      <c r="AA52" s="942"/>
      <c r="AB52" s="942"/>
      <c r="AC52" s="942"/>
    </row>
    <row r="53" spans="1:29" ht="15.75" thickBot="1" x14ac:dyDescent="0.3">
      <c r="A53" s="936" t="s">
        <v>117</v>
      </c>
      <c r="B53" s="937"/>
      <c r="C53" s="937"/>
      <c r="D53" s="937"/>
      <c r="E53" s="937"/>
      <c r="F53" s="937"/>
      <c r="G53" s="937"/>
      <c r="H53" s="937"/>
      <c r="I53" s="937"/>
      <c r="J53" s="937"/>
      <c r="R53" s="15" t="s">
        <v>1106</v>
      </c>
      <c r="S53" s="267">
        <v>957.62599999999998</v>
      </c>
      <c r="T53" s="267">
        <v>957.62599999999998</v>
      </c>
      <c r="U53" s="267">
        <v>957.62599999999998</v>
      </c>
      <c r="V53" s="267">
        <v>957.62599999999998</v>
      </c>
      <c r="W53" s="267">
        <v>957.62599999999998</v>
      </c>
      <c r="X53" s="267">
        <v>957.62599999999998</v>
      </c>
      <c r="Y53" s="267">
        <v>957.62599999999998</v>
      </c>
      <c r="AA53" s="942"/>
      <c r="AB53" s="942"/>
      <c r="AC53" s="942"/>
    </row>
    <row r="54" spans="1:29" ht="15.75" thickTop="1" x14ac:dyDescent="0.25">
      <c r="A54" s="61"/>
      <c r="C54" s="137" t="s">
        <v>0</v>
      </c>
      <c r="D54" s="137" t="s">
        <v>232</v>
      </c>
      <c r="E54" s="137" t="s">
        <v>208</v>
      </c>
      <c r="F54" s="138" t="s">
        <v>278</v>
      </c>
      <c r="G54" s="138" t="s">
        <v>279</v>
      </c>
      <c r="H54" s="139" t="s">
        <v>280</v>
      </c>
      <c r="I54" s="139" t="s">
        <v>281</v>
      </c>
      <c r="J54" s="139" t="s">
        <v>282</v>
      </c>
      <c r="K54" s="126">
        <v>2010</v>
      </c>
      <c r="L54" s="126">
        <v>2015</v>
      </c>
      <c r="M54" s="126">
        <v>2020</v>
      </c>
      <c r="N54" s="126">
        <v>2025</v>
      </c>
      <c r="O54" s="126">
        <v>2030</v>
      </c>
      <c r="P54" s="126">
        <v>2035</v>
      </c>
      <c r="Q54" s="745"/>
      <c r="R54" s="58" t="s">
        <v>1114</v>
      </c>
      <c r="AA54" s="942"/>
      <c r="AB54" s="942"/>
      <c r="AC54" s="942"/>
    </row>
    <row r="55" spans="1:29" ht="23.25" x14ac:dyDescent="0.25">
      <c r="A55" s="61"/>
      <c r="C55" s="140"/>
      <c r="D55" s="140"/>
      <c r="E55" s="125"/>
      <c r="F55" s="139"/>
      <c r="G55" s="139"/>
      <c r="H55" s="141" t="s">
        <v>527</v>
      </c>
      <c r="I55" s="141" t="s">
        <v>527</v>
      </c>
      <c r="J55" s="141" t="s">
        <v>284</v>
      </c>
      <c r="K55" s="135"/>
      <c r="L55" s="135"/>
      <c r="M55" s="135"/>
      <c r="N55" s="135"/>
      <c r="O55" s="135"/>
      <c r="P55" s="135"/>
      <c r="Q55" s="746"/>
      <c r="R55" s="15"/>
    </row>
    <row r="56" spans="1:29" ht="15.75" x14ac:dyDescent="0.25">
      <c r="A56" s="61"/>
      <c r="C56" s="125" t="s">
        <v>528</v>
      </c>
      <c r="D56" s="125" t="s">
        <v>529</v>
      </c>
      <c r="E56" s="125" t="s">
        <v>96</v>
      </c>
      <c r="F56" s="139">
        <v>1980</v>
      </c>
      <c r="G56" s="139">
        <v>30</v>
      </c>
      <c r="H56" s="128">
        <v>23.842986507042003</v>
      </c>
      <c r="I56" s="142">
        <v>1.43057919042252</v>
      </c>
      <c r="J56" s="143">
        <v>3.2636298765149001</v>
      </c>
      <c r="K56" s="135">
        <v>3.2636298765149001</v>
      </c>
      <c r="L56" s="135">
        <v>3.2536426954821964</v>
      </c>
      <c r="M56" s="135">
        <v>3.3141459086572391</v>
      </c>
      <c r="N56" s="135">
        <v>3.5057885555848922</v>
      </c>
      <c r="O56" s="135">
        <v>3.9776305657737558</v>
      </c>
      <c r="P56" s="135">
        <v>4.613014118449577</v>
      </c>
      <c r="Q56" s="746"/>
      <c r="R56" s="274" t="s">
        <v>1119</v>
      </c>
      <c r="S56" s="154"/>
      <c r="T56" s="154"/>
      <c r="U56" s="154"/>
      <c r="V56" s="154"/>
      <c r="W56" s="154"/>
      <c r="X56" s="154"/>
      <c r="Y56" s="154"/>
      <c r="Z56" s="81"/>
    </row>
    <row r="57" spans="1:29" ht="15.75" thickBot="1" x14ac:dyDescent="0.3">
      <c r="A57" s="61"/>
      <c r="C57" s="144" t="s">
        <v>530</v>
      </c>
      <c r="D57" s="145" t="s">
        <v>529</v>
      </c>
      <c r="E57" s="125" t="s">
        <v>96</v>
      </c>
      <c r="F57" s="125" t="s">
        <v>531</v>
      </c>
      <c r="G57" s="139">
        <v>30</v>
      </c>
      <c r="H57" s="128">
        <v>31.239056487930078</v>
      </c>
      <c r="I57" s="134">
        <v>1.4459300781315767</v>
      </c>
      <c r="J57" s="135">
        <v>3.6884714796352243</v>
      </c>
      <c r="K57" s="135"/>
      <c r="L57" s="135"/>
      <c r="M57" s="135"/>
      <c r="N57" s="135"/>
      <c r="O57" s="135"/>
      <c r="P57" s="135"/>
      <c r="Q57" s="746"/>
      <c r="R57" s="216" t="s">
        <v>1104</v>
      </c>
      <c r="S57" s="83">
        <v>2020</v>
      </c>
      <c r="T57" s="83">
        <v>2025</v>
      </c>
      <c r="U57" s="83">
        <v>2030</v>
      </c>
      <c r="V57" s="83">
        <v>2035</v>
      </c>
      <c r="W57" s="83">
        <v>2040</v>
      </c>
      <c r="X57" s="83">
        <v>2045</v>
      </c>
      <c r="Y57" s="83">
        <v>2050</v>
      </c>
    </row>
    <row r="58" spans="1:29" ht="16.5" thickTop="1" thickBot="1" x14ac:dyDescent="0.3">
      <c r="A58" s="61"/>
      <c r="C58" s="144" t="s">
        <v>532</v>
      </c>
      <c r="D58" s="145" t="s">
        <v>529</v>
      </c>
      <c r="E58" s="125" t="s">
        <v>96</v>
      </c>
      <c r="F58" s="125">
        <v>2020</v>
      </c>
      <c r="G58" s="139">
        <v>30</v>
      </c>
      <c r="H58" s="128">
        <v>31.162302049384802</v>
      </c>
      <c r="I58" s="134">
        <v>1.4459300781315767</v>
      </c>
      <c r="J58" s="135">
        <v>3.6884714796352243</v>
      </c>
      <c r="K58" s="135"/>
      <c r="L58" s="135"/>
      <c r="M58" s="135"/>
      <c r="N58" s="135"/>
      <c r="O58" s="135"/>
      <c r="P58" s="135"/>
      <c r="Q58" s="746"/>
      <c r="R58" s="26" t="s">
        <v>1108</v>
      </c>
    </row>
    <row r="59" spans="1:29" x14ac:dyDescent="0.25">
      <c r="A59" s="61"/>
      <c r="C59" s="144" t="s">
        <v>533</v>
      </c>
      <c r="D59" s="145" t="s">
        <v>529</v>
      </c>
      <c r="E59" s="125" t="s">
        <v>96</v>
      </c>
      <c r="F59" s="125" t="s">
        <v>531</v>
      </c>
      <c r="G59" s="146">
        <v>30</v>
      </c>
      <c r="H59" s="128">
        <v>27.462224962102798</v>
      </c>
      <c r="I59" s="134">
        <v>1.4342634034726935</v>
      </c>
      <c r="J59" s="135">
        <v>3.0737262330293533</v>
      </c>
      <c r="K59" s="135"/>
      <c r="L59" s="135"/>
      <c r="M59" s="135"/>
      <c r="N59" s="135"/>
      <c r="O59" s="135"/>
      <c r="P59" s="135"/>
      <c r="Q59" s="746"/>
      <c r="R59" s="15" t="s">
        <v>1105</v>
      </c>
      <c r="S59" s="189">
        <v>4.6800000000000001E-2</v>
      </c>
      <c r="T59" s="189">
        <v>4.6800000000000001E-2</v>
      </c>
      <c r="U59" s="189">
        <v>4.6800000000000001E-2</v>
      </c>
      <c r="V59" s="189">
        <v>4.6800000000000001E-2</v>
      </c>
      <c r="W59" s="189">
        <v>4.6800000000000001E-2</v>
      </c>
      <c r="X59" s="189">
        <v>4.6800000000000001E-2</v>
      </c>
      <c r="Y59" s="189">
        <v>4.6800000000000001E-2</v>
      </c>
      <c r="Z59" s="276" t="s">
        <v>1121</v>
      </c>
      <c r="AA59" s="197"/>
    </row>
    <row r="60" spans="1:29" ht="15.75" thickBot="1" x14ac:dyDescent="0.3">
      <c r="A60" s="61"/>
      <c r="C60" s="147" t="s">
        <v>534</v>
      </c>
      <c r="D60" s="145" t="s">
        <v>529</v>
      </c>
      <c r="E60" s="125" t="s">
        <v>96</v>
      </c>
      <c r="F60" s="125">
        <v>2020</v>
      </c>
      <c r="G60" s="146">
        <v>30</v>
      </c>
      <c r="H60" s="128">
        <v>27.443036352466475</v>
      </c>
      <c r="I60" s="134">
        <v>1.4342634034726935</v>
      </c>
      <c r="J60" s="135">
        <v>3.0737262330293533</v>
      </c>
      <c r="K60" s="135"/>
      <c r="L60" s="135"/>
      <c r="M60" s="135"/>
      <c r="N60" s="135"/>
      <c r="O60" s="135"/>
      <c r="P60" s="135"/>
      <c r="Q60" s="746"/>
      <c r="R60" s="15" t="s">
        <v>1106</v>
      </c>
      <c r="S60" s="189">
        <v>4.5499999999999999E-2</v>
      </c>
      <c r="T60" s="189">
        <v>4.5499999999999999E-2</v>
      </c>
      <c r="U60" s="189">
        <v>4.5499999999999999E-2</v>
      </c>
      <c r="V60" s="189">
        <v>4.5499999999999999E-2</v>
      </c>
      <c r="W60" s="189">
        <v>4.5499999999999999E-2</v>
      </c>
      <c r="X60" s="189">
        <v>4.5499999999999999E-2</v>
      </c>
      <c r="Y60" s="189">
        <v>4.5499999999999999E-2</v>
      </c>
      <c r="Z60" s="277">
        <f>Y60/Y45</f>
        <v>1.6900676027041082E-3</v>
      </c>
    </row>
    <row r="61" spans="1:29" x14ac:dyDescent="0.25">
      <c r="A61" s="61"/>
      <c r="C61" s="125" t="s">
        <v>535</v>
      </c>
      <c r="D61" s="125" t="s">
        <v>529</v>
      </c>
      <c r="E61" s="125" t="s">
        <v>96</v>
      </c>
      <c r="F61" s="125" t="s">
        <v>531</v>
      </c>
      <c r="G61" s="125">
        <v>30</v>
      </c>
      <c r="H61" s="128">
        <v>24.192367247674138</v>
      </c>
      <c r="I61" s="134">
        <v>1.4425890276025934</v>
      </c>
      <c r="J61" s="135">
        <v>3.1899834060498367</v>
      </c>
      <c r="K61" s="135"/>
      <c r="L61" s="135"/>
      <c r="M61" s="135"/>
      <c r="N61" s="135"/>
      <c r="O61" s="135"/>
      <c r="P61" s="135"/>
      <c r="Q61" s="746"/>
      <c r="R61" s="15" t="s">
        <v>216</v>
      </c>
      <c r="S61" s="267"/>
      <c r="T61" s="189">
        <f>T46*$Z$60</f>
        <v>6.7436111730183504E-2</v>
      </c>
      <c r="U61" s="189">
        <f t="shared" ref="U61:Y61" si="23">U46*$Z$60</f>
        <v>6.7436111730183504E-2</v>
      </c>
      <c r="V61" s="189">
        <f t="shared" si="23"/>
        <v>6.7436111730183504E-2</v>
      </c>
      <c r="W61" s="189">
        <f t="shared" si="23"/>
        <v>6.7436111730183504E-2</v>
      </c>
      <c r="X61" s="189">
        <f t="shared" si="23"/>
        <v>6.7436111730183504E-2</v>
      </c>
      <c r="Y61" s="189">
        <f t="shared" si="23"/>
        <v>6.7436111730183504E-2</v>
      </c>
    </row>
    <row r="62" spans="1:29" ht="15.75" thickBot="1" x14ac:dyDescent="0.3">
      <c r="A62" s="61"/>
      <c r="C62" s="125" t="s">
        <v>192</v>
      </c>
      <c r="D62" s="125" t="s">
        <v>529</v>
      </c>
      <c r="E62" s="125" t="s">
        <v>222</v>
      </c>
      <c r="F62" s="125" t="s">
        <v>531</v>
      </c>
      <c r="G62" s="125">
        <v>30</v>
      </c>
      <c r="H62" s="128">
        <v>23.842986507042003</v>
      </c>
      <c r="I62" s="134">
        <v>1.43057919042252</v>
      </c>
      <c r="J62" s="135">
        <v>3.2313167094206929</v>
      </c>
      <c r="K62" s="135">
        <v>3.2313167094206929</v>
      </c>
      <c r="L62" s="135">
        <v>3.2214284113685112</v>
      </c>
      <c r="M62" s="135">
        <v>3.2813325828289495</v>
      </c>
      <c r="N62" s="135">
        <v>3.471077777806824</v>
      </c>
      <c r="O62" s="135">
        <v>3.9382480849245107</v>
      </c>
      <c r="P62" s="135">
        <v>4.5673407113362146</v>
      </c>
      <c r="Q62" s="746"/>
      <c r="R62" s="26" t="s">
        <v>984</v>
      </c>
      <c r="S62" s="267"/>
      <c r="T62" s="267"/>
      <c r="U62" s="267"/>
      <c r="V62" s="267"/>
      <c r="W62" s="267"/>
      <c r="X62" s="267"/>
      <c r="Y62" s="267"/>
    </row>
    <row r="63" spans="1:29" x14ac:dyDescent="0.25">
      <c r="A63" s="61"/>
      <c r="C63" s="125" t="s">
        <v>233</v>
      </c>
      <c r="D63" s="125" t="s">
        <v>529</v>
      </c>
      <c r="E63" s="125" t="s">
        <v>233</v>
      </c>
      <c r="F63" s="125" t="s">
        <v>531</v>
      </c>
      <c r="G63" s="125">
        <v>30</v>
      </c>
      <c r="H63" s="128">
        <v>25.343813499419113</v>
      </c>
      <c r="I63" s="134">
        <v>1.4342634034726935</v>
      </c>
      <c r="J63" s="135">
        <v>3.2636298765149001</v>
      </c>
      <c r="K63" s="121"/>
      <c r="L63" s="121"/>
      <c r="M63" s="121"/>
      <c r="N63" s="121"/>
      <c r="O63" s="121"/>
      <c r="P63" s="121"/>
      <c r="Q63" s="747"/>
      <c r="R63" s="15" t="s">
        <v>1105</v>
      </c>
      <c r="S63" s="189">
        <v>3.6700000000000003E-2</v>
      </c>
      <c r="T63" s="189">
        <v>3.6700000000000003E-2</v>
      </c>
      <c r="U63" s="189">
        <v>3.6700000000000003E-2</v>
      </c>
      <c r="V63" s="189">
        <v>3.6700000000000003E-2</v>
      </c>
      <c r="W63" s="189">
        <v>3.6700000000000003E-2</v>
      </c>
      <c r="X63" s="189">
        <v>3.6700000000000003E-2</v>
      </c>
      <c r="Y63" s="189">
        <v>3.6700000000000003E-2</v>
      </c>
      <c r="Z63" s="272" t="s">
        <v>1121</v>
      </c>
    </row>
    <row r="64" spans="1:29" ht="15.75" thickBot="1" x14ac:dyDescent="0.3">
      <c r="A64" s="61"/>
      <c r="C64" s="148"/>
      <c r="D64" s="148"/>
      <c r="E64" s="148"/>
      <c r="F64" s="148"/>
      <c r="G64" s="148"/>
      <c r="H64" s="148"/>
      <c r="I64" s="149" t="s">
        <v>536</v>
      </c>
      <c r="J64" s="148"/>
      <c r="K64" s="121"/>
      <c r="L64" s="121"/>
      <c r="M64" s="121"/>
      <c r="N64" s="121"/>
      <c r="O64" s="121"/>
      <c r="P64" s="121"/>
      <c r="Q64" s="747"/>
      <c r="R64" s="15" t="s">
        <v>1106</v>
      </c>
      <c r="S64" s="189">
        <v>3.5700000000000003E-2</v>
      </c>
      <c r="T64" s="189">
        <v>3.5700000000000003E-2</v>
      </c>
      <c r="U64" s="189">
        <v>3.5700000000000003E-2</v>
      </c>
      <c r="V64" s="189">
        <v>3.5700000000000003E-2</v>
      </c>
      <c r="W64" s="189">
        <v>3.5700000000000003E-2</v>
      </c>
      <c r="X64" s="189">
        <v>3.5700000000000003E-2</v>
      </c>
      <c r="Y64" s="189">
        <v>3.5700000000000003E-2</v>
      </c>
      <c r="Z64" s="277">
        <f>Y64/Y49</f>
        <v>1.7089516515078986E-3</v>
      </c>
    </row>
    <row r="65" spans="1:25" x14ac:dyDescent="0.25">
      <c r="A65" s="61"/>
      <c r="C65" s="121"/>
      <c r="D65" s="121"/>
      <c r="E65" s="748"/>
      <c r="F65" s="748"/>
      <c r="G65" s="748"/>
      <c r="H65" s="121"/>
      <c r="I65" s="149" t="s">
        <v>537</v>
      </c>
      <c r="J65" s="121"/>
      <c r="K65" s="121"/>
      <c r="L65" s="121"/>
      <c r="M65" s="121"/>
      <c r="N65" s="121"/>
      <c r="O65" s="121"/>
      <c r="P65" s="121"/>
      <c r="Q65" s="747"/>
      <c r="R65" s="15" t="s">
        <v>216</v>
      </c>
      <c r="S65" s="267"/>
      <c r="T65" s="189">
        <f>T50*$Z$64</f>
        <v>4.4917352800382962E-2</v>
      </c>
      <c r="U65" s="189">
        <f t="shared" ref="U65:Y65" si="24">U50*$Z$64</f>
        <v>4.4917352800382962E-2</v>
      </c>
      <c r="V65" s="189">
        <f t="shared" si="24"/>
        <v>4.4917352800382962E-2</v>
      </c>
      <c r="W65" s="189">
        <f t="shared" si="24"/>
        <v>4.4917352800382962E-2</v>
      </c>
      <c r="X65" s="189">
        <f t="shared" si="24"/>
        <v>4.4917352800382962E-2</v>
      </c>
      <c r="Y65" s="189">
        <f t="shared" si="24"/>
        <v>4.4917352800382962E-2</v>
      </c>
    </row>
    <row r="66" spans="1:25" x14ac:dyDescent="0.25">
      <c r="R66" s="26" t="s">
        <v>976</v>
      </c>
      <c r="S66" s="267"/>
      <c r="T66" s="267"/>
      <c r="U66" s="267"/>
      <c r="V66" s="267"/>
      <c r="W66" s="267"/>
      <c r="X66" s="267"/>
      <c r="Y66" s="267"/>
    </row>
    <row r="67" spans="1:25" x14ac:dyDescent="0.25">
      <c r="R67" s="15" t="s">
        <v>1105</v>
      </c>
      <c r="S67" s="189">
        <v>1.631</v>
      </c>
      <c r="T67" s="189">
        <v>1.631</v>
      </c>
      <c r="U67" s="189">
        <v>1.631</v>
      </c>
      <c r="V67" s="189">
        <v>1.631</v>
      </c>
      <c r="W67" s="189">
        <v>1.631</v>
      </c>
      <c r="X67" s="189">
        <v>1.631</v>
      </c>
      <c r="Y67" s="189">
        <v>1.631</v>
      </c>
    </row>
    <row r="68" spans="1:25" x14ac:dyDescent="0.25">
      <c r="R68" s="15" t="s">
        <v>1106</v>
      </c>
      <c r="S68" s="189">
        <v>1.595</v>
      </c>
      <c r="T68" s="189">
        <v>1.595</v>
      </c>
      <c r="U68" s="189">
        <v>1.595</v>
      </c>
      <c r="V68" s="189">
        <v>1.595</v>
      </c>
      <c r="W68" s="189">
        <v>1.595</v>
      </c>
      <c r="X68" s="189">
        <v>1.595</v>
      </c>
      <c r="Y68" s="189">
        <v>1.595</v>
      </c>
    </row>
    <row r="69" spans="1:25" x14ac:dyDescent="0.25">
      <c r="R69" s="58" t="s">
        <v>1155</v>
      </c>
    </row>
    <row r="71" spans="1:25" ht="15.75" x14ac:dyDescent="0.25">
      <c r="R71" s="154" t="s">
        <v>1701</v>
      </c>
      <c r="S71" s="154"/>
      <c r="T71" s="154"/>
      <c r="U71" s="154"/>
      <c r="V71" s="154"/>
      <c r="W71" s="154"/>
      <c r="X71" s="154"/>
      <c r="Y71" s="154"/>
    </row>
    <row r="72" spans="1:25" ht="15.75" thickBot="1" x14ac:dyDescent="0.3">
      <c r="R72" s="83" t="s">
        <v>1161</v>
      </c>
      <c r="S72" s="83">
        <v>2020</v>
      </c>
      <c r="T72" s="83">
        <v>2025</v>
      </c>
      <c r="U72" s="83">
        <v>2030</v>
      </c>
      <c r="V72" s="83">
        <v>2035</v>
      </c>
      <c r="W72" s="83">
        <v>2040</v>
      </c>
      <c r="X72" s="83">
        <v>2045</v>
      </c>
      <c r="Y72" s="83">
        <v>2050</v>
      </c>
    </row>
    <row r="73" spans="1:25" ht="15.75" thickTop="1" x14ac:dyDescent="0.25">
      <c r="R73" t="s">
        <v>1164</v>
      </c>
      <c r="S73" s="284">
        <v>317</v>
      </c>
      <c r="T73" s="284">
        <v>261</v>
      </c>
      <c r="U73" s="284">
        <v>205</v>
      </c>
      <c r="V73" s="284">
        <v>205</v>
      </c>
      <c r="W73" s="284">
        <v>205</v>
      </c>
      <c r="X73" s="284">
        <v>205</v>
      </c>
      <c r="Y73" s="284">
        <v>205</v>
      </c>
    </row>
    <row r="74" spans="1:25" x14ac:dyDescent="0.25">
      <c r="R74" t="s">
        <v>1163</v>
      </c>
      <c r="S74" s="284">
        <v>100.12</v>
      </c>
      <c r="T74" s="284">
        <v>100.12</v>
      </c>
      <c r="U74" s="284">
        <v>100.12</v>
      </c>
      <c r="V74" s="284">
        <v>100.12</v>
      </c>
      <c r="W74" s="284">
        <v>100.12</v>
      </c>
      <c r="X74" s="284">
        <v>100.12</v>
      </c>
      <c r="Y74" s="284">
        <v>100.12</v>
      </c>
    </row>
    <row r="75" spans="1:25" x14ac:dyDescent="0.25">
      <c r="R75" s="58" t="s">
        <v>1162</v>
      </c>
    </row>
    <row r="77" spans="1:25" ht="15.75" x14ac:dyDescent="0.25">
      <c r="R77" s="154" t="s">
        <v>1699</v>
      </c>
      <c r="S77" s="154"/>
      <c r="T77" s="154"/>
      <c r="U77" s="154"/>
      <c r="V77" s="154"/>
      <c r="W77" s="154"/>
      <c r="X77" s="154"/>
      <c r="Y77" s="154"/>
    </row>
    <row r="78" spans="1:25" ht="15.75" thickBot="1" x14ac:dyDescent="0.3">
      <c r="R78" s="83" t="s">
        <v>1161</v>
      </c>
      <c r="S78" s="83">
        <v>2020</v>
      </c>
      <c r="T78" s="83">
        <v>2025</v>
      </c>
      <c r="U78" s="83">
        <v>2030</v>
      </c>
      <c r="V78" s="83">
        <v>2035</v>
      </c>
      <c r="W78" s="83">
        <v>2040</v>
      </c>
      <c r="X78" s="83">
        <v>2045</v>
      </c>
      <c r="Y78" s="83">
        <v>2050</v>
      </c>
    </row>
    <row r="79" spans="1:25" ht="15.75" thickTop="1" x14ac:dyDescent="0.25">
      <c r="R79" t="s">
        <v>1164</v>
      </c>
      <c r="S79" s="267">
        <v>0.2</v>
      </c>
      <c r="T79" s="267">
        <v>0.17</v>
      </c>
      <c r="U79" s="267">
        <v>0.14000000000000001</v>
      </c>
      <c r="V79" s="267">
        <v>0.14000000000000001</v>
      </c>
      <c r="W79" s="267">
        <v>0.14000000000000001</v>
      </c>
      <c r="X79" s="267">
        <v>0.14000000000000001</v>
      </c>
      <c r="Y79" s="267">
        <v>0.14000000000000001</v>
      </c>
    </row>
    <row r="80" spans="1:25" x14ac:dyDescent="0.25">
      <c r="R80" t="s">
        <v>1163</v>
      </c>
      <c r="S80" s="267">
        <v>7.0000000000000007E-2</v>
      </c>
      <c r="T80" s="267">
        <v>7.0000000000000007E-2</v>
      </c>
      <c r="U80" s="267">
        <v>7.0000000000000007E-2</v>
      </c>
      <c r="V80" s="267">
        <v>7.0000000000000007E-2</v>
      </c>
      <c r="W80" s="267">
        <v>7.0000000000000007E-2</v>
      </c>
      <c r="X80" s="267">
        <v>7.0000000000000007E-2</v>
      </c>
      <c r="Y80" s="267">
        <v>7.0000000000000007E-2</v>
      </c>
    </row>
    <row r="81" spans="18:33" x14ac:dyDescent="0.25">
      <c r="R81" s="58" t="s">
        <v>1165</v>
      </c>
    </row>
    <row r="83" spans="18:33" ht="15.75" x14ac:dyDescent="0.25">
      <c r="R83" s="154" t="s">
        <v>1700</v>
      </c>
    </row>
    <row r="84" spans="18:33" ht="15.75" thickBot="1" x14ac:dyDescent="0.3">
      <c r="R84" s="83" t="s">
        <v>1171</v>
      </c>
      <c r="S84" s="83">
        <v>2020</v>
      </c>
      <c r="T84" s="83">
        <v>2025</v>
      </c>
      <c r="U84" s="83">
        <v>2030</v>
      </c>
      <c r="V84" s="83">
        <v>2035</v>
      </c>
      <c r="W84" s="83">
        <v>2040</v>
      </c>
      <c r="X84" s="83">
        <v>2045</v>
      </c>
      <c r="Y84" s="83">
        <v>2050</v>
      </c>
    </row>
    <row r="85" spans="18:33" ht="15.75" thickTop="1" x14ac:dyDescent="0.25">
      <c r="R85" t="s">
        <v>1694</v>
      </c>
      <c r="S85" s="267">
        <v>136.47999999999999</v>
      </c>
      <c r="T85" s="267">
        <v>136.47999999999999</v>
      </c>
      <c r="U85" s="267">
        <v>136.47999999999999</v>
      </c>
      <c r="V85" s="267">
        <v>136.47999999999999</v>
      </c>
      <c r="W85" s="267">
        <v>136.47999999999999</v>
      </c>
      <c r="X85" s="267">
        <v>136.47999999999999</v>
      </c>
      <c r="Y85" s="267">
        <v>136.47999999999999</v>
      </c>
    </row>
    <row r="86" spans="18:33" x14ac:dyDescent="0.25">
      <c r="R86" t="s">
        <v>1173</v>
      </c>
      <c r="S86" s="267">
        <v>41.1</v>
      </c>
      <c r="T86" s="267">
        <v>41.1</v>
      </c>
      <c r="U86" s="267">
        <v>41.1</v>
      </c>
      <c r="V86" s="267">
        <v>41.1</v>
      </c>
      <c r="W86" s="267">
        <v>41.1</v>
      </c>
      <c r="X86" s="267">
        <v>41.1</v>
      </c>
      <c r="Y86" s="267">
        <v>41.1</v>
      </c>
    </row>
    <row r="87" spans="18:33" x14ac:dyDescent="0.25">
      <c r="R87" t="s">
        <v>1174</v>
      </c>
      <c r="S87" s="267">
        <v>36.880000000000003</v>
      </c>
      <c r="T87" s="267">
        <v>36.880000000000003</v>
      </c>
      <c r="U87" s="267">
        <v>36.880000000000003</v>
      </c>
      <c r="V87" s="267">
        <v>36.880000000000003</v>
      </c>
      <c r="W87" s="267">
        <v>36.880000000000003</v>
      </c>
      <c r="X87" s="267">
        <v>36.880000000000003</v>
      </c>
      <c r="Y87" s="267">
        <v>36.880000000000003</v>
      </c>
    </row>
    <row r="88" spans="18:33" x14ac:dyDescent="0.25">
      <c r="R88" s="58" t="s">
        <v>1175</v>
      </c>
    </row>
    <row r="90" spans="18:33" ht="15.75" x14ac:dyDescent="0.25">
      <c r="R90" s="154" t="s">
        <v>1698</v>
      </c>
      <c r="AA90" s="199" t="s">
        <v>2854</v>
      </c>
    </row>
    <row r="91" spans="18:33" ht="15.75" thickBot="1" x14ac:dyDescent="0.3">
      <c r="R91" s="83" t="s">
        <v>1171</v>
      </c>
      <c r="S91" s="83">
        <v>2020</v>
      </c>
      <c r="T91" s="83">
        <v>2025</v>
      </c>
      <c r="U91" s="83">
        <v>2030</v>
      </c>
      <c r="V91" s="83">
        <v>2035</v>
      </c>
      <c r="W91" s="83">
        <v>2040</v>
      </c>
      <c r="X91" s="83">
        <v>2045</v>
      </c>
      <c r="Y91" s="83">
        <v>2050</v>
      </c>
      <c r="AA91" s="83" t="s">
        <v>82</v>
      </c>
      <c r="AB91" s="83">
        <v>2023</v>
      </c>
      <c r="AC91" s="83">
        <v>2030</v>
      </c>
      <c r="AD91" s="79" t="s">
        <v>2867</v>
      </c>
    </row>
    <row r="92" spans="18:33" ht="15.75" thickTop="1" x14ac:dyDescent="0.25">
      <c r="R92" t="s">
        <v>1694</v>
      </c>
      <c r="S92" s="267">
        <v>5.49</v>
      </c>
      <c r="T92" s="267">
        <v>5.49</v>
      </c>
      <c r="U92" s="267">
        <v>5.49</v>
      </c>
      <c r="V92" s="267">
        <v>5.49</v>
      </c>
      <c r="W92" s="267">
        <v>5.49</v>
      </c>
      <c r="X92" s="267">
        <v>5.49</v>
      </c>
      <c r="Y92" s="267">
        <v>5.49</v>
      </c>
      <c r="AA92" t="s">
        <v>2855</v>
      </c>
      <c r="AB92" s="80">
        <v>0.66</v>
      </c>
      <c r="AC92" s="80">
        <v>0.69</v>
      </c>
      <c r="AD92" s="80">
        <v>0.74</v>
      </c>
    </row>
    <row r="93" spans="18:33" x14ac:dyDescent="0.25">
      <c r="R93" t="s">
        <v>1173</v>
      </c>
      <c r="S93" s="267">
        <v>2.0499999999999998</v>
      </c>
      <c r="T93" s="267">
        <v>2.0499999999999998</v>
      </c>
      <c r="U93" s="267">
        <v>2.0499999999999998</v>
      </c>
      <c r="V93" s="267">
        <v>2.0499999999999998</v>
      </c>
      <c r="W93" s="267">
        <v>2.0499999999999998</v>
      </c>
      <c r="X93" s="267">
        <v>2.0499999999999998</v>
      </c>
      <c r="Y93" s="267">
        <v>2.0499999999999998</v>
      </c>
      <c r="AA93" t="s">
        <v>2856</v>
      </c>
      <c r="AB93" s="742">
        <v>0.76</v>
      </c>
      <c r="AC93" s="742">
        <v>0.76</v>
      </c>
      <c r="AD93" s="742">
        <v>0.76</v>
      </c>
    </row>
    <row r="94" spans="18:33" x14ac:dyDescent="0.25">
      <c r="R94" t="s">
        <v>1174</v>
      </c>
      <c r="S94" s="267">
        <v>1.84</v>
      </c>
      <c r="T94" s="267">
        <v>1.84</v>
      </c>
      <c r="U94" s="267">
        <v>1.84</v>
      </c>
      <c r="V94" s="267">
        <v>1.84</v>
      </c>
      <c r="W94" s="267">
        <v>1.84</v>
      </c>
      <c r="X94" s="267">
        <v>1.84</v>
      </c>
      <c r="Y94" s="267">
        <v>1.84</v>
      </c>
      <c r="AA94" t="s">
        <v>2918</v>
      </c>
      <c r="AB94" s="742">
        <v>0.69</v>
      </c>
      <c r="AC94" s="742">
        <v>0.69</v>
      </c>
      <c r="AD94" s="742">
        <v>0.69</v>
      </c>
    </row>
    <row r="95" spans="18:33" x14ac:dyDescent="0.25">
      <c r="R95" s="58" t="s">
        <v>1175</v>
      </c>
      <c r="AA95" t="s">
        <v>2857</v>
      </c>
      <c r="AB95" s="80">
        <f>AB92*'Conversion Factors'!$D$14</f>
        <v>0.77880000000000005</v>
      </c>
      <c r="AC95" s="80">
        <f>AC92*'Conversion Factors'!$D$14</f>
        <v>0.81419999999999992</v>
      </c>
      <c r="AD95" s="80">
        <f>AD92*'Conversion Factors'!$D$14</f>
        <v>0.87319999999999998</v>
      </c>
      <c r="AE95" s="26"/>
      <c r="AF95" s="26"/>
      <c r="AG95" s="26"/>
    </row>
    <row r="96" spans="18:33" x14ac:dyDescent="0.25">
      <c r="AA96" t="s">
        <v>2858</v>
      </c>
      <c r="AB96" s="763">
        <f>AB93*'Conversion Factors'!$D$14/'Conversion Factors'!$D$13</f>
        <v>0.80792792792792778</v>
      </c>
      <c r="AC96" s="763">
        <f>AC93*'Conversion Factors'!$D$14/'Conversion Factors'!$D$13</f>
        <v>0.80792792792792778</v>
      </c>
      <c r="AD96" s="763">
        <f>AD93*'Conversion Factors'!$D$14/'Conversion Factors'!$D$13</f>
        <v>0.80792792792792778</v>
      </c>
    </row>
    <row r="97" spans="18:30" ht="15.75" x14ac:dyDescent="0.25">
      <c r="R97" s="154" t="s">
        <v>1691</v>
      </c>
      <c r="AA97" t="s">
        <v>2919</v>
      </c>
      <c r="AB97" s="763">
        <f>AB94*'Conversion Factors'!$D$14/'Conversion Factors'!$D$13</f>
        <v>0.73351351351351335</v>
      </c>
      <c r="AC97" s="763">
        <f>AC94*'Conversion Factors'!$D$14/'Conversion Factors'!$D$13</f>
        <v>0.73351351351351335</v>
      </c>
      <c r="AD97" s="763">
        <f>AD94*'Conversion Factors'!$D$14/'Conversion Factors'!$D$13</f>
        <v>0.73351351351351335</v>
      </c>
    </row>
    <row r="98" spans="18:30" ht="15.75" thickBot="1" x14ac:dyDescent="0.3">
      <c r="R98" s="83" t="s">
        <v>208</v>
      </c>
      <c r="S98" s="83">
        <v>2020</v>
      </c>
      <c r="T98" s="83">
        <v>2025</v>
      </c>
      <c r="U98" s="83">
        <v>2030</v>
      </c>
      <c r="V98" s="83">
        <v>2035</v>
      </c>
      <c r="W98" s="83">
        <v>2040</v>
      </c>
      <c r="X98" s="83">
        <v>2045</v>
      </c>
      <c r="Y98" s="83">
        <v>2050</v>
      </c>
    </row>
    <row r="99" spans="18:30" ht="15.75" thickTop="1" x14ac:dyDescent="0.25">
      <c r="R99" t="s">
        <v>1692</v>
      </c>
      <c r="S99" s="189">
        <v>15.187539691943099</v>
      </c>
      <c r="T99" s="189">
        <v>13.1947805687204</v>
      </c>
      <c r="U99" s="189">
        <v>11.935253554502401</v>
      </c>
      <c r="V99" s="189">
        <v>11.114805592417101</v>
      </c>
      <c r="W99" s="189">
        <v>10.6365114691943</v>
      </c>
      <c r="X99" s="189">
        <v>10.3249642654028</v>
      </c>
      <c r="Y99" s="189">
        <v>10.2326658767773</v>
      </c>
    </row>
    <row r="101" spans="18:30" ht="15.75" x14ac:dyDescent="0.25">
      <c r="R101" s="154" t="s">
        <v>1702</v>
      </c>
      <c r="AA101" s="154" t="s">
        <v>2862</v>
      </c>
    </row>
    <row r="102" spans="18:30" ht="15.75" thickBot="1" x14ac:dyDescent="0.3">
      <c r="R102" s="83" t="s">
        <v>82</v>
      </c>
      <c r="S102" s="83">
        <v>2020</v>
      </c>
      <c r="T102" s="83">
        <v>2025</v>
      </c>
      <c r="U102" s="83">
        <v>2030</v>
      </c>
      <c r="V102" s="83">
        <v>2035</v>
      </c>
      <c r="W102" s="83">
        <v>2040</v>
      </c>
      <c r="X102" s="83">
        <v>2045</v>
      </c>
      <c r="Y102" s="83">
        <v>2050</v>
      </c>
      <c r="AA102" s="83" t="s">
        <v>82</v>
      </c>
      <c r="AB102" s="83">
        <v>2023</v>
      </c>
      <c r="AC102" s="83">
        <v>2030</v>
      </c>
      <c r="AD102" s="79" t="s">
        <v>2867</v>
      </c>
    </row>
    <row r="103" spans="18:30" ht="15.75" thickTop="1" x14ac:dyDescent="0.25">
      <c r="R103" t="s">
        <v>1697</v>
      </c>
      <c r="S103" s="267">
        <v>113.74</v>
      </c>
      <c r="T103" s="267">
        <v>113.74</v>
      </c>
      <c r="U103" s="267">
        <v>113.74</v>
      </c>
      <c r="V103" s="267">
        <v>113.74</v>
      </c>
      <c r="W103" s="267">
        <v>113.74</v>
      </c>
      <c r="X103" s="267">
        <v>113.74</v>
      </c>
      <c r="Y103" s="267">
        <v>113.74</v>
      </c>
      <c r="AA103" t="s">
        <v>2853</v>
      </c>
      <c r="AB103" s="284">
        <v>2160</v>
      </c>
      <c r="AC103" s="284">
        <v>960</v>
      </c>
      <c r="AD103" s="284">
        <v>450</v>
      </c>
    </row>
    <row r="104" spans="18:30" x14ac:dyDescent="0.25">
      <c r="R104" t="s">
        <v>1709</v>
      </c>
      <c r="S104" s="267">
        <v>704.55531440000004</v>
      </c>
      <c r="T104" s="267">
        <v>704.55531440000004</v>
      </c>
      <c r="U104" s="267">
        <v>704.55531440000004</v>
      </c>
      <c r="V104" s="267">
        <v>704.55531440000004</v>
      </c>
      <c r="W104" s="267">
        <v>704.55531440000004</v>
      </c>
      <c r="X104" s="267">
        <v>704.55531440000004</v>
      </c>
      <c r="Y104" s="267">
        <v>704.55531440000004</v>
      </c>
      <c r="AA104" t="s">
        <v>2859</v>
      </c>
      <c r="AB104" s="284">
        <v>720</v>
      </c>
      <c r="AC104" s="284">
        <v>720</v>
      </c>
      <c r="AD104" s="284">
        <v>720</v>
      </c>
    </row>
    <row r="105" spans="18:30" x14ac:dyDescent="0.25">
      <c r="R105" t="s">
        <v>1695</v>
      </c>
      <c r="S105" s="267">
        <v>44.59</v>
      </c>
      <c r="T105" s="267">
        <v>38.15</v>
      </c>
      <c r="U105" s="267">
        <v>32.17</v>
      </c>
      <c r="V105" s="267">
        <v>28.78</v>
      </c>
      <c r="W105" s="267">
        <v>25.5</v>
      </c>
      <c r="X105" s="267">
        <v>22.34</v>
      </c>
      <c r="Y105" s="267">
        <v>19.28</v>
      </c>
      <c r="AA105" t="s">
        <v>2920</v>
      </c>
      <c r="AB105" s="284">
        <v>1420</v>
      </c>
      <c r="AC105" s="284">
        <v>1420</v>
      </c>
      <c r="AD105" s="284">
        <v>1420</v>
      </c>
    </row>
    <row r="106" spans="18:30" x14ac:dyDescent="0.25">
      <c r="R106" t="s">
        <v>1696</v>
      </c>
      <c r="S106" s="267">
        <v>28.86</v>
      </c>
      <c r="T106" s="267">
        <v>28.86</v>
      </c>
      <c r="U106" s="267">
        <v>28.86</v>
      </c>
      <c r="V106" s="267">
        <v>28.86</v>
      </c>
      <c r="W106" s="267">
        <v>28.86</v>
      </c>
      <c r="X106" s="267">
        <v>28.86</v>
      </c>
      <c r="Y106" s="267">
        <v>28.86</v>
      </c>
      <c r="AA106" t="s">
        <v>2861</v>
      </c>
      <c r="AB106" s="284">
        <f>AB103/AB95 * USD2023_to_CAD2020</f>
        <v>3179.4426654888744</v>
      </c>
      <c r="AC106" s="284">
        <f>AC103/AC95 * USD2023_to_CAD2020</f>
        <v>1351.6471234928551</v>
      </c>
      <c r="AD106" s="284">
        <f>AD103/AD95 * USD2017_to_CAD2020</f>
        <v>708.35223228443567</v>
      </c>
    </row>
    <row r="107" spans="18:30" x14ac:dyDescent="0.25">
      <c r="R107" t="s">
        <v>1708</v>
      </c>
      <c r="S107" s="267">
        <v>263.74</v>
      </c>
      <c r="T107" s="267">
        <v>263.74</v>
      </c>
      <c r="U107" s="267">
        <v>263.74</v>
      </c>
      <c r="V107" s="267">
        <v>263.74</v>
      </c>
      <c r="W107" s="267">
        <v>263.74</v>
      </c>
      <c r="X107" s="267">
        <v>263.74</v>
      </c>
      <c r="Y107" s="267">
        <v>263.74</v>
      </c>
      <c r="AA107" t="s">
        <v>2913</v>
      </c>
      <c r="AB107" s="284">
        <f t="shared" ref="AB107:AD108" si="25">AB104/H2_HHV_by_LHV * USD2023_to_CAD2020</f>
        <v>699.47738640755233</v>
      </c>
      <c r="AC107" s="284">
        <f t="shared" si="25"/>
        <v>699.47738640755233</v>
      </c>
      <c r="AD107" s="284">
        <f t="shared" si="25"/>
        <v>699.47738640755233</v>
      </c>
    </row>
    <row r="108" spans="18:30" x14ac:dyDescent="0.25">
      <c r="R108" s="58" t="s">
        <v>1704</v>
      </c>
      <c r="AA108" t="s">
        <v>2921</v>
      </c>
      <c r="AB108" s="284">
        <f t="shared" si="25"/>
        <v>1379.524845414895</v>
      </c>
      <c r="AC108" s="284">
        <f t="shared" si="25"/>
        <v>1379.524845414895</v>
      </c>
      <c r="AD108" s="284">
        <f t="shared" si="25"/>
        <v>1379.524845414895</v>
      </c>
    </row>
    <row r="110" spans="18:30" ht="15.75" x14ac:dyDescent="0.25">
      <c r="R110" s="154" t="s">
        <v>1703</v>
      </c>
      <c r="AA110" s="154" t="s">
        <v>2860</v>
      </c>
    </row>
    <row r="111" spans="18:30" ht="15.75" thickBot="1" x14ac:dyDescent="0.3">
      <c r="R111" s="83" t="s">
        <v>82</v>
      </c>
      <c r="S111" s="83">
        <v>2020</v>
      </c>
      <c r="T111" s="83">
        <v>2025</v>
      </c>
      <c r="U111" s="83">
        <v>2030</v>
      </c>
      <c r="V111" s="83">
        <v>2035</v>
      </c>
      <c r="W111" s="83">
        <v>2040</v>
      </c>
      <c r="X111" s="83">
        <v>2045</v>
      </c>
      <c r="Y111" s="83">
        <v>2050</v>
      </c>
      <c r="AA111" s="83" t="s">
        <v>82</v>
      </c>
      <c r="AB111" s="83">
        <v>2023</v>
      </c>
      <c r="AC111" s="83">
        <v>2030</v>
      </c>
      <c r="AD111" s="79" t="s">
        <v>2867</v>
      </c>
    </row>
    <row r="112" spans="18:30" ht="15.75" thickTop="1" x14ac:dyDescent="0.25">
      <c r="R112" t="s">
        <v>1697</v>
      </c>
      <c r="S112" s="267">
        <v>4.55</v>
      </c>
      <c r="T112" s="267">
        <v>4.55</v>
      </c>
      <c r="U112" s="267">
        <v>4.55</v>
      </c>
      <c r="V112" s="267">
        <v>4.55</v>
      </c>
      <c r="W112" s="267">
        <v>4.55</v>
      </c>
      <c r="X112" s="267">
        <v>4.55</v>
      </c>
      <c r="Y112" s="267">
        <v>4.55</v>
      </c>
      <c r="AA112" t="s">
        <v>2863</v>
      </c>
      <c r="AB112" s="80">
        <v>0.03</v>
      </c>
      <c r="AC112" s="80">
        <v>0.03</v>
      </c>
      <c r="AD112" s="80">
        <v>0.03</v>
      </c>
    </row>
    <row r="113" spans="18:30" x14ac:dyDescent="0.25">
      <c r="R113" t="s">
        <v>1695</v>
      </c>
      <c r="S113" s="267">
        <v>0.67</v>
      </c>
      <c r="T113" s="267">
        <v>0.56999999999999995</v>
      </c>
      <c r="U113" s="267">
        <v>0.48</v>
      </c>
      <c r="V113" s="267">
        <v>0.43</v>
      </c>
      <c r="W113" s="267">
        <v>0.38</v>
      </c>
      <c r="X113" s="267">
        <v>0.34</v>
      </c>
      <c r="Y113" s="267">
        <v>0.28999999999999998</v>
      </c>
      <c r="AA113" t="s">
        <v>2864</v>
      </c>
      <c r="AB113" s="80">
        <v>0.05</v>
      </c>
      <c r="AC113" s="80">
        <v>0.05</v>
      </c>
      <c r="AD113" s="80">
        <v>0.05</v>
      </c>
    </row>
    <row r="114" spans="18:30" x14ac:dyDescent="0.25">
      <c r="R114" t="s">
        <v>1696</v>
      </c>
      <c r="S114" s="267">
        <v>1.36</v>
      </c>
      <c r="T114" s="267">
        <v>1.36</v>
      </c>
      <c r="U114" s="267">
        <v>1.36</v>
      </c>
      <c r="V114" s="267">
        <v>1.36</v>
      </c>
      <c r="W114" s="267">
        <v>1.36</v>
      </c>
      <c r="X114" s="267">
        <v>1.36</v>
      </c>
      <c r="Y114" s="267">
        <v>1.36</v>
      </c>
      <c r="AA114" t="s">
        <v>2955</v>
      </c>
      <c r="AB114" s="80">
        <v>0.04</v>
      </c>
      <c r="AC114" s="80">
        <v>0.04</v>
      </c>
      <c r="AD114" s="80">
        <v>0.04</v>
      </c>
    </row>
    <row r="115" spans="18:30" x14ac:dyDescent="0.25">
      <c r="R115" s="58" t="s">
        <v>1704</v>
      </c>
      <c r="S115" s="267"/>
      <c r="T115" s="267"/>
      <c r="U115" s="267"/>
      <c r="V115" s="267"/>
      <c r="W115" s="267"/>
      <c r="X115" s="267"/>
      <c r="Y115" s="267"/>
      <c r="AA115" t="s">
        <v>2861</v>
      </c>
      <c r="AB115" s="284">
        <f t="shared" ref="AB115:AD117" si="26">AB106*AB112</f>
        <v>95.383279964666229</v>
      </c>
      <c r="AC115" s="284">
        <f t="shared" si="26"/>
        <v>40.54941370478565</v>
      </c>
      <c r="AD115" s="284">
        <f t="shared" si="26"/>
        <v>21.250566968533068</v>
      </c>
    </row>
    <row r="116" spans="18:30" x14ac:dyDescent="0.25">
      <c r="AA116" t="s">
        <v>2865</v>
      </c>
      <c r="AB116" s="284">
        <f t="shared" si="26"/>
        <v>34.973869320377617</v>
      </c>
      <c r="AC116" s="284">
        <f t="shared" si="26"/>
        <v>34.973869320377617</v>
      </c>
      <c r="AD116" s="284">
        <f t="shared" si="26"/>
        <v>34.973869320377617</v>
      </c>
    </row>
    <row r="117" spans="18:30" ht="15.75" x14ac:dyDescent="0.25">
      <c r="R117" s="154" t="s">
        <v>1705</v>
      </c>
      <c r="AA117" t="s">
        <v>2956</v>
      </c>
      <c r="AB117" s="284">
        <f t="shared" si="26"/>
        <v>55.180993816595802</v>
      </c>
      <c r="AC117" s="284">
        <f t="shared" si="26"/>
        <v>55.180993816595802</v>
      </c>
      <c r="AD117" s="284">
        <f t="shared" si="26"/>
        <v>55.180993816595802</v>
      </c>
    </row>
    <row r="118" spans="18:30" ht="15.75" thickBot="1" x14ac:dyDescent="0.3">
      <c r="R118" s="83" t="s">
        <v>82</v>
      </c>
      <c r="S118" s="83">
        <v>2020</v>
      </c>
      <c r="T118" s="83">
        <v>2025</v>
      </c>
      <c r="U118" s="83">
        <v>2030</v>
      </c>
      <c r="V118" s="83">
        <v>2035</v>
      </c>
      <c r="W118" s="83">
        <v>2040</v>
      </c>
      <c r="X118" s="83">
        <v>2045</v>
      </c>
      <c r="Y118" s="83">
        <v>2050</v>
      </c>
      <c r="AA118" s="58" t="s">
        <v>2868</v>
      </c>
    </row>
    <row r="119" spans="18:30" ht="15.75" thickTop="1" x14ac:dyDescent="0.25">
      <c r="R119" t="s">
        <v>1706</v>
      </c>
      <c r="S119" s="267">
        <v>4.17</v>
      </c>
      <c r="T119" s="267">
        <v>4.17</v>
      </c>
      <c r="U119" s="267">
        <v>4.17</v>
      </c>
      <c r="V119" s="267">
        <v>4.17</v>
      </c>
      <c r="W119" s="267">
        <v>4.17</v>
      </c>
      <c r="X119" s="267">
        <v>4.17</v>
      </c>
      <c r="Y119" s="267">
        <v>4.17</v>
      </c>
    </row>
    <row r="120" spans="18:30" x14ac:dyDescent="0.25">
      <c r="R120" s="58" t="s">
        <v>1707</v>
      </c>
    </row>
  </sheetData>
  <mergeCells count="9">
    <mergeCell ref="A30:J30"/>
    <mergeCell ref="A53:J53"/>
    <mergeCell ref="AA2:AH2"/>
    <mergeCell ref="M1:P8"/>
    <mergeCell ref="A2:J2"/>
    <mergeCell ref="R2:Y2"/>
    <mergeCell ref="A18:J18"/>
    <mergeCell ref="R30:Y30"/>
    <mergeCell ref="AA47:AC54"/>
  </mergeCells>
  <hyperlinks>
    <hyperlink ref="A1" r:id="rId1" xr:uid="{9861798D-F6A7-44FF-909B-87653798E9BC}"/>
    <hyperlink ref="R1" r:id="rId2" xr:uid="{E4D93025-A8E1-404A-811A-D763DD2278D0}"/>
    <hyperlink ref="AA90" r:id="rId3" location="downloads" xr:uid="{C08D771A-CA13-4F1C-8759-9C8EF50F1509}"/>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230AE-1CCB-41BE-9EA6-49C55C8DF3C2}">
  <sheetPr codeName="Sheet23">
    <tabColor theme="7" tint="0.59999389629810485"/>
  </sheetPr>
  <dimension ref="A1:AL275"/>
  <sheetViews>
    <sheetView workbookViewId="0"/>
  </sheetViews>
  <sheetFormatPr defaultRowHeight="15" x14ac:dyDescent="0.25"/>
  <cols>
    <col min="1" max="1" width="45.42578125" bestFit="1" customWidth="1"/>
    <col min="2" max="2" width="11.42578125" style="108" customWidth="1"/>
    <col min="3" max="4" width="11.42578125" style="106" customWidth="1"/>
    <col min="5" max="11" width="10.42578125" style="69" bestFit="1" customWidth="1"/>
    <col min="14" max="14" width="37.5703125" bestFit="1" customWidth="1"/>
    <col min="27" max="27" width="9.85546875" customWidth="1"/>
    <col min="28" max="28" width="20.42578125" bestFit="1" customWidth="1"/>
  </cols>
  <sheetData>
    <row r="1" spans="1:38" x14ac:dyDescent="0.25">
      <c r="A1" s="253" t="s">
        <v>1374</v>
      </c>
      <c r="B1" s="50" t="s">
        <v>487</v>
      </c>
      <c r="C1" s="104" t="s">
        <v>488</v>
      </c>
      <c r="D1" s="104" t="s">
        <v>490</v>
      </c>
      <c r="E1" s="847" t="s">
        <v>489</v>
      </c>
      <c r="F1" s="848"/>
      <c r="G1" s="848"/>
      <c r="H1" s="848"/>
      <c r="I1" s="848"/>
      <c r="J1" s="848"/>
      <c r="K1" s="848"/>
      <c r="L1" s="849"/>
    </row>
    <row r="2" spans="1:38" ht="18.75" x14ac:dyDescent="0.3">
      <c r="A2" s="943" t="s">
        <v>498</v>
      </c>
      <c r="B2" s="943"/>
      <c r="C2" s="943"/>
      <c r="D2" s="943"/>
      <c r="E2" s="943"/>
      <c r="F2" s="943"/>
      <c r="G2" s="943"/>
      <c r="H2" s="943"/>
      <c r="I2" s="943"/>
      <c r="J2" s="943"/>
      <c r="K2" s="943"/>
      <c r="L2" s="943"/>
      <c r="N2" s="943" t="s">
        <v>470</v>
      </c>
      <c r="O2" s="944"/>
      <c r="P2" s="944"/>
      <c r="Q2" s="944"/>
      <c r="R2" s="943"/>
      <c r="S2" s="943"/>
      <c r="T2" s="943"/>
      <c r="U2" s="943"/>
      <c r="V2" s="943"/>
      <c r="W2" s="943"/>
      <c r="X2" s="943"/>
      <c r="Y2" s="943"/>
    </row>
    <row r="3" spans="1:38" ht="15.75" thickBot="1" x14ac:dyDescent="0.3">
      <c r="A3" s="25"/>
      <c r="B3" s="107">
        <v>2010</v>
      </c>
      <c r="C3" s="105">
        <v>2015</v>
      </c>
      <c r="D3" s="105">
        <v>2020</v>
      </c>
      <c r="E3" s="83">
        <v>2023</v>
      </c>
      <c r="F3" s="83">
        <v>2025</v>
      </c>
      <c r="G3" s="83">
        <v>2030</v>
      </c>
      <c r="H3" s="83">
        <v>2035</v>
      </c>
      <c r="I3" s="83">
        <v>2040</v>
      </c>
      <c r="J3" s="83">
        <v>2045</v>
      </c>
      <c r="K3" s="83">
        <v>2050</v>
      </c>
      <c r="L3" s="83" t="s">
        <v>825</v>
      </c>
      <c r="N3" s="25"/>
      <c r="O3" s="83">
        <v>2010</v>
      </c>
      <c r="P3" s="83">
        <v>2015</v>
      </c>
      <c r="Q3" s="83">
        <v>2020</v>
      </c>
      <c r="R3" s="83">
        <v>2023</v>
      </c>
      <c r="S3" s="83">
        <v>2025</v>
      </c>
      <c r="T3" s="83">
        <v>2030</v>
      </c>
      <c r="U3" s="83">
        <v>2035</v>
      </c>
      <c r="V3" s="83">
        <v>2040</v>
      </c>
      <c r="W3" s="83">
        <v>2045</v>
      </c>
      <c r="X3" s="83">
        <v>2050</v>
      </c>
      <c r="Y3" s="83" t="s">
        <v>825</v>
      </c>
      <c r="AC3" s="26">
        <v>2010</v>
      </c>
      <c r="AD3" s="26">
        <v>2015</v>
      </c>
      <c r="AE3" s="26">
        <v>2020</v>
      </c>
      <c r="AF3" s="26">
        <v>2023</v>
      </c>
      <c r="AG3" s="26">
        <v>2025</v>
      </c>
      <c r="AH3" s="26">
        <v>2030</v>
      </c>
      <c r="AI3" s="26">
        <v>2035</v>
      </c>
      <c r="AJ3" s="26">
        <v>2040</v>
      </c>
      <c r="AK3" s="26">
        <v>2045</v>
      </c>
      <c r="AL3" s="26">
        <v>2050</v>
      </c>
    </row>
    <row r="4" spans="1:38" ht="15.75" thickTop="1" x14ac:dyDescent="0.25">
      <c r="A4" t="s">
        <v>97</v>
      </c>
      <c r="N4" t="s">
        <v>97</v>
      </c>
      <c r="O4" s="69"/>
      <c r="P4" s="69"/>
      <c r="Q4" s="69"/>
      <c r="R4" s="69"/>
      <c r="S4" s="69"/>
      <c r="T4" s="69"/>
      <c r="U4" s="69"/>
      <c r="V4" s="69"/>
      <c r="W4" s="69"/>
      <c r="X4" s="69"/>
      <c r="AA4" t="s">
        <v>8</v>
      </c>
      <c r="AB4" t="s">
        <v>97</v>
      </c>
      <c r="AC4" s="69">
        <f>AVERAGE(O5:O12)</f>
        <v>7.3295995970169514</v>
      </c>
      <c r="AD4" s="69">
        <f t="shared" ref="AD4:AL4" si="0">AVERAGE(P5:P12)</f>
        <v>7.1761341997851149</v>
      </c>
      <c r="AE4" s="69">
        <f t="shared" si="0"/>
        <v>6.2569042371087358</v>
      </c>
      <c r="AF4" s="69">
        <f t="shared" si="0"/>
        <v>5.9409609845663081</v>
      </c>
      <c r="AG4" s="69">
        <f t="shared" si="0"/>
        <v>5.6392584498624805</v>
      </c>
      <c r="AH4" s="69">
        <f t="shared" si="0"/>
        <v>5.3540826318578718</v>
      </c>
      <c r="AI4" s="69">
        <f t="shared" si="0"/>
        <v>5.3108502784711433</v>
      </c>
      <c r="AJ4" s="69">
        <f t="shared" si="0"/>
        <v>5.2374848081417875</v>
      </c>
      <c r="AK4" s="69">
        <f t="shared" si="0"/>
        <v>5.2379491312049788</v>
      </c>
      <c r="AL4" s="69">
        <f t="shared" si="0"/>
        <v>5.2334250531942637</v>
      </c>
    </row>
    <row r="5" spans="1:38" x14ac:dyDescent="0.25">
      <c r="A5" s="71" t="s">
        <v>471</v>
      </c>
      <c r="B5" s="108">
        <v>31.658473999999998</v>
      </c>
      <c r="C5" s="106">
        <v>36.202274000000003</v>
      </c>
      <c r="D5" s="106">
        <v>36.271439000000001</v>
      </c>
      <c r="E5" s="69">
        <v>31.963123</v>
      </c>
      <c r="F5" s="69">
        <v>33.467635999999999</v>
      </c>
      <c r="G5" s="69">
        <v>35.954079</v>
      </c>
      <c r="H5" s="69">
        <v>37.045166000000002</v>
      </c>
      <c r="I5" s="69">
        <v>37.892277</v>
      </c>
      <c r="J5" s="69">
        <v>37.950974000000002</v>
      </c>
      <c r="K5" s="69">
        <v>38.029052999999998</v>
      </c>
      <c r="L5" s="27">
        <v>7.0000000000000001E-3</v>
      </c>
      <c r="N5" s="71" t="s">
        <v>471</v>
      </c>
      <c r="O5" s="69">
        <f t="shared" ref="O5:O20" si="1">IFERROR(L_100km_to_mpg/B5, "")</f>
        <v>7.4297680690935435</v>
      </c>
      <c r="P5" s="69">
        <f t="shared" ref="P5:P20" si="2">IFERROR(L_100km_to_mpg/C5, "")</f>
        <v>6.4972470856783229</v>
      </c>
      <c r="Q5" s="69">
        <f t="shared" ref="Q5:Q20" si="3">IFERROR(L_100km_to_mpg/D5, "")</f>
        <v>6.4848576655982173</v>
      </c>
      <c r="R5" s="69">
        <f t="shared" ref="R5:R20" si="4">IFERROR(L_100km_to_mpg/E5, "")</f>
        <v>7.3589529797018942</v>
      </c>
      <c r="S5" s="69">
        <f t="shared" ref="S5:S20" si="5">IFERROR(L_100km_to_mpg/F5, "")</f>
        <v>7.028136652419315</v>
      </c>
      <c r="T5" s="69">
        <f t="shared" ref="T5:T20" si="6">IFERROR(L_100km_to_mpg/G5, "")</f>
        <v>6.5420983038232778</v>
      </c>
      <c r="U5" s="69">
        <f t="shared" ref="U5:U20" si="7">IFERROR(L_100km_to_mpg/H5, "")</f>
        <v>6.349414637295137</v>
      </c>
      <c r="V5" s="69">
        <f t="shared" ref="V5:V20" si="8">IFERROR(L_100km_to_mpg/I5, "")</f>
        <v>6.2074685889535788</v>
      </c>
      <c r="W5" s="69">
        <f t="shared" ref="W5:W20" si="9">IFERROR(L_100km_to_mpg/J5, "")</f>
        <v>6.1978677870409369</v>
      </c>
      <c r="X5" s="69">
        <f t="shared" ref="X5:X20" si="10">IFERROR(L_100km_to_mpg/K5, "")</f>
        <v>6.185142691863196</v>
      </c>
      <c r="Y5" s="27">
        <v>7.0000000000000001E-3</v>
      </c>
      <c r="Z5" s="69"/>
      <c r="AA5" t="s">
        <v>240</v>
      </c>
      <c r="AB5" t="s">
        <v>97</v>
      </c>
      <c r="AC5" s="69">
        <f>AVERAGE(O13:O20)</f>
        <v>9.4976159978517281</v>
      </c>
      <c r="AD5" s="69">
        <f t="shared" ref="AD5:AL5" si="11">AVERAGE(P13:P20)</f>
        <v>8.6565269826848841</v>
      </c>
      <c r="AE5" s="69">
        <f t="shared" si="11"/>
        <v>7.9577226323786467</v>
      </c>
      <c r="AF5" s="69">
        <f t="shared" si="11"/>
        <v>7.2461606641884853</v>
      </c>
      <c r="AG5" s="69">
        <f t="shared" si="11"/>
        <v>6.7836940231770662</v>
      </c>
      <c r="AH5" s="69">
        <f t="shared" si="11"/>
        <v>6.3146440574482847</v>
      </c>
      <c r="AI5" s="69">
        <f t="shared" si="11"/>
        <v>6.1895299153337602</v>
      </c>
      <c r="AJ5" s="69">
        <f t="shared" si="11"/>
        <v>6.0803033245316795</v>
      </c>
      <c r="AK5" s="69">
        <f t="shared" si="11"/>
        <v>6.068118549359772</v>
      </c>
      <c r="AL5" s="69">
        <f t="shared" si="11"/>
        <v>6.0618575278180229</v>
      </c>
    </row>
    <row r="6" spans="1:38" x14ac:dyDescent="0.25">
      <c r="A6" s="71" t="s">
        <v>472</v>
      </c>
      <c r="B6" s="108">
        <v>34.502921999999998</v>
      </c>
      <c r="C6" s="106">
        <v>34.398453000000003</v>
      </c>
      <c r="D6" s="106">
        <v>35.88026</v>
      </c>
      <c r="E6" s="69">
        <v>35.479610000000001</v>
      </c>
      <c r="F6" s="69">
        <v>37.248641999999997</v>
      </c>
      <c r="G6" s="69">
        <v>39.182842000000001</v>
      </c>
      <c r="H6" s="69">
        <v>39.796222999999998</v>
      </c>
      <c r="I6" s="69">
        <v>40.618614000000001</v>
      </c>
      <c r="J6" s="69">
        <v>40.608753</v>
      </c>
      <c r="K6" s="69">
        <v>40.588431999999997</v>
      </c>
      <c r="L6" s="27">
        <v>5.0000000000000001E-3</v>
      </c>
      <c r="N6" s="71" t="s">
        <v>472</v>
      </c>
      <c r="O6" s="69">
        <f t="shared" si="1"/>
        <v>6.8172521516127871</v>
      </c>
      <c r="P6" s="69">
        <f t="shared" si="2"/>
        <v>6.8379563244145922</v>
      </c>
      <c r="Q6" s="69">
        <f t="shared" si="3"/>
        <v>6.5555578259864378</v>
      </c>
      <c r="R6" s="69">
        <f t="shared" si="4"/>
        <v>6.6295858167952844</v>
      </c>
      <c r="S6" s="69">
        <f t="shared" si="5"/>
        <v>6.3147300575797676</v>
      </c>
      <c r="T6" s="69">
        <f t="shared" si="6"/>
        <v>6.0030132383309036</v>
      </c>
      <c r="U6" s="69">
        <f t="shared" si="7"/>
        <v>5.910488521521958</v>
      </c>
      <c r="V6" s="69">
        <f t="shared" si="8"/>
        <v>5.790820908892365</v>
      </c>
      <c r="W6" s="69">
        <f t="shared" si="9"/>
        <v>5.7922270905838484</v>
      </c>
      <c r="X6" s="69">
        <f t="shared" si="10"/>
        <v>5.7951270263760906</v>
      </c>
      <c r="Y6" s="27">
        <v>5.0000000000000001E-3</v>
      </c>
      <c r="Z6" s="69"/>
    </row>
    <row r="7" spans="1:38" x14ac:dyDescent="0.25">
      <c r="A7" s="71" t="s">
        <v>473</v>
      </c>
      <c r="B7" s="108">
        <v>35.103760000000001</v>
      </c>
      <c r="C7" s="106">
        <v>39.188991999999999</v>
      </c>
      <c r="D7" s="106">
        <v>42.915222</v>
      </c>
      <c r="E7" s="69">
        <v>49.952590999999998</v>
      </c>
      <c r="F7" s="69">
        <v>52.342486999999998</v>
      </c>
      <c r="G7" s="69">
        <v>54.663063000000001</v>
      </c>
      <c r="H7" s="69">
        <v>54.320480000000003</v>
      </c>
      <c r="I7" s="69">
        <v>54.488292999999999</v>
      </c>
      <c r="J7" s="69">
        <v>54.308017999999997</v>
      </c>
      <c r="K7" s="69">
        <v>54.219757000000001</v>
      </c>
      <c r="L7" s="27">
        <v>4.0000000000000001E-3</v>
      </c>
      <c r="N7" s="71" t="s">
        <v>473</v>
      </c>
      <c r="O7" s="69">
        <f t="shared" si="1"/>
        <v>6.7005676668661174</v>
      </c>
      <c r="P7" s="69">
        <f t="shared" si="2"/>
        <v>6.0020711745131932</v>
      </c>
      <c r="Q7" s="69">
        <f t="shared" si="3"/>
        <v>5.4809251421658294</v>
      </c>
      <c r="R7" s="69">
        <f t="shared" si="4"/>
        <v>4.7087671436588376</v>
      </c>
      <c r="S7" s="69">
        <f t="shared" si="5"/>
        <v>4.49377040952273</v>
      </c>
      <c r="T7" s="69">
        <f t="shared" si="6"/>
        <v>4.3029992527390597</v>
      </c>
      <c r="U7" s="69">
        <f t="shared" si="7"/>
        <v>4.3301369804064347</v>
      </c>
      <c r="V7" s="69">
        <f t="shared" si="8"/>
        <v>4.3168010280929181</v>
      </c>
      <c r="W7" s="69">
        <f t="shared" si="9"/>
        <v>4.3311306120843547</v>
      </c>
      <c r="X7" s="69">
        <f t="shared" si="10"/>
        <v>4.3381809926117549</v>
      </c>
      <c r="Y7" s="27">
        <v>4.0000000000000001E-3</v>
      </c>
    </row>
    <row r="8" spans="1:38" x14ac:dyDescent="0.25">
      <c r="A8" s="71" t="s">
        <v>474</v>
      </c>
      <c r="B8" s="108">
        <v>35.751606000000002</v>
      </c>
      <c r="C8" s="106">
        <v>37.783638000000003</v>
      </c>
      <c r="D8" s="106">
        <v>46.596569000000002</v>
      </c>
      <c r="E8" s="69">
        <v>49.525931999999997</v>
      </c>
      <c r="F8" s="69">
        <v>51.727921000000002</v>
      </c>
      <c r="G8" s="69">
        <v>53.658656999999998</v>
      </c>
      <c r="H8" s="69">
        <v>52.943260000000002</v>
      </c>
      <c r="I8" s="69">
        <v>53.141795999999999</v>
      </c>
      <c r="J8" s="69">
        <v>52.922595999999999</v>
      </c>
      <c r="K8" s="69">
        <v>52.834254999999999</v>
      </c>
      <c r="L8" s="27">
        <v>3.0000000000000001E-3</v>
      </c>
      <c r="N8" s="71" t="s">
        <v>474</v>
      </c>
      <c r="O8" s="69">
        <f t="shared" si="1"/>
        <v>6.5791483392781887</v>
      </c>
      <c r="P8" s="69">
        <f t="shared" si="2"/>
        <v>6.2253168750300887</v>
      </c>
      <c r="Q8" s="69">
        <f t="shared" si="3"/>
        <v>5.0479064079037261</v>
      </c>
      <c r="R8" s="69">
        <f t="shared" si="4"/>
        <v>4.7493325161741158</v>
      </c>
      <c r="S8" s="69">
        <f t="shared" si="5"/>
        <v>4.5471597291031305</v>
      </c>
      <c r="T8" s="69">
        <f t="shared" si="6"/>
        <v>4.3835446578811723</v>
      </c>
      <c r="U8" s="69">
        <f t="shared" si="7"/>
        <v>4.4427774043651285</v>
      </c>
      <c r="V8" s="69">
        <f t="shared" si="8"/>
        <v>4.4261793342744404</v>
      </c>
      <c r="W8" s="69">
        <f t="shared" si="9"/>
        <v>4.4445121180644307</v>
      </c>
      <c r="X8" s="69">
        <f t="shared" si="10"/>
        <v>4.4519435211384764</v>
      </c>
      <c r="Y8" s="27">
        <v>3.0000000000000001E-3</v>
      </c>
    </row>
    <row r="9" spans="1:38" x14ac:dyDescent="0.25">
      <c r="A9" s="71" t="s">
        <v>475</v>
      </c>
      <c r="B9" s="108">
        <v>30.508196000000002</v>
      </c>
      <c r="C9" s="106">
        <v>29.247237999999999</v>
      </c>
      <c r="D9" s="106">
        <v>39.309981999999998</v>
      </c>
      <c r="E9" s="69">
        <v>43.276446999999997</v>
      </c>
      <c r="F9" s="69">
        <v>45.005558000000001</v>
      </c>
      <c r="G9" s="69">
        <v>47.286644000000003</v>
      </c>
      <c r="H9" s="69">
        <v>47.039721999999998</v>
      </c>
      <c r="I9" s="69">
        <v>47.451507999999997</v>
      </c>
      <c r="J9" s="69">
        <v>47.348849999999999</v>
      </c>
      <c r="K9" s="69">
        <v>47.361739999999998</v>
      </c>
      <c r="L9" s="27">
        <v>4.0000000000000001E-3</v>
      </c>
      <c r="N9" s="71" t="s">
        <v>475</v>
      </c>
      <c r="O9" s="69">
        <f t="shared" si="1"/>
        <v>7.7098993084162739</v>
      </c>
      <c r="P9" s="69">
        <f t="shared" si="2"/>
        <v>8.0423019514330942</v>
      </c>
      <c r="Q9" s="69">
        <f t="shared" si="3"/>
        <v>5.9835977345761222</v>
      </c>
      <c r="R9" s="69">
        <f t="shared" si="4"/>
        <v>5.4351763036699419</v>
      </c>
      <c r="S9" s="69">
        <f t="shared" si="5"/>
        <v>5.2263571366325055</v>
      </c>
      <c r="T9" s="69">
        <f t="shared" si="6"/>
        <v>4.9742400674792684</v>
      </c>
      <c r="U9" s="69">
        <f t="shared" si="7"/>
        <v>5.0003509638392032</v>
      </c>
      <c r="V9" s="69">
        <f t="shared" si="8"/>
        <v>4.9569577270637666</v>
      </c>
      <c r="W9" s="69">
        <f t="shared" si="9"/>
        <v>4.967705007437945</v>
      </c>
      <c r="X9" s="69">
        <f t="shared" si="10"/>
        <v>4.9663529938179671</v>
      </c>
      <c r="Y9" s="27">
        <v>4.0000000000000001E-3</v>
      </c>
    </row>
    <row r="10" spans="1:38" x14ac:dyDescent="0.25">
      <c r="A10" s="71" t="s">
        <v>476</v>
      </c>
      <c r="B10" s="108">
        <v>26.909523</v>
      </c>
      <c r="C10" s="106">
        <v>28.657793000000002</v>
      </c>
      <c r="D10" s="106">
        <v>29.985626</v>
      </c>
      <c r="E10" s="69">
        <v>31.296258999999999</v>
      </c>
      <c r="F10" s="69">
        <v>33.52581</v>
      </c>
      <c r="G10" s="69">
        <v>35.557896</v>
      </c>
      <c r="H10" s="69">
        <v>36.201549999999997</v>
      </c>
      <c r="I10" s="69">
        <v>36.913502000000001</v>
      </c>
      <c r="J10" s="69">
        <v>37.044623999999999</v>
      </c>
      <c r="K10" s="69">
        <v>37.118969</v>
      </c>
      <c r="L10" s="27">
        <v>7.0000000000000001E-3</v>
      </c>
      <c r="N10" s="71" t="s">
        <v>476</v>
      </c>
      <c r="O10" s="69">
        <f t="shared" si="1"/>
        <v>8.7409620468348006</v>
      </c>
      <c r="P10" s="69">
        <f t="shared" si="2"/>
        <v>8.2077192490513191</v>
      </c>
      <c r="Q10" s="69">
        <f t="shared" si="3"/>
        <v>7.8442624223162172</v>
      </c>
      <c r="R10" s="69">
        <f t="shared" si="4"/>
        <v>7.5157583288605885</v>
      </c>
      <c r="S10" s="69">
        <f t="shared" si="5"/>
        <v>7.0159414266628648</v>
      </c>
      <c r="T10" s="69">
        <f t="shared" si="6"/>
        <v>6.6149897969617815</v>
      </c>
      <c r="U10" s="69">
        <f t="shared" si="7"/>
        <v>6.497377025056335</v>
      </c>
      <c r="V10" s="69">
        <f t="shared" si="8"/>
        <v>6.3720618878541551</v>
      </c>
      <c r="W10" s="69">
        <f t="shared" si="9"/>
        <v>6.3495075355989075</v>
      </c>
      <c r="X10" s="69">
        <f t="shared" si="10"/>
        <v>6.3367902066845696</v>
      </c>
      <c r="Y10" s="27">
        <v>7.0000000000000001E-3</v>
      </c>
    </row>
    <row r="11" spans="1:38" x14ac:dyDescent="0.25">
      <c r="A11" s="71" t="s">
        <v>477</v>
      </c>
      <c r="C11" s="106">
        <v>32.481149908842653</v>
      </c>
      <c r="D11" s="106">
        <v>39.879131000000001</v>
      </c>
      <c r="E11" s="69">
        <v>44.346535000000003</v>
      </c>
      <c r="F11" s="69">
        <v>47.248157999999997</v>
      </c>
      <c r="G11" s="69">
        <v>49.688892000000003</v>
      </c>
      <c r="H11" s="69">
        <v>49.570267000000001</v>
      </c>
      <c r="I11" s="69">
        <v>50.041134</v>
      </c>
      <c r="J11" s="69">
        <v>50.022399999999998</v>
      </c>
      <c r="K11" s="69">
        <v>50.169387999999998</v>
      </c>
      <c r="L11" s="27">
        <v>5.0000000000000001E-3</v>
      </c>
      <c r="N11" s="71" t="s">
        <v>477</v>
      </c>
      <c r="O11" s="69" t="str">
        <f t="shared" si="1"/>
        <v/>
      </c>
      <c r="P11" s="69">
        <f t="shared" si="2"/>
        <v>7.2415884259501935</v>
      </c>
      <c r="Q11" s="69">
        <f t="shared" si="3"/>
        <v>5.8982007216112144</v>
      </c>
      <c r="R11" s="69">
        <f t="shared" si="4"/>
        <v>5.3040247505566809</v>
      </c>
      <c r="S11" s="69">
        <f t="shared" si="5"/>
        <v>4.9782918360844493</v>
      </c>
      <c r="T11" s="69">
        <f t="shared" si="6"/>
        <v>4.7337565756432669</v>
      </c>
      <c r="U11" s="69">
        <f t="shared" si="7"/>
        <v>4.745084775142085</v>
      </c>
      <c r="V11" s="69">
        <f t="shared" si="8"/>
        <v>4.7004354306085094</v>
      </c>
      <c r="W11" s="69">
        <f t="shared" si="9"/>
        <v>4.7021958011096663</v>
      </c>
      <c r="X11" s="69">
        <f t="shared" si="10"/>
        <v>4.6884191459825688</v>
      </c>
      <c r="Y11" s="27">
        <v>5.0000000000000001E-3</v>
      </c>
    </row>
    <row r="12" spans="1:38" x14ac:dyDescent="0.25">
      <c r="A12" s="71" t="s">
        <v>478</v>
      </c>
      <c r="C12" s="106">
        <v>28.153047086915564</v>
      </c>
      <c r="D12" s="106">
        <v>34.795516999999997</v>
      </c>
      <c r="E12" s="69">
        <v>40.372723000000001</v>
      </c>
      <c r="F12" s="69">
        <v>42.691246</v>
      </c>
      <c r="G12" s="69">
        <v>44.565036999999997</v>
      </c>
      <c r="H12" s="69">
        <v>45.136702999999997</v>
      </c>
      <c r="I12" s="69">
        <v>45.858466999999997</v>
      </c>
      <c r="J12" s="69">
        <v>45.954391000000001</v>
      </c>
      <c r="K12" s="69">
        <v>46.071434000000004</v>
      </c>
      <c r="L12" s="27">
        <v>5.0000000000000001E-3</v>
      </c>
      <c r="N12" s="71" t="s">
        <v>478</v>
      </c>
      <c r="O12" s="69" t="str">
        <f t="shared" si="1"/>
        <v/>
      </c>
      <c r="P12" s="69">
        <f t="shared" si="2"/>
        <v>8.3548725122101235</v>
      </c>
      <c r="Q12" s="69">
        <f t="shared" si="3"/>
        <v>6.75992597671212</v>
      </c>
      <c r="R12" s="69">
        <f t="shared" si="4"/>
        <v>5.8260900371131301</v>
      </c>
      <c r="S12" s="69">
        <f t="shared" si="5"/>
        <v>5.5096803508950796</v>
      </c>
      <c r="T12" s="69">
        <f t="shared" si="6"/>
        <v>5.2780191620042443</v>
      </c>
      <c r="U12" s="69">
        <f t="shared" si="7"/>
        <v>5.2111719201428635</v>
      </c>
      <c r="V12" s="69">
        <f t="shared" si="8"/>
        <v>5.1291535593945641</v>
      </c>
      <c r="W12" s="69">
        <f t="shared" si="9"/>
        <v>5.1184470977197396</v>
      </c>
      <c r="X12" s="69">
        <f t="shared" si="10"/>
        <v>5.1054438470794752</v>
      </c>
      <c r="Y12" s="27">
        <v>5.0000000000000001E-3</v>
      </c>
    </row>
    <row r="13" spans="1:38" x14ac:dyDescent="0.25">
      <c r="A13" s="71" t="s">
        <v>479</v>
      </c>
      <c r="B13" s="108">
        <v>24.019086999999999</v>
      </c>
      <c r="C13" s="106">
        <v>25.160437000000002</v>
      </c>
      <c r="D13" s="106">
        <v>29.766317000000001</v>
      </c>
      <c r="E13" s="69">
        <v>32.913505999999998</v>
      </c>
      <c r="F13" s="69">
        <v>35.313110000000002</v>
      </c>
      <c r="G13" s="69">
        <v>38.07235</v>
      </c>
      <c r="H13" s="69">
        <v>38.761963000000002</v>
      </c>
      <c r="I13" s="69">
        <v>39.776184000000001</v>
      </c>
      <c r="J13" s="69">
        <v>39.997107999999997</v>
      </c>
      <c r="K13" s="69">
        <v>40.087223000000002</v>
      </c>
      <c r="L13" s="27">
        <v>8.0000000000000002E-3</v>
      </c>
      <c r="N13" s="71" t="s">
        <v>479</v>
      </c>
      <c r="O13" s="69">
        <f t="shared" si="1"/>
        <v>9.7928418029139976</v>
      </c>
      <c r="P13" s="69">
        <f t="shared" si="2"/>
        <v>9.3486102503477237</v>
      </c>
      <c r="Q13" s="69">
        <f t="shared" si="3"/>
        <v>7.9020565171508501</v>
      </c>
      <c r="R13" s="69">
        <f t="shared" si="4"/>
        <v>7.1464619795116375</v>
      </c>
      <c r="S13" s="69">
        <f t="shared" si="5"/>
        <v>6.6608440673004479</v>
      </c>
      <c r="T13" s="69">
        <f t="shared" si="6"/>
        <v>6.1781087650598963</v>
      </c>
      <c r="U13" s="69">
        <f t="shared" si="7"/>
        <v>6.0681942047524302</v>
      </c>
      <c r="V13" s="69">
        <f t="shared" si="8"/>
        <v>5.9134661897538523</v>
      </c>
      <c r="W13" s="69">
        <f t="shared" si="9"/>
        <v>5.880803163104396</v>
      </c>
      <c r="X13" s="69">
        <f t="shared" si="10"/>
        <v>5.8675832756344368</v>
      </c>
      <c r="Y13" s="27">
        <v>8.0000000000000002E-3</v>
      </c>
    </row>
    <row r="14" spans="1:38" x14ac:dyDescent="0.25">
      <c r="A14" s="71" t="s">
        <v>480</v>
      </c>
      <c r="B14" s="108">
        <v>26.389654</v>
      </c>
      <c r="C14" s="106">
        <v>23.346568999999999</v>
      </c>
      <c r="D14" s="106">
        <v>27.659625999999999</v>
      </c>
      <c r="E14" s="69">
        <v>26.974730000000001</v>
      </c>
      <c r="F14" s="69">
        <v>28.348337000000001</v>
      </c>
      <c r="G14" s="69">
        <v>30.067326000000001</v>
      </c>
      <c r="H14" s="69">
        <v>30.620654999999999</v>
      </c>
      <c r="I14" s="69">
        <v>31.070367999999998</v>
      </c>
      <c r="J14" s="69">
        <v>31.115079999999999</v>
      </c>
      <c r="K14" s="69">
        <v>31.115614000000001</v>
      </c>
      <c r="L14" s="27">
        <v>6.0000000000000001E-3</v>
      </c>
      <c r="N14" s="71" t="s">
        <v>480</v>
      </c>
      <c r="O14" s="69">
        <f t="shared" si="1"/>
        <v>8.9131566196899801</v>
      </c>
      <c r="P14" s="69">
        <f t="shared" si="2"/>
        <v>10.074933033690225</v>
      </c>
      <c r="Q14" s="69">
        <f t="shared" si="3"/>
        <v>8.5039153906646519</v>
      </c>
      <c r="R14" s="69">
        <f t="shared" si="4"/>
        <v>8.7198322000415995</v>
      </c>
      <c r="S14" s="69">
        <f t="shared" si="5"/>
        <v>8.2973163202281714</v>
      </c>
      <c r="T14" s="69">
        <f t="shared" si="6"/>
        <v>7.8229477154512557</v>
      </c>
      <c r="U14" s="69">
        <f t="shared" si="7"/>
        <v>7.6815835337757523</v>
      </c>
      <c r="V14" s="69">
        <f t="shared" si="8"/>
        <v>7.5704001716821683</v>
      </c>
      <c r="W14" s="69">
        <f t="shared" si="9"/>
        <v>7.5595215966479321</v>
      </c>
      <c r="X14" s="69">
        <f t="shared" si="10"/>
        <v>7.5593918616366738</v>
      </c>
      <c r="Y14" s="27">
        <v>6.0000000000000001E-3</v>
      </c>
    </row>
    <row r="15" spans="1:38" x14ac:dyDescent="0.25">
      <c r="A15" s="71" t="s">
        <v>481</v>
      </c>
      <c r="B15" s="108">
        <v>26.462796999999998</v>
      </c>
      <c r="C15" s="106">
        <v>32.439307999999997</v>
      </c>
      <c r="D15" s="106">
        <v>32.971184000000001</v>
      </c>
      <c r="E15" s="69">
        <v>39.703335000000003</v>
      </c>
      <c r="F15" s="69">
        <v>43.269917</v>
      </c>
      <c r="G15" s="69">
        <v>47.857959999999999</v>
      </c>
      <c r="H15" s="69">
        <v>48.162449000000002</v>
      </c>
      <c r="I15" s="69">
        <v>48.654102000000002</v>
      </c>
      <c r="J15" s="69">
        <v>48.660758999999999</v>
      </c>
      <c r="K15" s="69">
        <v>48.670817999999997</v>
      </c>
      <c r="L15" s="27">
        <v>8.9999999999999993E-3</v>
      </c>
      <c r="N15" s="71" t="s">
        <v>481</v>
      </c>
      <c r="O15" s="69">
        <f t="shared" si="1"/>
        <v>8.8885207123581136</v>
      </c>
      <c r="P15" s="69">
        <f t="shared" si="2"/>
        <v>7.2509290038316525</v>
      </c>
      <c r="Q15" s="69">
        <f t="shared" si="3"/>
        <v>7.1339603467509125</v>
      </c>
      <c r="R15" s="69">
        <f t="shared" si="4"/>
        <v>5.924316414261626</v>
      </c>
      <c r="S15" s="69">
        <f t="shared" si="5"/>
        <v>5.435996543312716</v>
      </c>
      <c r="T15" s="69">
        <f t="shared" si="6"/>
        <v>4.9148588707380787</v>
      </c>
      <c r="U15" s="69">
        <f t="shared" si="7"/>
        <v>4.8837865209351818</v>
      </c>
      <c r="V15" s="69">
        <f t="shared" si="8"/>
        <v>4.8344355269660131</v>
      </c>
      <c r="W15" s="69">
        <f t="shared" si="9"/>
        <v>4.8337741555044005</v>
      </c>
      <c r="X15" s="69">
        <f t="shared" si="10"/>
        <v>4.8327751393335561</v>
      </c>
      <c r="Y15" s="27">
        <v>8.9999999999999993E-3</v>
      </c>
    </row>
    <row r="16" spans="1:38" x14ac:dyDescent="0.25">
      <c r="A16" s="71" t="s">
        <v>482</v>
      </c>
      <c r="B16" s="108">
        <v>26.258247000000001</v>
      </c>
      <c r="C16" s="106">
        <v>26.778831</v>
      </c>
      <c r="D16" s="106">
        <v>29.183674</v>
      </c>
      <c r="E16" s="69">
        <v>34.214207000000002</v>
      </c>
      <c r="F16" s="69">
        <v>36.043559999999999</v>
      </c>
      <c r="G16" s="69">
        <v>38.912517999999999</v>
      </c>
      <c r="H16" s="69">
        <v>39.813507000000001</v>
      </c>
      <c r="I16" s="69">
        <v>40.587409999999998</v>
      </c>
      <c r="J16" s="69">
        <v>40.693095999999997</v>
      </c>
      <c r="K16" s="69">
        <v>40.807071999999998</v>
      </c>
      <c r="L16" s="27">
        <v>8.0000000000000002E-3</v>
      </c>
      <c r="N16" s="71" t="s">
        <v>482</v>
      </c>
      <c r="O16" s="69">
        <f t="shared" si="1"/>
        <v>8.9577616983124635</v>
      </c>
      <c r="P16" s="69">
        <f t="shared" si="2"/>
        <v>8.7836216316323945</v>
      </c>
      <c r="Q16" s="69">
        <f t="shared" si="3"/>
        <v>8.0598186246676189</v>
      </c>
      <c r="R16" s="69">
        <f t="shared" si="4"/>
        <v>6.8747792179262879</v>
      </c>
      <c r="S16" s="69">
        <f t="shared" si="5"/>
        <v>6.5258570252613266</v>
      </c>
      <c r="T16" s="69">
        <f t="shared" si="6"/>
        <v>6.0447159765252954</v>
      </c>
      <c r="U16" s="69">
        <f t="shared" si="7"/>
        <v>5.9079226364416515</v>
      </c>
      <c r="V16" s="69">
        <f t="shared" si="8"/>
        <v>5.7952729489619603</v>
      </c>
      <c r="W16" s="69">
        <f t="shared" si="9"/>
        <v>5.7802217664005751</v>
      </c>
      <c r="X16" s="69">
        <f t="shared" si="10"/>
        <v>5.7640773452559433</v>
      </c>
      <c r="Y16" s="27">
        <v>8.0000000000000002E-3</v>
      </c>
    </row>
    <row r="17" spans="1:38" x14ac:dyDescent="0.25">
      <c r="A17" s="71" t="s">
        <v>483</v>
      </c>
      <c r="B17" s="108">
        <v>29.025735999999998</v>
      </c>
      <c r="C17" s="106">
        <v>33.216464999999999</v>
      </c>
      <c r="D17" s="106">
        <v>26.196156999999999</v>
      </c>
      <c r="E17" s="69">
        <v>31.317537000000002</v>
      </c>
      <c r="F17" s="69">
        <v>34.200080999999997</v>
      </c>
      <c r="G17" s="69">
        <v>36.569102999999998</v>
      </c>
      <c r="H17" s="69">
        <v>37.589035000000003</v>
      </c>
      <c r="I17" s="69">
        <v>38.335289000000003</v>
      </c>
      <c r="J17" s="69">
        <v>38.436714000000002</v>
      </c>
      <c r="K17" s="69">
        <v>38.486125999999999</v>
      </c>
      <c r="L17" s="27">
        <v>8.9999999999999993E-3</v>
      </c>
      <c r="N17" s="71" t="s">
        <v>483</v>
      </c>
      <c r="O17" s="69">
        <f t="shared" si="1"/>
        <v>8.1036745886970163</v>
      </c>
      <c r="P17" s="69">
        <f t="shared" si="2"/>
        <v>7.0812809021498264</v>
      </c>
      <c r="Q17" s="69">
        <f t="shared" si="3"/>
        <v>8.9789933401845214</v>
      </c>
      <c r="R17" s="69">
        <f t="shared" si="4"/>
        <v>7.5106519149774815</v>
      </c>
      <c r="S17" s="69">
        <f t="shared" si="5"/>
        <v>6.8776187764417331</v>
      </c>
      <c r="T17" s="69">
        <f t="shared" si="6"/>
        <v>6.4320724312386925</v>
      </c>
      <c r="U17" s="69">
        <f t="shared" si="7"/>
        <v>6.2575460966589889</v>
      </c>
      <c r="V17" s="69">
        <f t="shared" si="8"/>
        <v>6.1357335597868614</v>
      </c>
      <c r="W17" s="69">
        <f t="shared" si="9"/>
        <v>6.1195428735512651</v>
      </c>
      <c r="X17" s="69">
        <f t="shared" si="10"/>
        <v>6.1116860460683453</v>
      </c>
      <c r="Y17" s="27">
        <v>8.9999999999999993E-3</v>
      </c>
    </row>
    <row r="18" spans="1:38" x14ac:dyDescent="0.25">
      <c r="A18" s="71" t="s">
        <v>484</v>
      </c>
      <c r="B18" s="108">
        <v>24.410488000000001</v>
      </c>
      <c r="C18" s="106">
        <v>25.388062999999999</v>
      </c>
      <c r="D18" s="106">
        <v>25.668219000000001</v>
      </c>
      <c r="E18" s="69">
        <v>25.579139999999999</v>
      </c>
      <c r="F18" s="69">
        <v>27.525742999999999</v>
      </c>
      <c r="G18" s="69">
        <v>29.613405</v>
      </c>
      <c r="H18" s="69">
        <v>30.502678</v>
      </c>
      <c r="I18" s="69">
        <v>30.968422</v>
      </c>
      <c r="J18" s="69">
        <v>31.026167000000001</v>
      </c>
      <c r="K18" s="69">
        <v>31.074144</v>
      </c>
      <c r="L18" s="27">
        <v>8.9999999999999993E-3</v>
      </c>
      <c r="N18" s="71" t="s">
        <v>484</v>
      </c>
      <c r="O18" s="69">
        <f t="shared" si="1"/>
        <v>9.6358220794860028</v>
      </c>
      <c r="P18" s="69">
        <f t="shared" si="2"/>
        <v>9.2647918528258</v>
      </c>
      <c r="Q18" s="69">
        <f t="shared" si="3"/>
        <v>9.163671201396097</v>
      </c>
      <c r="R18" s="69">
        <f t="shared" si="4"/>
        <v>9.1955835591590702</v>
      </c>
      <c r="S18" s="69">
        <f t="shared" si="5"/>
        <v>8.545277751137478</v>
      </c>
      <c r="T18" s="69">
        <f t="shared" si="6"/>
        <v>7.94285963540593</v>
      </c>
      <c r="U18" s="69">
        <f t="shared" si="7"/>
        <v>7.7112940457696251</v>
      </c>
      <c r="V18" s="69">
        <f t="shared" si="8"/>
        <v>7.5953214290811504</v>
      </c>
      <c r="W18" s="69">
        <f t="shared" si="9"/>
        <v>7.5811852376553031</v>
      </c>
      <c r="X18" s="69">
        <f t="shared" si="10"/>
        <v>7.56948024831925</v>
      </c>
      <c r="Y18" s="27">
        <v>8.9999999999999993E-3</v>
      </c>
    </row>
    <row r="19" spans="1:38" x14ac:dyDescent="0.25">
      <c r="A19" s="71" t="s">
        <v>485</v>
      </c>
      <c r="B19" s="108">
        <v>23.458739913870776</v>
      </c>
      <c r="C19" s="106">
        <v>29.091360572661539</v>
      </c>
      <c r="D19" s="106">
        <v>36.969161999999997</v>
      </c>
      <c r="E19" s="69">
        <v>42.734668999999997</v>
      </c>
      <c r="F19" s="69">
        <v>44.647086999999999</v>
      </c>
      <c r="G19" s="69">
        <v>47.615814</v>
      </c>
      <c r="H19" s="69">
        <v>48.105395999999999</v>
      </c>
      <c r="I19" s="69">
        <v>48.979045999999997</v>
      </c>
      <c r="J19" s="69">
        <v>49.058838000000002</v>
      </c>
      <c r="K19" s="69">
        <v>49.153911999999998</v>
      </c>
      <c r="L19" s="27">
        <v>6.0000000000000001E-3</v>
      </c>
      <c r="N19" s="71" t="s">
        <v>485</v>
      </c>
      <c r="O19" s="69">
        <f t="shared" si="1"/>
        <v>10.026758474880793</v>
      </c>
      <c r="P19" s="69">
        <f t="shared" si="2"/>
        <v>8.0853942411504249</v>
      </c>
      <c r="Q19" s="69">
        <f t="shared" si="3"/>
        <v>6.3624682442471423</v>
      </c>
      <c r="R19" s="69">
        <f t="shared" si="4"/>
        <v>5.5040819256474913</v>
      </c>
      <c r="S19" s="69">
        <f t="shared" si="5"/>
        <v>5.2683195040569641</v>
      </c>
      <c r="T19" s="69">
        <f t="shared" si="6"/>
        <v>4.9398529497243953</v>
      </c>
      <c r="U19" s="69">
        <f t="shared" si="7"/>
        <v>4.8895786917839352</v>
      </c>
      <c r="V19" s="69">
        <f t="shared" si="8"/>
        <v>4.8023622028372737</v>
      </c>
      <c r="W19" s="69">
        <f t="shared" si="9"/>
        <v>4.7945513760727092</v>
      </c>
      <c r="X19" s="69">
        <f t="shared" si="10"/>
        <v>4.7852777056977303</v>
      </c>
      <c r="Y19" s="27">
        <v>6.0000000000000001E-3</v>
      </c>
    </row>
    <row r="20" spans="1:38" x14ac:dyDescent="0.25">
      <c r="A20" s="71" t="s">
        <v>486</v>
      </c>
      <c r="B20" s="108">
        <v>20.168685730236696</v>
      </c>
      <c r="C20" s="106">
        <v>25.122694428214672</v>
      </c>
      <c r="D20" s="106">
        <v>31.125885</v>
      </c>
      <c r="E20" s="69">
        <v>33.158881999999998</v>
      </c>
      <c r="F20" s="69">
        <v>35.326484999999998</v>
      </c>
      <c r="G20" s="69">
        <v>37.684246000000002</v>
      </c>
      <c r="H20" s="69">
        <v>38.456882</v>
      </c>
      <c r="I20" s="69">
        <v>39.232371999999998</v>
      </c>
      <c r="J20" s="69">
        <v>39.232937</v>
      </c>
      <c r="K20" s="69">
        <v>39.172561999999999</v>
      </c>
      <c r="L20" s="27">
        <v>7.0000000000000001E-3</v>
      </c>
      <c r="N20" s="71" t="s">
        <v>486</v>
      </c>
      <c r="O20" s="69">
        <f t="shared" si="1"/>
        <v>11.662392006475461</v>
      </c>
      <c r="P20" s="69">
        <f t="shared" si="2"/>
        <v>9.3626549458510269</v>
      </c>
      <c r="Q20" s="69">
        <f t="shared" si="3"/>
        <v>7.5568973939673727</v>
      </c>
      <c r="R20" s="69">
        <f t="shared" si="4"/>
        <v>7.0935781019826951</v>
      </c>
      <c r="S20" s="69">
        <f t="shared" si="5"/>
        <v>6.6583221976776956</v>
      </c>
      <c r="T20" s="69">
        <f t="shared" si="6"/>
        <v>6.2417361154427269</v>
      </c>
      <c r="U20" s="69">
        <f t="shared" si="7"/>
        <v>6.1163335925525146</v>
      </c>
      <c r="V20" s="69">
        <f t="shared" si="8"/>
        <v>5.9954345671841649</v>
      </c>
      <c r="W20" s="69">
        <f t="shared" si="9"/>
        <v>5.9953482259415898</v>
      </c>
      <c r="X20" s="69">
        <f t="shared" si="10"/>
        <v>6.0045886005982494</v>
      </c>
      <c r="Y20" s="27">
        <v>7.0000000000000001E-3</v>
      </c>
    </row>
    <row r="21" spans="1:38" x14ac:dyDescent="0.25">
      <c r="A21" t="s">
        <v>457</v>
      </c>
      <c r="L21" s="27"/>
      <c r="N21" t="s">
        <v>457</v>
      </c>
      <c r="O21" s="69"/>
      <c r="P21" s="69"/>
      <c r="Q21" s="69"/>
      <c r="R21" s="69"/>
      <c r="S21" s="69"/>
      <c r="T21" s="69"/>
      <c r="U21" s="69"/>
      <c r="V21" s="69"/>
      <c r="W21" s="69"/>
      <c r="X21" s="69"/>
      <c r="Y21" s="27"/>
      <c r="AA21" t="s">
        <v>8</v>
      </c>
      <c r="AB21" t="s">
        <v>96</v>
      </c>
      <c r="AC21" s="69">
        <f>AVERAGE(O22:O29)</f>
        <v>5.5172354742251315</v>
      </c>
      <c r="AD21" s="69">
        <f t="shared" ref="AD21" si="12">AVERAGE(P22:P29)</f>
        <v>5.5910367824389731</v>
      </c>
      <c r="AE21" s="69">
        <f t="shared" ref="AE21" si="13">AVERAGE(Q22:Q29)</f>
        <v>5.0620562746704794</v>
      </c>
      <c r="AF21" s="69">
        <f t="shared" ref="AF21" si="14">AVERAGE(R22:R29)</f>
        <v>4.7527931792700739</v>
      </c>
      <c r="AG21" s="69">
        <f t="shared" ref="AG21" si="15">AVERAGE(S22:S29)</f>
        <v>4.5930699706632403</v>
      </c>
      <c r="AH21" s="69">
        <f t="shared" ref="AH21" si="16">AVERAGE(T22:T29)</f>
        <v>4.4648094679267674</v>
      </c>
      <c r="AI21" s="69">
        <f t="shared" ref="AI21" si="17">AVERAGE(U22:U29)</f>
        <v>4.4561976849504559</v>
      </c>
      <c r="AJ21" s="69">
        <f t="shared" ref="AJ21" si="18">AVERAGE(V22:V29)</f>
        <v>4.4288547864940631</v>
      </c>
      <c r="AK21" s="69">
        <f t="shared" ref="AK21" si="19">AVERAGE(W22:W29)</f>
        <v>4.4446285105644501</v>
      </c>
      <c r="AL21" s="69">
        <f t="shared" ref="AL21" si="20">AVERAGE(X22:X29)</f>
        <v>4.4566034494715847</v>
      </c>
    </row>
    <row r="22" spans="1:38" x14ac:dyDescent="0.25">
      <c r="A22" s="71" t="s">
        <v>471</v>
      </c>
      <c r="B22" s="108">
        <v>0</v>
      </c>
      <c r="C22" s="106">
        <v>0</v>
      </c>
      <c r="D22" s="106">
        <v>0</v>
      </c>
      <c r="E22" s="69">
        <v>0</v>
      </c>
      <c r="F22" s="69">
        <v>0</v>
      </c>
      <c r="G22" s="69">
        <v>0</v>
      </c>
      <c r="H22" s="69">
        <v>0</v>
      </c>
      <c r="I22" s="69">
        <v>0</v>
      </c>
      <c r="J22" s="69">
        <v>0</v>
      </c>
      <c r="K22" s="69">
        <v>0</v>
      </c>
      <c r="L22" s="27" t="s">
        <v>264</v>
      </c>
      <c r="N22" s="71" t="s">
        <v>471</v>
      </c>
      <c r="O22" s="69" t="str">
        <f t="shared" ref="O22:O37" si="21">IFERROR(L_100km_to_mpg/B22, "")</f>
        <v/>
      </c>
      <c r="P22" s="69" t="str">
        <f t="shared" ref="P22:P37" si="22">IFERROR(L_100km_to_mpg/C22, "")</f>
        <v/>
      </c>
      <c r="Q22" s="69" t="str">
        <f t="shared" ref="Q22:Q37" si="23">IFERROR(L_100km_to_mpg/D22, "")</f>
        <v/>
      </c>
      <c r="R22" s="69" t="str">
        <f t="shared" ref="R22:R37" si="24">IFERROR(L_100km_to_mpg/E22, "")</f>
        <v/>
      </c>
      <c r="S22" s="69" t="str">
        <f t="shared" ref="S22:S37" si="25">IFERROR(L_100km_to_mpg/F22, "")</f>
        <v/>
      </c>
      <c r="T22" s="69" t="str">
        <f t="shared" ref="T22:T37" si="26">IFERROR(L_100km_to_mpg/G22, "")</f>
        <v/>
      </c>
      <c r="U22" s="69" t="str">
        <f t="shared" ref="U22:U37" si="27">IFERROR(L_100km_to_mpg/H22, "")</f>
        <v/>
      </c>
      <c r="V22" s="69" t="str">
        <f t="shared" ref="V22:V37" si="28">IFERROR(L_100km_to_mpg/I22, "")</f>
        <v/>
      </c>
      <c r="W22" s="69" t="str">
        <f t="shared" ref="W22:W37" si="29">IFERROR(L_100km_to_mpg/J22, "")</f>
        <v/>
      </c>
      <c r="X22" s="69" t="str">
        <f t="shared" ref="X22:X37" si="30">IFERROR(L_100km_to_mpg/K22, "")</f>
        <v/>
      </c>
      <c r="Y22" s="27" t="s">
        <v>264</v>
      </c>
      <c r="AA22" t="s">
        <v>240</v>
      </c>
      <c r="AB22" t="s">
        <v>96</v>
      </c>
      <c r="AC22" s="69">
        <f>AVERAGE(O30:O37)</f>
        <v>7.3395312273024977</v>
      </c>
      <c r="AD22" s="69">
        <f t="shared" ref="AD22" si="31">AVERAGE(P30:P37)</f>
        <v>6.8325124453893249</v>
      </c>
      <c r="AE22" s="69">
        <f t="shared" ref="AE22" si="32">AVERAGE(Q30:Q37)</f>
        <v>6.7749140826425887</v>
      </c>
      <c r="AF22" s="69">
        <f t="shared" ref="AF22" si="33">AVERAGE(R30:R37)</f>
        <v>6.3981850399160951</v>
      </c>
      <c r="AG22" s="69">
        <f t="shared" ref="AG22" si="34">AVERAGE(S30:S37)</f>
        <v>6.1259706839366155</v>
      </c>
      <c r="AH22" s="69">
        <f t="shared" ref="AH22" si="35">AVERAGE(T30:T37)</f>
        <v>5.8326981832350251</v>
      </c>
      <c r="AI22" s="69">
        <f t="shared" ref="AI22" si="36">AVERAGE(U30:U37)</f>
        <v>5.747995755105527</v>
      </c>
      <c r="AJ22" s="69">
        <f t="shared" ref="AJ22" si="37">AVERAGE(V30:V37)</f>
        <v>5.6767066428807675</v>
      </c>
      <c r="AK22" s="69">
        <f t="shared" ref="AK22" si="38">AVERAGE(W30:W37)</f>
        <v>5.6709654212909415</v>
      </c>
      <c r="AL22" s="69">
        <f t="shared" ref="AL22" si="39">AVERAGE(X30:X37)</f>
        <v>5.6696820350339525</v>
      </c>
    </row>
    <row r="23" spans="1:38" x14ac:dyDescent="0.25">
      <c r="A23" s="71" t="s">
        <v>472</v>
      </c>
      <c r="B23" s="108">
        <v>43.473681999999997</v>
      </c>
      <c r="C23" s="106">
        <v>43.342052000000002</v>
      </c>
      <c r="D23" s="106">
        <v>41.440491000000002</v>
      </c>
      <c r="E23" s="69">
        <v>40.853588000000002</v>
      </c>
      <c r="F23" s="69">
        <v>42.396217</v>
      </c>
      <c r="G23" s="69">
        <v>43.812354999999997</v>
      </c>
      <c r="H23" s="69">
        <v>44.120120999999997</v>
      </c>
      <c r="I23" s="69">
        <v>44.661228000000001</v>
      </c>
      <c r="J23" s="69">
        <v>44.553238</v>
      </c>
      <c r="K23" s="69">
        <v>44.443516000000002</v>
      </c>
      <c r="L23" s="27">
        <v>3.0000000000000001E-3</v>
      </c>
      <c r="N23" s="71" t="s">
        <v>472</v>
      </c>
      <c r="O23" s="69">
        <f t="shared" si="21"/>
        <v>5.4105175457976662</v>
      </c>
      <c r="P23" s="69">
        <f t="shared" si="22"/>
        <v>5.4269493110623399</v>
      </c>
      <c r="Q23" s="69">
        <f t="shared" si="23"/>
        <v>5.6759732707179591</v>
      </c>
      <c r="R23" s="69">
        <f t="shared" si="24"/>
        <v>5.7575143520179459</v>
      </c>
      <c r="S23" s="69">
        <f t="shared" si="25"/>
        <v>5.5480214010940676</v>
      </c>
      <c r="T23" s="69">
        <f t="shared" si="26"/>
        <v>5.3686938134557742</v>
      </c>
      <c r="U23" s="69">
        <f t="shared" si="27"/>
        <v>5.3312437479812926</v>
      </c>
      <c r="V23" s="69">
        <f t="shared" si="28"/>
        <v>5.2666514060345166</v>
      </c>
      <c r="W23" s="69">
        <f t="shared" si="29"/>
        <v>5.2794169357887775</v>
      </c>
      <c r="X23" s="69">
        <f t="shared" si="30"/>
        <v>5.2924507422281382</v>
      </c>
      <c r="Y23" s="27">
        <v>3.0000000000000001E-3</v>
      </c>
    </row>
    <row r="24" spans="1:38" x14ac:dyDescent="0.25">
      <c r="A24" s="71" t="s">
        <v>473</v>
      </c>
      <c r="B24" s="108">
        <v>44.230736</v>
      </c>
      <c r="C24" s="106">
        <v>49.378127999999997</v>
      </c>
      <c r="D24" s="106">
        <v>51.385635000000001</v>
      </c>
      <c r="E24" s="69">
        <v>57.535083999999998</v>
      </c>
      <c r="F24" s="69">
        <v>59.368271</v>
      </c>
      <c r="G24" s="69">
        <v>60.786960999999998</v>
      </c>
      <c r="H24" s="69">
        <v>60.707808999999997</v>
      </c>
      <c r="I24" s="69">
        <v>60.760185</v>
      </c>
      <c r="J24" s="69">
        <v>60.356074999999997</v>
      </c>
      <c r="K24" s="69">
        <v>60.049712999999997</v>
      </c>
      <c r="L24" s="27">
        <v>2E-3</v>
      </c>
      <c r="N24" s="71" t="s">
        <v>473</v>
      </c>
      <c r="O24" s="69">
        <f t="shared" si="21"/>
        <v>5.3179110390889299</v>
      </c>
      <c r="P24" s="69">
        <f t="shared" si="22"/>
        <v>4.7635487364249238</v>
      </c>
      <c r="Q24" s="69">
        <f t="shared" si="23"/>
        <v>4.5774489162472767</v>
      </c>
      <c r="R24" s="69">
        <f t="shared" si="24"/>
        <v>4.0882032820431471</v>
      </c>
      <c r="S24" s="69">
        <f t="shared" si="25"/>
        <v>3.9619668095341387</v>
      </c>
      <c r="T24" s="69">
        <f t="shared" si="26"/>
        <v>3.8694995665505987</v>
      </c>
      <c r="U24" s="69">
        <f t="shared" si="27"/>
        <v>3.8745446939359671</v>
      </c>
      <c r="V24" s="69">
        <f t="shared" si="28"/>
        <v>3.8712047904631648</v>
      </c>
      <c r="W24" s="69">
        <f t="shared" si="29"/>
        <v>3.8971241791555888</v>
      </c>
      <c r="X24" s="69">
        <f t="shared" si="30"/>
        <v>3.917006551578825</v>
      </c>
      <c r="Y24" s="27">
        <v>2E-3</v>
      </c>
    </row>
    <row r="25" spans="1:38" x14ac:dyDescent="0.25">
      <c r="A25" s="71" t="s">
        <v>474</v>
      </c>
      <c r="B25" s="108">
        <v>45.047024</v>
      </c>
      <c r="C25" s="106">
        <v>47.607384000000003</v>
      </c>
      <c r="D25" s="106">
        <v>54.732224000000002</v>
      </c>
      <c r="E25" s="69">
        <v>56.622146999999998</v>
      </c>
      <c r="F25" s="69">
        <v>57.920414000000001</v>
      </c>
      <c r="G25" s="69">
        <v>59.240589</v>
      </c>
      <c r="H25" s="69">
        <v>58.832211000000001</v>
      </c>
      <c r="I25" s="69">
        <v>58.641258000000001</v>
      </c>
      <c r="J25" s="69">
        <v>58.205154</v>
      </c>
      <c r="K25" s="69">
        <v>57.889366000000003</v>
      </c>
      <c r="L25" s="27">
        <v>1E-3</v>
      </c>
      <c r="N25" s="71" t="s">
        <v>474</v>
      </c>
      <c r="O25" s="69">
        <f t="shared" si="21"/>
        <v>5.2215462500126124</v>
      </c>
      <c r="P25" s="69">
        <f t="shared" si="22"/>
        <v>4.9407276661416244</v>
      </c>
      <c r="Q25" s="69">
        <f t="shared" si="23"/>
        <v>4.2975618758234297</v>
      </c>
      <c r="R25" s="69">
        <f t="shared" si="24"/>
        <v>4.1541186921334532</v>
      </c>
      <c r="S25" s="69">
        <f t="shared" si="25"/>
        <v>4.0610054900751944</v>
      </c>
      <c r="T25" s="69">
        <f t="shared" si="26"/>
        <v>3.9705060873285398</v>
      </c>
      <c r="U25" s="69">
        <f t="shared" si="27"/>
        <v>3.9980669643952043</v>
      </c>
      <c r="V25" s="69">
        <f t="shared" si="28"/>
        <v>4.0110858338241675</v>
      </c>
      <c r="W25" s="69">
        <f t="shared" si="29"/>
        <v>4.04113902424222</v>
      </c>
      <c r="X25" s="69">
        <f t="shared" si="30"/>
        <v>4.0631835429226868</v>
      </c>
      <c r="Y25" s="27">
        <v>1E-3</v>
      </c>
    </row>
    <row r="26" spans="1:38" x14ac:dyDescent="0.25">
      <c r="A26" s="71" t="s">
        <v>475</v>
      </c>
      <c r="B26" s="108">
        <v>38.440331</v>
      </c>
      <c r="C26" s="106">
        <v>36.851523999999998</v>
      </c>
      <c r="D26" s="106">
        <v>46.100037</v>
      </c>
      <c r="E26" s="69">
        <v>49.882595000000002</v>
      </c>
      <c r="F26" s="69">
        <v>51.246498000000003</v>
      </c>
      <c r="G26" s="69">
        <v>52.547798</v>
      </c>
      <c r="H26" s="69">
        <v>52.459152000000003</v>
      </c>
      <c r="I26" s="69">
        <v>52.666736999999998</v>
      </c>
      <c r="J26" s="69">
        <v>52.446193999999998</v>
      </c>
      <c r="K26" s="69">
        <v>52.297122999999999</v>
      </c>
      <c r="L26" s="27">
        <v>2E-3</v>
      </c>
      <c r="N26" s="71" t="s">
        <v>475</v>
      </c>
      <c r="O26" s="69">
        <f t="shared" si="21"/>
        <v>6.1189670620013166</v>
      </c>
      <c r="P26" s="69">
        <f t="shared" si="22"/>
        <v>6.3827786129395401</v>
      </c>
      <c r="Q26" s="69">
        <f t="shared" si="23"/>
        <v>5.1022761487464345</v>
      </c>
      <c r="R26" s="69">
        <f t="shared" si="24"/>
        <v>4.7153745558230904</v>
      </c>
      <c r="S26" s="69">
        <f t="shared" si="25"/>
        <v>4.5898769363992074</v>
      </c>
      <c r="T26" s="69">
        <f t="shared" si="26"/>
        <v>4.4762126710129344</v>
      </c>
      <c r="U26" s="69">
        <f t="shared" si="27"/>
        <v>4.4837766199771609</v>
      </c>
      <c r="V26" s="69">
        <f t="shared" si="28"/>
        <v>4.4661038947871052</v>
      </c>
      <c r="W26" s="69">
        <f t="shared" si="29"/>
        <v>4.4848844368273539</v>
      </c>
      <c r="X26" s="69">
        <f t="shared" si="30"/>
        <v>4.4976684327630823</v>
      </c>
      <c r="Y26" s="27">
        <v>2E-3</v>
      </c>
    </row>
    <row r="27" spans="1:38" x14ac:dyDescent="0.25">
      <c r="A27" s="71" t="s">
        <v>476</v>
      </c>
      <c r="B27" s="108">
        <v>0</v>
      </c>
      <c r="C27" s="106">
        <v>0</v>
      </c>
      <c r="D27" s="106">
        <v>0</v>
      </c>
      <c r="E27" s="69">
        <v>0</v>
      </c>
      <c r="F27" s="69">
        <v>0</v>
      </c>
      <c r="G27" s="69">
        <v>0</v>
      </c>
      <c r="H27" s="69">
        <v>0</v>
      </c>
      <c r="I27" s="69">
        <v>0</v>
      </c>
      <c r="J27" s="69">
        <v>0</v>
      </c>
      <c r="K27" s="69">
        <v>0</v>
      </c>
      <c r="L27" s="27" t="s">
        <v>264</v>
      </c>
      <c r="N27" s="71" t="s">
        <v>476</v>
      </c>
      <c r="O27" s="69" t="str">
        <f t="shared" si="21"/>
        <v/>
      </c>
      <c r="P27" s="69" t="str">
        <f t="shared" si="22"/>
        <v/>
      </c>
      <c r="Q27" s="69" t="str">
        <f t="shared" si="23"/>
        <v/>
      </c>
      <c r="R27" s="69" t="str">
        <f t="shared" si="24"/>
        <v/>
      </c>
      <c r="S27" s="69" t="str">
        <f t="shared" si="25"/>
        <v/>
      </c>
      <c r="T27" s="69" t="str">
        <f t="shared" si="26"/>
        <v/>
      </c>
      <c r="U27" s="69" t="str">
        <f t="shared" si="27"/>
        <v/>
      </c>
      <c r="V27" s="69" t="str">
        <f t="shared" si="28"/>
        <v/>
      </c>
      <c r="W27" s="69" t="str">
        <f t="shared" si="29"/>
        <v/>
      </c>
      <c r="X27" s="69" t="str">
        <f t="shared" si="30"/>
        <v/>
      </c>
      <c r="Y27" s="27" t="s">
        <v>264</v>
      </c>
    </row>
    <row r="28" spans="1:38" x14ac:dyDescent="0.25">
      <c r="A28" s="71" t="s">
        <v>477</v>
      </c>
      <c r="C28" s="106">
        <v>42.006283399672483</v>
      </c>
      <c r="D28" s="106">
        <v>47.668545000000002</v>
      </c>
      <c r="E28" s="69">
        <v>51.173476999999998</v>
      </c>
      <c r="F28" s="69">
        <v>53.881610999999999</v>
      </c>
      <c r="G28" s="69">
        <v>55.614559</v>
      </c>
      <c r="H28" s="69">
        <v>55.708362999999999</v>
      </c>
      <c r="I28" s="69">
        <v>56.107112999999998</v>
      </c>
      <c r="J28" s="69">
        <v>56.006171999999999</v>
      </c>
      <c r="K28" s="69">
        <v>55.962273000000003</v>
      </c>
      <c r="L28" s="27">
        <v>3.0000000000000001E-3</v>
      </c>
      <c r="N28" s="71" t="s">
        <v>477</v>
      </c>
      <c r="O28" s="69" t="str">
        <f t="shared" si="21"/>
        <v/>
      </c>
      <c r="P28" s="69">
        <f t="shared" si="22"/>
        <v>5.5995222667869271</v>
      </c>
      <c r="Q28" s="69">
        <f t="shared" si="23"/>
        <v>4.9343884786378132</v>
      </c>
      <c r="R28" s="69">
        <f t="shared" si="24"/>
        <v>4.5964263722284917</v>
      </c>
      <c r="S28" s="69">
        <f t="shared" si="25"/>
        <v>4.3654062095772925</v>
      </c>
      <c r="T28" s="69">
        <f t="shared" si="26"/>
        <v>4.2293802822643647</v>
      </c>
      <c r="U28" s="69">
        <f t="shared" si="27"/>
        <v>4.2222586802887774</v>
      </c>
      <c r="V28" s="69">
        <f t="shared" si="28"/>
        <v>4.192251332579314</v>
      </c>
      <c r="W28" s="69">
        <f t="shared" si="29"/>
        <v>4.1998071077135597</v>
      </c>
      <c r="X28" s="69">
        <f t="shared" si="30"/>
        <v>4.2031016009915847</v>
      </c>
      <c r="Y28" s="27">
        <v>3.0000000000000001E-3</v>
      </c>
    </row>
    <row r="29" spans="1:38" x14ac:dyDescent="0.25">
      <c r="A29" s="71" t="s">
        <v>478</v>
      </c>
      <c r="C29" s="106">
        <v>36.565568879558519</v>
      </c>
      <c r="D29" s="106">
        <v>40.661670999999998</v>
      </c>
      <c r="E29" s="69">
        <v>45.189166999999998</v>
      </c>
      <c r="F29" s="69">
        <v>46.742534999999997</v>
      </c>
      <c r="G29" s="69">
        <v>48.253566999999997</v>
      </c>
      <c r="H29" s="69">
        <v>48.726067</v>
      </c>
      <c r="I29" s="69">
        <v>49.354477000000003</v>
      </c>
      <c r="J29" s="69">
        <v>49.358952000000002</v>
      </c>
      <c r="K29" s="69">
        <v>49.350558999999997</v>
      </c>
      <c r="L29" s="27">
        <v>3.0000000000000001E-3</v>
      </c>
      <c r="N29" s="71" t="s">
        <v>478</v>
      </c>
      <c r="O29" s="69" t="str">
        <f t="shared" si="21"/>
        <v/>
      </c>
      <c r="P29" s="69">
        <f t="shared" si="22"/>
        <v>6.4326941012784822</v>
      </c>
      <c r="Q29" s="69">
        <f t="shared" si="23"/>
        <v>5.7846889578499647</v>
      </c>
      <c r="R29" s="69">
        <f t="shared" si="24"/>
        <v>5.2051218213743162</v>
      </c>
      <c r="S29" s="69">
        <f t="shared" si="25"/>
        <v>5.0321429772995447</v>
      </c>
      <c r="T29" s="69">
        <f t="shared" si="26"/>
        <v>4.8745643869483919</v>
      </c>
      <c r="U29" s="69">
        <f t="shared" si="27"/>
        <v>4.8272954031243307</v>
      </c>
      <c r="V29" s="69">
        <f t="shared" si="28"/>
        <v>4.7658314612761092</v>
      </c>
      <c r="W29" s="69">
        <f t="shared" si="29"/>
        <v>4.7653993796591978</v>
      </c>
      <c r="X29" s="69">
        <f t="shared" si="30"/>
        <v>4.7662098263451922</v>
      </c>
      <c r="Y29" s="27">
        <v>3.0000000000000001E-3</v>
      </c>
    </row>
    <row r="30" spans="1:38" x14ac:dyDescent="0.25">
      <c r="A30" s="71" t="s">
        <v>479</v>
      </c>
      <c r="B30" s="108">
        <v>30.264050000000001</v>
      </c>
      <c r="C30" s="106">
        <v>31.702147</v>
      </c>
      <c r="D30" s="106">
        <v>33.671764000000003</v>
      </c>
      <c r="E30" s="69">
        <v>35.381309999999999</v>
      </c>
      <c r="F30" s="69">
        <v>37.242378000000002</v>
      </c>
      <c r="G30" s="69">
        <v>39.496124000000002</v>
      </c>
      <c r="H30" s="69">
        <v>40.269871000000002</v>
      </c>
      <c r="I30" s="69">
        <v>40.858528</v>
      </c>
      <c r="J30" s="69">
        <v>40.959099000000002</v>
      </c>
      <c r="K30" s="69">
        <v>41.014567999999997</v>
      </c>
      <c r="L30" s="27">
        <v>6.0000000000000001E-3</v>
      </c>
      <c r="N30" s="71" t="s">
        <v>479</v>
      </c>
      <c r="O30" s="69">
        <f t="shared" si="21"/>
        <v>7.7720965713917378</v>
      </c>
      <c r="P30" s="69">
        <f t="shared" si="22"/>
        <v>7.4195327919408154</v>
      </c>
      <c r="Q30" s="69">
        <f t="shared" si="23"/>
        <v>6.9855300494927475</v>
      </c>
      <c r="R30" s="69">
        <f t="shared" si="24"/>
        <v>6.6480048150118849</v>
      </c>
      <c r="S30" s="69">
        <f t="shared" si="25"/>
        <v>6.3157921666932255</v>
      </c>
      <c r="T30" s="69">
        <f t="shared" si="26"/>
        <v>5.9553975281581586</v>
      </c>
      <c r="U30" s="69">
        <f t="shared" si="27"/>
        <v>5.8409702688500822</v>
      </c>
      <c r="V30" s="69">
        <f t="shared" si="28"/>
        <v>5.7568182397914125</v>
      </c>
      <c r="W30" s="69">
        <f t="shared" si="29"/>
        <v>5.7426829443056873</v>
      </c>
      <c r="X30" s="69">
        <f t="shared" si="30"/>
        <v>5.7349164141245659</v>
      </c>
      <c r="Y30" s="27">
        <v>6.0000000000000001E-3</v>
      </c>
    </row>
    <row r="31" spans="1:38" x14ac:dyDescent="0.25">
      <c r="A31" s="71" t="s">
        <v>480</v>
      </c>
      <c r="B31" s="108">
        <v>33.250960999999997</v>
      </c>
      <c r="C31" s="106">
        <v>29.416675999999999</v>
      </c>
      <c r="D31" s="106">
        <v>32.193378000000003</v>
      </c>
      <c r="E31" s="69">
        <v>31.087633</v>
      </c>
      <c r="F31" s="69">
        <v>31.993016999999998</v>
      </c>
      <c r="G31" s="69">
        <v>33.184581999999999</v>
      </c>
      <c r="H31" s="69">
        <v>33.503498</v>
      </c>
      <c r="I31" s="69">
        <v>33.863514000000002</v>
      </c>
      <c r="J31" s="69">
        <v>33.875298000000001</v>
      </c>
      <c r="K31" s="69">
        <v>33.868693999999998</v>
      </c>
      <c r="L31" s="27">
        <v>3.0000000000000001E-3</v>
      </c>
      <c r="N31" s="71" t="s">
        <v>480</v>
      </c>
      <c r="O31" s="69">
        <f t="shared" si="21"/>
        <v>7.0739344718917501</v>
      </c>
      <c r="P31" s="69">
        <f t="shared" si="22"/>
        <v>7.9959788536756546</v>
      </c>
      <c r="Q31" s="69">
        <f t="shared" si="23"/>
        <v>7.3063199283227789</v>
      </c>
      <c r="R31" s="69">
        <f t="shared" si="24"/>
        <v>7.5661958323243246</v>
      </c>
      <c r="S31" s="69">
        <f t="shared" si="25"/>
        <v>7.352076837311972</v>
      </c>
      <c r="T31" s="69">
        <f t="shared" si="26"/>
        <v>7.088084437568873</v>
      </c>
      <c r="U31" s="69">
        <f t="shared" si="27"/>
        <v>7.0206137652082816</v>
      </c>
      <c r="V31" s="69">
        <f t="shared" si="28"/>
        <v>6.945974928692519</v>
      </c>
      <c r="W31" s="69">
        <f t="shared" si="29"/>
        <v>6.9435586733857848</v>
      </c>
      <c r="X31" s="69">
        <f t="shared" si="30"/>
        <v>6.9449125862788854</v>
      </c>
      <c r="Y31" s="27">
        <v>3.0000000000000001E-3</v>
      </c>
    </row>
    <row r="32" spans="1:38" x14ac:dyDescent="0.25">
      <c r="A32" s="71" t="s">
        <v>481</v>
      </c>
      <c r="B32" s="108">
        <v>33.343124000000003</v>
      </c>
      <c r="C32" s="106">
        <v>40.873524000000003</v>
      </c>
      <c r="D32" s="106">
        <v>38.723297000000002</v>
      </c>
      <c r="E32" s="69">
        <v>45.529975999999998</v>
      </c>
      <c r="F32" s="69">
        <v>47.521492000000002</v>
      </c>
      <c r="G32" s="69">
        <v>50.699745</v>
      </c>
      <c r="H32" s="69">
        <v>51.051704000000001</v>
      </c>
      <c r="I32" s="69">
        <v>51.407100999999997</v>
      </c>
      <c r="J32" s="69">
        <v>51.416370000000001</v>
      </c>
      <c r="K32" s="69">
        <v>51.378554999999999</v>
      </c>
      <c r="L32" s="27">
        <v>5.0000000000000001E-3</v>
      </c>
      <c r="N32" s="71" t="s">
        <v>481</v>
      </c>
      <c r="O32" s="69">
        <f t="shared" si="21"/>
        <v>7.0543815642897805</v>
      </c>
      <c r="P32" s="69">
        <f t="shared" si="22"/>
        <v>5.754706133031938</v>
      </c>
      <c r="Q32" s="69">
        <f t="shared" si="23"/>
        <v>6.074253420142095</v>
      </c>
      <c r="R32" s="69">
        <f t="shared" si="24"/>
        <v>5.166159526230107</v>
      </c>
      <c r="S32" s="69">
        <f t="shared" si="25"/>
        <v>4.9496577094302534</v>
      </c>
      <c r="T32" s="69">
        <f t="shared" si="26"/>
        <v>4.6393747984615725</v>
      </c>
      <c r="U32" s="69">
        <f t="shared" si="27"/>
        <v>4.6073901713726961</v>
      </c>
      <c r="V32" s="69">
        <f t="shared" si="28"/>
        <v>4.5755375165276906</v>
      </c>
      <c r="W32" s="69">
        <f t="shared" si="29"/>
        <v>4.574712669164084</v>
      </c>
      <c r="X32" s="69">
        <f t="shared" si="30"/>
        <v>4.5780796918369573</v>
      </c>
      <c r="Y32" s="27">
        <v>5.0000000000000001E-3</v>
      </c>
    </row>
    <row r="33" spans="1:38" x14ac:dyDescent="0.25">
      <c r="A33" s="71" t="s">
        <v>482</v>
      </c>
      <c r="B33" s="108">
        <v>33.085388000000002</v>
      </c>
      <c r="C33" s="106">
        <v>33.741332999999997</v>
      </c>
      <c r="D33" s="106">
        <v>33.74295</v>
      </c>
      <c r="E33" s="69">
        <v>37.730648000000002</v>
      </c>
      <c r="F33" s="69">
        <v>39.095149999999997</v>
      </c>
      <c r="G33" s="69">
        <v>41.056258999999997</v>
      </c>
      <c r="H33" s="69">
        <v>42.080139000000003</v>
      </c>
      <c r="I33" s="69">
        <v>42.765594</v>
      </c>
      <c r="J33" s="69">
        <v>42.853760000000001</v>
      </c>
      <c r="K33" s="69">
        <v>42.899310999999997</v>
      </c>
      <c r="L33" s="27">
        <v>5.0000000000000001E-3</v>
      </c>
      <c r="N33" s="71" t="s">
        <v>482</v>
      </c>
      <c r="O33" s="69">
        <f t="shared" si="21"/>
        <v>7.1093353731087614</v>
      </c>
      <c r="P33" s="69">
        <f t="shared" si="22"/>
        <v>6.9711270518395985</v>
      </c>
      <c r="Q33" s="69">
        <f t="shared" si="23"/>
        <v>6.9707929876145425</v>
      </c>
      <c r="R33" s="69">
        <f t="shared" si="24"/>
        <v>6.2340598879040758</v>
      </c>
      <c r="S33" s="69">
        <f t="shared" si="25"/>
        <v>6.0164782394089338</v>
      </c>
      <c r="T33" s="69">
        <f t="shared" si="26"/>
        <v>5.7290928343332048</v>
      </c>
      <c r="U33" s="69">
        <f t="shared" si="27"/>
        <v>5.5896944456725324</v>
      </c>
      <c r="V33" s="69">
        <f t="shared" si="28"/>
        <v>5.5001017696943046</v>
      </c>
      <c r="W33" s="69">
        <f t="shared" si="29"/>
        <v>5.4887860304773284</v>
      </c>
      <c r="X33" s="69">
        <f t="shared" si="30"/>
        <v>5.4829579720156385</v>
      </c>
      <c r="Y33" s="27">
        <v>5.0000000000000001E-3</v>
      </c>
    </row>
    <row r="34" spans="1:38" x14ac:dyDescent="0.25">
      <c r="A34" s="71" t="s">
        <v>483</v>
      </c>
      <c r="B34" s="108">
        <v>36.572426</v>
      </c>
      <c r="C34" s="106">
        <v>41.852749000000003</v>
      </c>
      <c r="D34" s="106">
        <v>32.111548999999997</v>
      </c>
      <c r="E34" s="69">
        <v>35.220984999999999</v>
      </c>
      <c r="F34" s="69">
        <v>37.341610000000003</v>
      </c>
      <c r="G34" s="69">
        <v>39.575705999999997</v>
      </c>
      <c r="H34" s="69">
        <v>40.301571000000003</v>
      </c>
      <c r="I34" s="69">
        <v>40.837757000000003</v>
      </c>
      <c r="J34" s="69">
        <v>40.916564999999999</v>
      </c>
      <c r="K34" s="69">
        <v>40.961559000000001</v>
      </c>
      <c r="L34" s="27">
        <v>6.0000000000000001E-3</v>
      </c>
      <c r="N34" s="71" t="s">
        <v>483</v>
      </c>
      <c r="O34" s="69">
        <f t="shared" si="21"/>
        <v>6.4314880079715833</v>
      </c>
      <c r="P34" s="69">
        <f t="shared" si="22"/>
        <v>5.6200637917817087</v>
      </c>
      <c r="Q34" s="69">
        <f t="shared" si="23"/>
        <v>7.3249384276488243</v>
      </c>
      <c r="R34" s="69">
        <f t="shared" si="24"/>
        <v>6.6782663585765176</v>
      </c>
      <c r="S34" s="69">
        <f t="shared" si="25"/>
        <v>6.2990085119904613</v>
      </c>
      <c r="T34" s="69">
        <f t="shared" si="26"/>
        <v>5.9434219377268507</v>
      </c>
      <c r="U34" s="69">
        <f t="shared" si="27"/>
        <v>5.8363759378369675</v>
      </c>
      <c r="V34" s="69">
        <f t="shared" si="28"/>
        <v>5.7597462867862239</v>
      </c>
      <c r="W34" s="69">
        <f t="shared" si="29"/>
        <v>5.748652635953877</v>
      </c>
      <c r="X34" s="69">
        <f t="shared" si="30"/>
        <v>5.7423380599705238</v>
      </c>
      <c r="Y34" s="27">
        <v>6.0000000000000001E-3</v>
      </c>
    </row>
    <row r="35" spans="1:38" x14ac:dyDescent="0.25">
      <c r="A35" s="71" t="s">
        <v>484</v>
      </c>
      <c r="B35" s="108">
        <v>30.757214000000001</v>
      </c>
      <c r="C35" s="106">
        <v>31.988956000000002</v>
      </c>
      <c r="D35" s="106">
        <v>30.489103</v>
      </c>
      <c r="E35" s="69">
        <v>29.374388</v>
      </c>
      <c r="F35" s="69">
        <v>31.126297000000001</v>
      </c>
      <c r="G35" s="69">
        <v>32.814774</v>
      </c>
      <c r="H35" s="69">
        <v>33.358832999999997</v>
      </c>
      <c r="I35" s="69">
        <v>33.846119000000002</v>
      </c>
      <c r="J35" s="69">
        <v>33.928379</v>
      </c>
      <c r="K35" s="69">
        <v>33.9711</v>
      </c>
      <c r="L35" s="27">
        <v>6.0000000000000001E-3</v>
      </c>
      <c r="N35" s="71" t="s">
        <v>484</v>
      </c>
      <c r="O35" s="69">
        <f t="shared" si="21"/>
        <v>7.6474780596652261</v>
      </c>
      <c r="P35" s="69">
        <f t="shared" si="22"/>
        <v>7.3530101839343596</v>
      </c>
      <c r="Q35" s="69">
        <f t="shared" si="23"/>
        <v>7.7147274303684217</v>
      </c>
      <c r="R35" s="69">
        <f t="shared" si="24"/>
        <v>8.0074900366069972</v>
      </c>
      <c r="S35" s="69">
        <f t="shared" si="25"/>
        <v>7.5567973678792608</v>
      </c>
      <c r="T35" s="69">
        <f t="shared" si="26"/>
        <v>7.1679640164953788</v>
      </c>
      <c r="U35" s="69">
        <f t="shared" si="27"/>
        <v>7.0510595871692558</v>
      </c>
      <c r="V35" s="69">
        <f t="shared" si="28"/>
        <v>6.9495447688235137</v>
      </c>
      <c r="W35" s="69">
        <f t="shared" si="29"/>
        <v>6.9326954653927952</v>
      </c>
      <c r="X35" s="69">
        <f t="shared" si="30"/>
        <v>6.9239771229494522</v>
      </c>
      <c r="Y35" s="27">
        <v>6.0000000000000001E-3</v>
      </c>
    </row>
    <row r="36" spans="1:38" x14ac:dyDescent="0.25">
      <c r="A36" s="71" t="s">
        <v>485</v>
      </c>
      <c r="B36" s="108">
        <v>33.761854851629408</v>
      </c>
      <c r="C36" s="106">
        <v>38.601761710905649</v>
      </c>
      <c r="D36" s="106">
        <v>43.738934</v>
      </c>
      <c r="E36" s="69">
        <v>49.700595999999997</v>
      </c>
      <c r="F36" s="69">
        <v>51.226654000000003</v>
      </c>
      <c r="G36" s="69">
        <v>52.910488000000001</v>
      </c>
      <c r="H36" s="69">
        <v>53.273972000000001</v>
      </c>
      <c r="I36" s="69">
        <v>53.748688000000001</v>
      </c>
      <c r="J36" s="69">
        <v>53.679442999999999</v>
      </c>
      <c r="K36" s="69">
        <v>53.636127000000002</v>
      </c>
      <c r="L36" s="27">
        <v>3.0000000000000001E-3</v>
      </c>
      <c r="N36" s="71" t="s">
        <v>485</v>
      </c>
      <c r="O36" s="69">
        <f t="shared" si="21"/>
        <v>6.9668897125205262</v>
      </c>
      <c r="P36" s="69">
        <f t="shared" si="22"/>
        <v>6.093377836042543</v>
      </c>
      <c r="Q36" s="69">
        <f t="shared" si="23"/>
        <v>5.3777058042024555</v>
      </c>
      <c r="R36" s="69">
        <f t="shared" si="24"/>
        <v>4.732641822674081</v>
      </c>
      <c r="S36" s="69">
        <f t="shared" si="25"/>
        <v>4.5916549466890446</v>
      </c>
      <c r="T36" s="69">
        <f t="shared" si="26"/>
        <v>4.4455291971872972</v>
      </c>
      <c r="U36" s="69">
        <f t="shared" si="27"/>
        <v>4.4151977112092959</v>
      </c>
      <c r="V36" s="69">
        <f t="shared" si="28"/>
        <v>4.3762020617401518</v>
      </c>
      <c r="W36" s="69">
        <f t="shared" si="29"/>
        <v>4.3818472416233556</v>
      </c>
      <c r="X36" s="69">
        <f t="shared" si="30"/>
        <v>4.385385977653236</v>
      </c>
      <c r="Y36" s="27">
        <v>3.0000000000000001E-3</v>
      </c>
    </row>
    <row r="37" spans="1:38" x14ac:dyDescent="0.25">
      <c r="A37" s="71" t="s">
        <v>486</v>
      </c>
      <c r="B37" s="108">
        <v>27.159073085032205</v>
      </c>
      <c r="C37" s="106">
        <v>31.562742650030678</v>
      </c>
      <c r="D37" s="106">
        <v>36.495499000000002</v>
      </c>
      <c r="E37" s="69">
        <v>38.229813</v>
      </c>
      <c r="F37" s="69">
        <v>39.690047999999997</v>
      </c>
      <c r="G37" s="69">
        <v>41.318576999999998</v>
      </c>
      <c r="H37" s="69">
        <v>41.833393000000001</v>
      </c>
      <c r="I37" s="69">
        <v>42.383183000000002</v>
      </c>
      <c r="J37" s="69">
        <v>42.344574000000001</v>
      </c>
      <c r="K37" s="69">
        <v>42.267715000000003</v>
      </c>
      <c r="L37" s="27">
        <v>4.0000000000000001E-3</v>
      </c>
      <c r="N37" s="71" t="s">
        <v>486</v>
      </c>
      <c r="O37" s="69">
        <f t="shared" si="21"/>
        <v>8.660646057580621</v>
      </c>
      <c r="P37" s="69">
        <f t="shared" si="22"/>
        <v>7.452302920867985</v>
      </c>
      <c r="Q37" s="69">
        <f t="shared" si="23"/>
        <v>6.4450446133488439</v>
      </c>
      <c r="R37" s="69">
        <f t="shared" si="24"/>
        <v>6.1526620400007745</v>
      </c>
      <c r="S37" s="69">
        <f t="shared" si="25"/>
        <v>5.9262996920897688</v>
      </c>
      <c r="T37" s="69">
        <f t="shared" si="26"/>
        <v>5.6927207159488615</v>
      </c>
      <c r="U37" s="69">
        <f t="shared" si="27"/>
        <v>5.6226641535251067</v>
      </c>
      <c r="V37" s="69">
        <f t="shared" si="28"/>
        <v>5.549727570990318</v>
      </c>
      <c r="W37" s="69">
        <f t="shared" si="29"/>
        <v>5.5547877100246215</v>
      </c>
      <c r="X37" s="69">
        <f t="shared" si="30"/>
        <v>5.5648884554423663</v>
      </c>
      <c r="Y37" s="27">
        <v>4.0000000000000001E-3</v>
      </c>
    </row>
    <row r="38" spans="1:38" x14ac:dyDescent="0.25">
      <c r="A38" t="s">
        <v>458</v>
      </c>
      <c r="L38" s="27"/>
      <c r="N38" t="s">
        <v>458</v>
      </c>
      <c r="O38" s="69"/>
      <c r="P38" s="69"/>
      <c r="Q38" s="69"/>
      <c r="R38" s="69"/>
      <c r="S38" s="69"/>
      <c r="T38" s="69"/>
      <c r="U38" s="69"/>
      <c r="V38" s="69"/>
      <c r="W38" s="69"/>
      <c r="X38" s="69"/>
      <c r="Y38" s="27"/>
      <c r="AA38" t="s">
        <v>8</v>
      </c>
      <c r="AB38" t="s">
        <v>494</v>
      </c>
      <c r="AC38" s="69" t="e">
        <f>AVERAGE(O39:O46)</f>
        <v>#DIV/0!</v>
      </c>
      <c r="AD38" s="69">
        <f t="shared" ref="AD38" si="40">AVERAGE(P39:P46)</f>
        <v>4.7948038527916337</v>
      </c>
      <c r="AE38" s="69">
        <f t="shared" ref="AE38" si="41">AVERAGE(Q39:Q46)</f>
        <v>4.1579343137727038</v>
      </c>
      <c r="AF38" s="69">
        <f t="shared" ref="AF38" si="42">AVERAGE(R39:R46)</f>
        <v>4.3753788831041325</v>
      </c>
      <c r="AG38" s="69">
        <f t="shared" ref="AG38" si="43">AVERAGE(S39:S46)</f>
        <v>4.2853732814823946</v>
      </c>
      <c r="AH38" s="69">
        <f t="shared" ref="AH38" si="44">AVERAGE(T39:T46)</f>
        <v>4.1314031880053399</v>
      </c>
      <c r="AI38" s="69">
        <f t="shared" ref="AI38" si="45">AVERAGE(U39:U46)</f>
        <v>4.1179686922995966</v>
      </c>
      <c r="AJ38" s="69">
        <f t="shared" ref="AJ38" si="46">AVERAGE(V39:V46)</f>
        <v>4.080696438885175</v>
      </c>
      <c r="AK38" s="69">
        <f t="shared" ref="AK38" si="47">AVERAGE(W39:W46)</f>
        <v>4.0803214620665882</v>
      </c>
      <c r="AL38" s="69">
        <f t="shared" ref="AL38" si="48">AVERAGE(X39:X46)</f>
        <v>4.0772762381622867</v>
      </c>
    </row>
    <row r="39" spans="1:38" x14ac:dyDescent="0.25">
      <c r="A39" s="71" t="s">
        <v>471</v>
      </c>
      <c r="B39" s="108">
        <v>0</v>
      </c>
      <c r="C39" s="106">
        <v>0</v>
      </c>
      <c r="D39" s="106">
        <v>0</v>
      </c>
      <c r="E39" s="69">
        <v>0</v>
      </c>
      <c r="F39" s="69">
        <v>0</v>
      </c>
      <c r="G39" s="69">
        <v>0</v>
      </c>
      <c r="H39" s="69">
        <v>0</v>
      </c>
      <c r="I39" s="69">
        <v>0</v>
      </c>
      <c r="J39" s="69">
        <v>0</v>
      </c>
      <c r="K39" s="69">
        <v>0</v>
      </c>
      <c r="L39" s="27" t="s">
        <v>264</v>
      </c>
      <c r="N39" s="71" t="s">
        <v>471</v>
      </c>
      <c r="O39" s="69" t="str">
        <f t="shared" ref="O39:O54" si="49">IFERROR(L_100km_to_mpg/B39, "")</f>
        <v/>
      </c>
      <c r="P39" s="69" t="str">
        <f t="shared" ref="P39:P54" si="50">IFERROR(L_100km_to_mpg/C39, "")</f>
        <v/>
      </c>
      <c r="Q39" s="69" t="str">
        <f t="shared" ref="Q39:Q54" si="51">IFERROR(L_100km_to_mpg/D39, "")</f>
        <v/>
      </c>
      <c r="R39" s="69" t="str">
        <f t="shared" ref="R39:R54" si="52">IFERROR(L_100km_to_mpg/E39, "")</f>
        <v/>
      </c>
      <c r="S39" s="69" t="str">
        <f t="shared" ref="S39:S54" si="53">IFERROR(L_100km_to_mpg/F39, "")</f>
        <v/>
      </c>
      <c r="T39" s="69" t="str">
        <f t="shared" ref="T39:T54" si="54">IFERROR(L_100km_to_mpg/G39, "")</f>
        <v/>
      </c>
      <c r="U39" s="69" t="str">
        <f t="shared" ref="U39:U54" si="55">IFERROR(L_100km_to_mpg/H39, "")</f>
        <v/>
      </c>
      <c r="V39" s="69" t="str">
        <f t="shared" ref="V39:V54" si="56">IFERROR(L_100km_to_mpg/I39, "")</f>
        <v/>
      </c>
      <c r="W39" s="69" t="str">
        <f t="shared" ref="W39:W54" si="57">IFERROR(L_100km_to_mpg/J39, "")</f>
        <v/>
      </c>
      <c r="X39" s="69" t="str">
        <f t="shared" ref="X39:X54" si="58">IFERROR(L_100km_to_mpg/K39, "")</f>
        <v/>
      </c>
      <c r="Y39" s="27" t="s">
        <v>264</v>
      </c>
      <c r="AA39" t="s">
        <v>240</v>
      </c>
      <c r="AB39" t="s">
        <v>494</v>
      </c>
      <c r="AC39" s="69" t="e">
        <f>AVERAGE(O47:O54)</f>
        <v>#DIV/0!</v>
      </c>
      <c r="AD39" s="69" t="e">
        <f t="shared" ref="AD39" si="59">AVERAGE(P47:P54)</f>
        <v>#DIV/0!</v>
      </c>
      <c r="AE39" s="69">
        <f t="shared" ref="AE39" si="60">AVERAGE(Q47:Q54)</f>
        <v>4.9810623456436272</v>
      </c>
      <c r="AF39" s="69">
        <f t="shared" ref="AF39" si="61">AVERAGE(R47:R54)</f>
        <v>4.9730321418284325</v>
      </c>
      <c r="AG39" s="69">
        <f t="shared" ref="AG39" si="62">AVERAGE(S47:S54)</f>
        <v>4.722644706679298</v>
      </c>
      <c r="AH39" s="69">
        <f t="shared" ref="AH39" si="63">AVERAGE(T47:T54)</f>
        <v>4.4808176446114754</v>
      </c>
      <c r="AI39" s="69">
        <f t="shared" ref="AI39" si="64">AVERAGE(U47:U54)</f>
        <v>4.4280830570172807</v>
      </c>
      <c r="AJ39" s="69">
        <f t="shared" ref="AJ39" si="65">AVERAGE(V47:V54)</f>
        <v>4.3752700757248419</v>
      </c>
      <c r="AK39" s="69">
        <f t="shared" ref="AK39" si="66">AVERAGE(W47:W54)</f>
        <v>4.3709632419173881</v>
      </c>
      <c r="AL39" s="69">
        <f t="shared" ref="AL39" si="67">AVERAGE(X47:X54)</f>
        <v>4.3691903880389056</v>
      </c>
    </row>
    <row r="40" spans="1:38" x14ac:dyDescent="0.25">
      <c r="A40" s="71" t="s">
        <v>472</v>
      </c>
      <c r="B40" s="108">
        <v>0</v>
      </c>
      <c r="C40" s="106">
        <v>0</v>
      </c>
      <c r="D40" s="106">
        <v>0</v>
      </c>
      <c r="E40" s="69">
        <v>0</v>
      </c>
      <c r="F40" s="69">
        <v>49.586123999999998</v>
      </c>
      <c r="G40" s="69">
        <v>51.573684999999998</v>
      </c>
      <c r="H40" s="69">
        <v>52.146422999999999</v>
      </c>
      <c r="I40" s="69">
        <v>52.901927999999998</v>
      </c>
      <c r="J40" s="69">
        <v>52.899498000000001</v>
      </c>
      <c r="K40" s="69">
        <v>52.886882999999997</v>
      </c>
      <c r="L40" s="27" t="s">
        <v>264</v>
      </c>
      <c r="N40" s="71" t="s">
        <v>472</v>
      </c>
      <c r="O40" s="69" t="str">
        <f t="shared" si="49"/>
        <v/>
      </c>
      <c r="P40" s="69" t="str">
        <f t="shared" si="50"/>
        <v/>
      </c>
      <c r="Q40" s="69" t="str">
        <f t="shared" si="51"/>
        <v/>
      </c>
      <c r="R40" s="69" t="str">
        <f t="shared" si="52"/>
        <v/>
      </c>
      <c r="S40" s="69">
        <f t="shared" si="53"/>
        <v>4.7435673585099769</v>
      </c>
      <c r="T40" s="69">
        <f t="shared" si="54"/>
        <v>4.5607584418570859</v>
      </c>
      <c r="U40" s="69">
        <f t="shared" si="55"/>
        <v>4.5106664217683381</v>
      </c>
      <c r="V40" s="69">
        <f t="shared" si="56"/>
        <v>4.446248523143205</v>
      </c>
      <c r="W40" s="69">
        <f t="shared" si="57"/>
        <v>4.4464527667432332</v>
      </c>
      <c r="X40" s="69">
        <f t="shared" si="58"/>
        <v>4.4475133700246268</v>
      </c>
      <c r="Y40" s="27" t="s">
        <v>264</v>
      </c>
    </row>
    <row r="41" spans="1:38" x14ac:dyDescent="0.25">
      <c r="A41" s="71" t="s">
        <v>473</v>
      </c>
      <c r="B41" s="108">
        <v>0</v>
      </c>
      <c r="C41" s="106">
        <v>59.438076000000002</v>
      </c>
      <c r="D41" s="106">
        <v>62.720359999999999</v>
      </c>
      <c r="E41" s="69">
        <v>60.758259000000002</v>
      </c>
      <c r="F41" s="69">
        <v>62.848269999999999</v>
      </c>
      <c r="G41" s="69">
        <v>65.012573000000003</v>
      </c>
      <c r="H41" s="69">
        <v>64.793273999999997</v>
      </c>
      <c r="I41" s="69">
        <v>65.039406</v>
      </c>
      <c r="J41" s="69">
        <v>64.947547999999998</v>
      </c>
      <c r="K41" s="69">
        <v>64.914375000000007</v>
      </c>
      <c r="L41" s="27">
        <v>2E-3</v>
      </c>
      <c r="N41" s="71" t="s">
        <v>473</v>
      </c>
      <c r="O41" s="69" t="str">
        <f t="shared" si="49"/>
        <v/>
      </c>
      <c r="P41" s="69">
        <f t="shared" si="50"/>
        <v>3.9573138141521964</v>
      </c>
      <c r="Q41" s="69">
        <f t="shared" si="51"/>
        <v>3.7502195338392212</v>
      </c>
      <c r="R41" s="69">
        <f t="shared" si="52"/>
        <v>3.871327505309659</v>
      </c>
      <c r="S41" s="69">
        <f t="shared" si="53"/>
        <v>3.7425870153852787</v>
      </c>
      <c r="T41" s="69">
        <f t="shared" si="54"/>
        <v>3.617994310753216</v>
      </c>
      <c r="U41" s="69">
        <f t="shared" si="55"/>
        <v>3.6302397566980202</v>
      </c>
      <c r="V41" s="69">
        <f t="shared" si="56"/>
        <v>3.6165016519589392</v>
      </c>
      <c r="W41" s="69">
        <f t="shared" si="57"/>
        <v>3.621616619636328</v>
      </c>
      <c r="X41" s="69">
        <f t="shared" si="58"/>
        <v>3.6234673636067223</v>
      </c>
      <c r="Y41" s="27">
        <v>2E-3</v>
      </c>
    </row>
    <row r="42" spans="1:38" x14ac:dyDescent="0.25">
      <c r="A42" s="71" t="s">
        <v>474</v>
      </c>
      <c r="B42" s="108">
        <v>0</v>
      </c>
      <c r="C42" s="106">
        <v>55.408481999999999</v>
      </c>
      <c r="D42" s="106">
        <v>66.898300000000006</v>
      </c>
      <c r="E42" s="69">
        <v>60.158645999999997</v>
      </c>
      <c r="F42" s="69">
        <v>62.031277000000003</v>
      </c>
      <c r="G42" s="69">
        <v>63.852795</v>
      </c>
      <c r="H42" s="69">
        <v>63.342751</v>
      </c>
      <c r="I42" s="69">
        <v>63.583117999999999</v>
      </c>
      <c r="J42" s="69">
        <v>63.454253999999999</v>
      </c>
      <c r="K42" s="69">
        <v>63.424171000000001</v>
      </c>
      <c r="L42" s="27">
        <v>1E-3</v>
      </c>
      <c r="N42" s="71" t="s">
        <v>474</v>
      </c>
      <c r="O42" s="69" t="str">
        <f t="shared" si="49"/>
        <v/>
      </c>
      <c r="P42" s="69">
        <f t="shared" si="50"/>
        <v>4.2451103288017915</v>
      </c>
      <c r="Q42" s="69">
        <f t="shared" si="51"/>
        <v>3.516010410450312</v>
      </c>
      <c r="R42" s="69">
        <f t="shared" si="52"/>
        <v>3.9099137843200151</v>
      </c>
      <c r="S42" s="69">
        <f t="shared" si="53"/>
        <v>3.7918793650085285</v>
      </c>
      <c r="T42" s="69">
        <f t="shared" si="54"/>
        <v>3.6837090567676505</v>
      </c>
      <c r="U42" s="69">
        <f t="shared" si="55"/>
        <v>3.7133707571593813</v>
      </c>
      <c r="V42" s="69">
        <f t="shared" si="56"/>
        <v>3.6993328833201944</v>
      </c>
      <c r="W42" s="69">
        <f t="shared" si="57"/>
        <v>3.7068455527257185</v>
      </c>
      <c r="X42" s="69">
        <f t="shared" si="58"/>
        <v>3.7086037630894402</v>
      </c>
      <c r="Y42" s="27">
        <v>1E-3</v>
      </c>
    </row>
    <row r="43" spans="1:38" x14ac:dyDescent="0.25">
      <c r="A43" s="71" t="s">
        <v>475</v>
      </c>
      <c r="B43" s="108">
        <v>0</v>
      </c>
      <c r="C43" s="106">
        <v>46.064148000000003</v>
      </c>
      <c r="D43" s="106">
        <v>57.350589999999997</v>
      </c>
      <c r="E43" s="69">
        <v>54.348373000000002</v>
      </c>
      <c r="F43" s="69">
        <v>55.853237</v>
      </c>
      <c r="G43" s="69">
        <v>57.982491000000003</v>
      </c>
      <c r="H43" s="69">
        <v>57.817959000000002</v>
      </c>
      <c r="I43" s="69">
        <v>58.21172</v>
      </c>
      <c r="J43" s="69">
        <v>58.156013000000002</v>
      </c>
      <c r="K43" s="69">
        <v>58.190505999999999</v>
      </c>
      <c r="L43" s="27">
        <v>2E-3</v>
      </c>
      <c r="N43" s="71" t="s">
        <v>475</v>
      </c>
      <c r="O43" s="69" t="str">
        <f t="shared" si="49"/>
        <v/>
      </c>
      <c r="P43" s="69">
        <f t="shared" si="50"/>
        <v>5.1062513788690529</v>
      </c>
      <c r="Q43" s="69">
        <f t="shared" si="51"/>
        <v>4.101354828981326</v>
      </c>
      <c r="R43" s="69">
        <f t="shared" si="52"/>
        <v>4.3279146413716587</v>
      </c>
      <c r="S43" s="69">
        <f t="shared" si="53"/>
        <v>4.2113068440675718</v>
      </c>
      <c r="T43" s="69">
        <f t="shared" si="54"/>
        <v>4.0566577114016731</v>
      </c>
      <c r="U43" s="69">
        <f t="shared" si="55"/>
        <v>4.0682017025441546</v>
      </c>
      <c r="V43" s="69">
        <f t="shared" si="56"/>
        <v>4.0406832033382303</v>
      </c>
      <c r="W43" s="69">
        <f t="shared" si="57"/>
        <v>4.0445537289743045</v>
      </c>
      <c r="X43" s="69">
        <f t="shared" si="58"/>
        <v>4.0421562796073323</v>
      </c>
      <c r="Y43" s="27">
        <v>2E-3</v>
      </c>
    </row>
    <row r="44" spans="1:38" x14ac:dyDescent="0.25">
      <c r="A44" s="71" t="s">
        <v>476</v>
      </c>
      <c r="B44" s="108">
        <v>0</v>
      </c>
      <c r="C44" s="106">
        <v>45.241314000000003</v>
      </c>
      <c r="D44" s="106">
        <v>46.438496000000001</v>
      </c>
      <c r="E44" s="69">
        <v>44.024593000000003</v>
      </c>
      <c r="F44" s="69">
        <v>46.435004999999997</v>
      </c>
      <c r="G44" s="69">
        <v>48.588745000000003</v>
      </c>
      <c r="H44" s="69">
        <v>49.226844999999997</v>
      </c>
      <c r="I44" s="69">
        <v>49.91713</v>
      </c>
      <c r="J44" s="69">
        <v>50.043498999999997</v>
      </c>
      <c r="K44" s="69">
        <v>50.116249000000003</v>
      </c>
      <c r="L44" s="27">
        <v>5.0000000000000001E-3</v>
      </c>
      <c r="N44" s="71" t="s">
        <v>476</v>
      </c>
      <c r="O44" s="69" t="str">
        <f t="shared" si="49"/>
        <v/>
      </c>
      <c r="P44" s="69">
        <f t="shared" si="50"/>
        <v>5.1991221837948416</v>
      </c>
      <c r="Q44" s="69">
        <f t="shared" si="51"/>
        <v>5.0650890856032058</v>
      </c>
      <c r="R44" s="69">
        <f t="shared" si="52"/>
        <v>5.3428118970101126</v>
      </c>
      <c r="S44" s="69">
        <f t="shared" si="53"/>
        <v>5.0654698807812801</v>
      </c>
      <c r="T44" s="69">
        <f t="shared" si="54"/>
        <v>4.8409383539630033</v>
      </c>
      <c r="U44" s="69">
        <f t="shared" si="55"/>
        <v>4.7781879834352203</v>
      </c>
      <c r="V44" s="69">
        <f t="shared" si="56"/>
        <v>4.7121122396545667</v>
      </c>
      <c r="W44" s="69">
        <f t="shared" si="57"/>
        <v>4.7002132932676863</v>
      </c>
      <c r="X44" s="69">
        <f t="shared" si="58"/>
        <v>4.69339034614159</v>
      </c>
      <c r="Y44" s="27">
        <v>5.0000000000000001E-3</v>
      </c>
    </row>
    <row r="45" spans="1:38" x14ac:dyDescent="0.25">
      <c r="A45" s="71" t="s">
        <v>477</v>
      </c>
      <c r="C45" s="106">
        <v>50.192472185255752</v>
      </c>
      <c r="D45" s="106">
        <v>59.206268000000001</v>
      </c>
      <c r="E45" s="69">
        <v>56.049827999999998</v>
      </c>
      <c r="F45" s="69">
        <v>58.566563000000002</v>
      </c>
      <c r="G45" s="69">
        <v>60.79372</v>
      </c>
      <c r="H45" s="69">
        <v>60.754931999999997</v>
      </c>
      <c r="I45" s="69">
        <v>61.222042000000002</v>
      </c>
      <c r="J45" s="69">
        <v>61.241039000000001</v>
      </c>
      <c r="K45" s="69">
        <v>61.389118000000003</v>
      </c>
      <c r="L45" s="27">
        <v>3.0000000000000001E-3</v>
      </c>
      <c r="N45" s="71" t="s">
        <v>477</v>
      </c>
      <c r="O45" s="69" t="str">
        <f t="shared" si="49"/>
        <v/>
      </c>
      <c r="P45" s="69">
        <f t="shared" si="50"/>
        <v>4.6862628796858417</v>
      </c>
      <c r="Q45" s="69">
        <f t="shared" si="51"/>
        <v>3.972807731124484</v>
      </c>
      <c r="R45" s="69">
        <f t="shared" si="52"/>
        <v>4.1965359686996386</v>
      </c>
      <c r="S45" s="69">
        <f t="shared" si="53"/>
        <v>4.0162015182866053</v>
      </c>
      <c r="T45" s="69">
        <f t="shared" si="54"/>
        <v>3.8690693585032818</v>
      </c>
      <c r="U45" s="69">
        <f t="shared" si="55"/>
        <v>3.8715395030222099</v>
      </c>
      <c r="V45" s="69">
        <f t="shared" si="56"/>
        <v>3.8420005533534498</v>
      </c>
      <c r="W45" s="69">
        <f t="shared" si="57"/>
        <v>3.8408087629184107</v>
      </c>
      <c r="X45" s="69">
        <f t="shared" si="58"/>
        <v>3.8315442036718648</v>
      </c>
      <c r="Y45" s="27">
        <v>3.0000000000000001E-3</v>
      </c>
    </row>
    <row r="46" spans="1:38" x14ac:dyDescent="0.25">
      <c r="A46" s="71" t="s">
        <v>478</v>
      </c>
      <c r="C46" s="106">
        <v>42.19284999399143</v>
      </c>
      <c r="D46" s="106">
        <v>51.785266999999997</v>
      </c>
      <c r="E46" s="69">
        <v>51.091853999999998</v>
      </c>
      <c r="F46" s="69">
        <v>53.136733999999997</v>
      </c>
      <c r="G46" s="69">
        <v>54.819817</v>
      </c>
      <c r="H46" s="69">
        <v>55.298222000000003</v>
      </c>
      <c r="I46" s="69">
        <v>55.897182000000001</v>
      </c>
      <c r="J46" s="69">
        <v>55.980148</v>
      </c>
      <c r="K46" s="69">
        <v>56.080264999999997</v>
      </c>
      <c r="L46" s="27">
        <v>4.0000000000000001E-3</v>
      </c>
      <c r="N46" s="71" t="s">
        <v>478</v>
      </c>
      <c r="O46" s="69" t="str">
        <f t="shared" si="49"/>
        <v/>
      </c>
      <c r="P46" s="69">
        <f t="shared" si="50"/>
        <v>5.5747625314460745</v>
      </c>
      <c r="Q46" s="69">
        <f t="shared" si="51"/>
        <v>4.5421242926376753</v>
      </c>
      <c r="R46" s="69">
        <f t="shared" si="52"/>
        <v>4.603769501913713</v>
      </c>
      <c r="S46" s="69">
        <f t="shared" si="53"/>
        <v>4.4266009883375244</v>
      </c>
      <c r="T46" s="69">
        <f t="shared" si="54"/>
        <v>4.2906950827914683</v>
      </c>
      <c r="U46" s="69">
        <f t="shared" si="55"/>
        <v>4.2535747214698532</v>
      </c>
      <c r="V46" s="69">
        <f t="shared" si="56"/>
        <v>4.207996017427643</v>
      </c>
      <c r="W46" s="69">
        <f t="shared" si="57"/>
        <v>4.2017595102004401</v>
      </c>
      <c r="X46" s="69">
        <f t="shared" si="58"/>
        <v>4.1942583409944332</v>
      </c>
      <c r="Y46" s="27">
        <v>4.0000000000000001E-3</v>
      </c>
    </row>
    <row r="47" spans="1:38" x14ac:dyDescent="0.25">
      <c r="A47" s="71" t="s">
        <v>479</v>
      </c>
      <c r="B47" s="108">
        <v>0</v>
      </c>
      <c r="C47" s="106">
        <v>0</v>
      </c>
      <c r="D47" s="106">
        <v>0</v>
      </c>
      <c r="E47" s="69">
        <v>0</v>
      </c>
      <c r="F47" s="69">
        <v>0</v>
      </c>
      <c r="G47" s="69">
        <v>0</v>
      </c>
      <c r="H47" s="69">
        <v>0</v>
      </c>
      <c r="I47" s="69">
        <v>0</v>
      </c>
      <c r="J47" s="69">
        <v>0</v>
      </c>
      <c r="K47" s="69">
        <v>0</v>
      </c>
      <c r="L47" s="27" t="s">
        <v>264</v>
      </c>
      <c r="N47" s="71" t="s">
        <v>479</v>
      </c>
      <c r="O47" s="69" t="str">
        <f t="shared" si="49"/>
        <v/>
      </c>
      <c r="P47" s="69" t="str">
        <f t="shared" si="50"/>
        <v/>
      </c>
      <c r="Q47" s="69" t="str">
        <f t="shared" si="51"/>
        <v/>
      </c>
      <c r="R47" s="69" t="str">
        <f t="shared" si="52"/>
        <v/>
      </c>
      <c r="S47" s="69" t="str">
        <f t="shared" si="53"/>
        <v/>
      </c>
      <c r="T47" s="69" t="str">
        <f t="shared" si="54"/>
        <v/>
      </c>
      <c r="U47" s="69" t="str">
        <f t="shared" si="55"/>
        <v/>
      </c>
      <c r="V47" s="69" t="str">
        <f t="shared" si="56"/>
        <v/>
      </c>
      <c r="W47" s="69" t="str">
        <f t="shared" si="57"/>
        <v/>
      </c>
      <c r="X47" s="69" t="str">
        <f t="shared" si="58"/>
        <v/>
      </c>
      <c r="Y47" s="27" t="s">
        <v>264</v>
      </c>
    </row>
    <row r="48" spans="1:38" x14ac:dyDescent="0.25">
      <c r="A48" s="71" t="s">
        <v>480</v>
      </c>
      <c r="B48" s="108">
        <v>0</v>
      </c>
      <c r="C48" s="106">
        <v>0</v>
      </c>
      <c r="D48" s="106">
        <v>0</v>
      </c>
      <c r="E48" s="69">
        <v>0</v>
      </c>
      <c r="F48" s="69">
        <v>0</v>
      </c>
      <c r="G48" s="69">
        <v>0</v>
      </c>
      <c r="H48" s="69">
        <v>0</v>
      </c>
      <c r="I48" s="69">
        <v>0</v>
      </c>
      <c r="J48" s="69">
        <v>0</v>
      </c>
      <c r="K48" s="69">
        <v>0</v>
      </c>
      <c r="L48" s="27" t="s">
        <v>264</v>
      </c>
      <c r="N48" s="71" t="s">
        <v>480</v>
      </c>
      <c r="O48" s="69" t="str">
        <f t="shared" si="49"/>
        <v/>
      </c>
      <c r="P48" s="69" t="str">
        <f t="shared" si="50"/>
        <v/>
      </c>
      <c r="Q48" s="69" t="str">
        <f t="shared" si="51"/>
        <v/>
      </c>
      <c r="R48" s="69" t="str">
        <f t="shared" si="52"/>
        <v/>
      </c>
      <c r="S48" s="69" t="str">
        <f t="shared" si="53"/>
        <v/>
      </c>
      <c r="T48" s="69" t="str">
        <f t="shared" si="54"/>
        <v/>
      </c>
      <c r="U48" s="69" t="str">
        <f t="shared" si="55"/>
        <v/>
      </c>
      <c r="V48" s="69" t="str">
        <f t="shared" si="56"/>
        <v/>
      </c>
      <c r="W48" s="69" t="str">
        <f t="shared" si="57"/>
        <v/>
      </c>
      <c r="X48" s="69" t="str">
        <f t="shared" si="58"/>
        <v/>
      </c>
      <c r="Y48" s="27" t="s">
        <v>264</v>
      </c>
    </row>
    <row r="49" spans="1:38" x14ac:dyDescent="0.25">
      <c r="A49" s="71" t="s">
        <v>481</v>
      </c>
      <c r="B49" s="108">
        <v>0</v>
      </c>
      <c r="C49" s="106">
        <v>0</v>
      </c>
      <c r="D49" s="106">
        <v>49.898074999999999</v>
      </c>
      <c r="E49" s="69">
        <v>51.442501</v>
      </c>
      <c r="F49" s="69">
        <v>54.679400999999999</v>
      </c>
      <c r="G49" s="69">
        <v>58.671562000000002</v>
      </c>
      <c r="H49" s="69">
        <v>58.933453</v>
      </c>
      <c r="I49" s="69">
        <v>59.353991999999998</v>
      </c>
      <c r="J49" s="69">
        <v>59.364936999999998</v>
      </c>
      <c r="K49" s="69">
        <v>59.377197000000002</v>
      </c>
      <c r="L49" s="27">
        <v>6.0000000000000001E-3</v>
      </c>
      <c r="N49" s="71" t="s">
        <v>481</v>
      </c>
      <c r="O49" s="69" t="str">
        <f t="shared" si="49"/>
        <v/>
      </c>
      <c r="P49" s="69" t="str">
        <f t="shared" si="50"/>
        <v/>
      </c>
      <c r="Q49" s="69">
        <f t="shared" si="51"/>
        <v>4.7139116938164074</v>
      </c>
      <c r="R49" s="69">
        <f t="shared" si="52"/>
        <v>4.5723888743556254</v>
      </c>
      <c r="S49" s="69">
        <f t="shared" si="53"/>
        <v>4.3017135326963096</v>
      </c>
      <c r="T49" s="69">
        <f t="shared" si="54"/>
        <v>4.0090140985410976</v>
      </c>
      <c r="U49" s="69">
        <f t="shared" si="55"/>
        <v>3.991198670158155</v>
      </c>
      <c r="V49" s="69">
        <f t="shared" si="56"/>
        <v>3.9629199539169688</v>
      </c>
      <c r="W49" s="69">
        <f t="shared" si="57"/>
        <v>3.9621893179374239</v>
      </c>
      <c r="X49" s="69">
        <f t="shared" si="58"/>
        <v>3.9613712186755485</v>
      </c>
      <c r="Y49" s="27">
        <v>6.0000000000000001E-3</v>
      </c>
    </row>
    <row r="50" spans="1:38" x14ac:dyDescent="0.25">
      <c r="A50" s="71" t="s">
        <v>482</v>
      </c>
      <c r="B50" s="108">
        <v>0</v>
      </c>
      <c r="C50" s="106">
        <v>0</v>
      </c>
      <c r="D50" s="106">
        <v>0</v>
      </c>
      <c r="E50" s="69">
        <v>0</v>
      </c>
      <c r="F50" s="69">
        <v>0</v>
      </c>
      <c r="G50" s="69">
        <v>0</v>
      </c>
      <c r="H50" s="69">
        <v>0</v>
      </c>
      <c r="I50" s="69">
        <v>0</v>
      </c>
      <c r="J50" s="69">
        <v>0</v>
      </c>
      <c r="K50" s="69">
        <v>0</v>
      </c>
      <c r="L50" s="27" t="s">
        <v>264</v>
      </c>
      <c r="N50" s="71" t="s">
        <v>482</v>
      </c>
      <c r="O50" s="69" t="str">
        <f t="shared" si="49"/>
        <v/>
      </c>
      <c r="P50" s="69" t="str">
        <f t="shared" si="50"/>
        <v/>
      </c>
      <c r="Q50" s="69" t="str">
        <f t="shared" si="51"/>
        <v/>
      </c>
      <c r="R50" s="69" t="str">
        <f t="shared" si="52"/>
        <v/>
      </c>
      <c r="S50" s="69" t="str">
        <f t="shared" si="53"/>
        <v/>
      </c>
      <c r="T50" s="69" t="str">
        <f t="shared" si="54"/>
        <v/>
      </c>
      <c r="U50" s="69" t="str">
        <f t="shared" si="55"/>
        <v/>
      </c>
      <c r="V50" s="69" t="str">
        <f t="shared" si="56"/>
        <v/>
      </c>
      <c r="W50" s="69" t="str">
        <f t="shared" si="57"/>
        <v/>
      </c>
      <c r="X50" s="69" t="str">
        <f t="shared" si="58"/>
        <v/>
      </c>
      <c r="Y50" s="27" t="s">
        <v>264</v>
      </c>
    </row>
    <row r="51" spans="1:38" x14ac:dyDescent="0.25">
      <c r="A51" s="71" t="s">
        <v>483</v>
      </c>
      <c r="B51" s="108">
        <v>0</v>
      </c>
      <c r="C51" s="106">
        <v>0</v>
      </c>
      <c r="D51" s="106">
        <v>40.576649000000003</v>
      </c>
      <c r="E51" s="69">
        <v>42.086212000000003</v>
      </c>
      <c r="F51" s="69">
        <v>44.910243999999999</v>
      </c>
      <c r="G51" s="69">
        <v>47.176949</v>
      </c>
      <c r="H51" s="69">
        <v>48.109051000000001</v>
      </c>
      <c r="I51" s="69">
        <v>48.772979999999997</v>
      </c>
      <c r="J51" s="69">
        <v>48.870303999999997</v>
      </c>
      <c r="K51" s="69">
        <v>48.920208000000002</v>
      </c>
      <c r="L51" s="27">
        <v>6.0000000000000001E-3</v>
      </c>
      <c r="N51" s="71" t="s">
        <v>483</v>
      </c>
      <c r="O51" s="69" t="str">
        <f t="shared" si="49"/>
        <v/>
      </c>
      <c r="P51" s="69" t="str">
        <f t="shared" si="50"/>
        <v/>
      </c>
      <c r="Q51" s="69">
        <f t="shared" si="51"/>
        <v>5.7968098657291325</v>
      </c>
      <c r="R51" s="69">
        <f t="shared" si="52"/>
        <v>5.5888878581286461</v>
      </c>
      <c r="S51" s="69">
        <f t="shared" si="53"/>
        <v>5.2374491494953386</v>
      </c>
      <c r="T51" s="69">
        <f t="shared" si="54"/>
        <v>4.9858060817249577</v>
      </c>
      <c r="U51" s="69">
        <f t="shared" si="55"/>
        <v>4.8892072146970458</v>
      </c>
      <c r="V51" s="69">
        <f t="shared" si="56"/>
        <v>4.8226521988492017</v>
      </c>
      <c r="W51" s="69">
        <f t="shared" si="57"/>
        <v>4.8130480064422798</v>
      </c>
      <c r="X51" s="69">
        <f t="shared" si="58"/>
        <v>4.808138167389397</v>
      </c>
      <c r="Y51" s="27">
        <v>6.0000000000000001E-3</v>
      </c>
    </row>
    <row r="52" spans="1:38" x14ac:dyDescent="0.25">
      <c r="A52" s="71" t="s">
        <v>484</v>
      </c>
      <c r="B52" s="108">
        <v>0</v>
      </c>
      <c r="C52" s="106">
        <v>0</v>
      </c>
      <c r="D52" s="106">
        <v>0</v>
      </c>
      <c r="E52" s="69">
        <v>0</v>
      </c>
      <c r="F52" s="69">
        <v>0</v>
      </c>
      <c r="G52" s="69">
        <v>0</v>
      </c>
      <c r="H52" s="69">
        <v>0</v>
      </c>
      <c r="I52" s="69">
        <v>0</v>
      </c>
      <c r="J52" s="69">
        <v>0</v>
      </c>
      <c r="K52" s="69">
        <v>0</v>
      </c>
      <c r="L52" s="27" t="s">
        <v>264</v>
      </c>
      <c r="N52" s="71" t="s">
        <v>484</v>
      </c>
      <c r="O52" s="69" t="str">
        <f t="shared" si="49"/>
        <v/>
      </c>
      <c r="P52" s="69" t="str">
        <f t="shared" si="50"/>
        <v/>
      </c>
      <c r="Q52" s="69" t="str">
        <f t="shared" si="51"/>
        <v/>
      </c>
      <c r="R52" s="69" t="str">
        <f t="shared" si="52"/>
        <v/>
      </c>
      <c r="S52" s="69" t="str">
        <f t="shared" si="53"/>
        <v/>
      </c>
      <c r="T52" s="69" t="str">
        <f t="shared" si="54"/>
        <v/>
      </c>
      <c r="U52" s="69" t="str">
        <f t="shared" si="55"/>
        <v/>
      </c>
      <c r="V52" s="69" t="str">
        <f t="shared" si="56"/>
        <v/>
      </c>
      <c r="W52" s="69" t="str">
        <f t="shared" si="57"/>
        <v/>
      </c>
      <c r="X52" s="69" t="str">
        <f t="shared" si="58"/>
        <v/>
      </c>
      <c r="Y52" s="27" t="s">
        <v>264</v>
      </c>
    </row>
    <row r="53" spans="1:38" x14ac:dyDescent="0.25">
      <c r="A53" s="71" t="s">
        <v>485</v>
      </c>
      <c r="D53" s="106">
        <v>54.732284999999997</v>
      </c>
      <c r="E53" s="69">
        <v>53.998375000000003</v>
      </c>
      <c r="F53" s="69">
        <v>55.664684000000001</v>
      </c>
      <c r="G53" s="69">
        <v>58.263930999999999</v>
      </c>
      <c r="H53" s="69">
        <v>58.710811999999997</v>
      </c>
      <c r="I53" s="69">
        <v>59.479939000000002</v>
      </c>
      <c r="J53" s="69">
        <v>59.569603000000001</v>
      </c>
      <c r="K53" s="69">
        <v>59.648857</v>
      </c>
      <c r="L53" s="27">
        <v>4.0000000000000001E-3</v>
      </c>
      <c r="N53" s="71" t="s">
        <v>485</v>
      </c>
      <c r="O53" s="69" t="str">
        <f t="shared" si="49"/>
        <v/>
      </c>
      <c r="P53" s="69" t="str">
        <f t="shared" si="50"/>
        <v/>
      </c>
      <c r="Q53" s="69">
        <f t="shared" si="51"/>
        <v>4.2975570861225352</v>
      </c>
      <c r="R53" s="69">
        <f t="shared" si="52"/>
        <v>4.3559666238368866</v>
      </c>
      <c r="S53" s="69">
        <f t="shared" si="53"/>
        <v>4.2255718049423967</v>
      </c>
      <c r="T53" s="69">
        <f t="shared" si="54"/>
        <v>4.037062299168042</v>
      </c>
      <c r="U53" s="69">
        <f t="shared" si="55"/>
        <v>4.0063339481904654</v>
      </c>
      <c r="V53" s="69">
        <f t="shared" si="56"/>
        <v>3.9545285888983197</v>
      </c>
      <c r="W53" s="69">
        <f t="shared" si="57"/>
        <v>3.9485762435151388</v>
      </c>
      <c r="X53" s="69">
        <f t="shared" si="58"/>
        <v>3.9433298653388804</v>
      </c>
      <c r="Y53" s="27">
        <v>4.0000000000000001E-3</v>
      </c>
    </row>
    <row r="54" spans="1:38" x14ac:dyDescent="0.25">
      <c r="A54" s="71" t="s">
        <v>486</v>
      </c>
      <c r="D54" s="106">
        <v>45.976635000000002</v>
      </c>
      <c r="E54" s="69">
        <v>43.761887000000002</v>
      </c>
      <c r="F54" s="69">
        <v>45.888072999999999</v>
      </c>
      <c r="G54" s="69">
        <v>48.087600999999999</v>
      </c>
      <c r="H54" s="69">
        <v>48.743262999999999</v>
      </c>
      <c r="I54" s="69">
        <v>49.404774000000003</v>
      </c>
      <c r="J54" s="69">
        <v>49.414532000000001</v>
      </c>
      <c r="K54" s="69">
        <v>49.374256000000003</v>
      </c>
      <c r="L54" s="27">
        <v>4.0000000000000001E-3</v>
      </c>
      <c r="N54" s="71" t="s">
        <v>486</v>
      </c>
      <c r="O54" s="69" t="str">
        <f t="shared" si="49"/>
        <v/>
      </c>
      <c r="P54" s="69" t="str">
        <f t="shared" si="50"/>
        <v/>
      </c>
      <c r="Q54" s="69">
        <f t="shared" si="51"/>
        <v>5.1159707369064336</v>
      </c>
      <c r="R54" s="69">
        <f t="shared" si="52"/>
        <v>5.3748852109925727</v>
      </c>
      <c r="S54" s="69">
        <f t="shared" si="53"/>
        <v>5.1258443395831454</v>
      </c>
      <c r="T54" s="69">
        <f t="shared" si="54"/>
        <v>4.8913880990118042</v>
      </c>
      <c r="U54" s="69">
        <f t="shared" si="55"/>
        <v>4.8255923950234552</v>
      </c>
      <c r="V54" s="69">
        <f t="shared" si="56"/>
        <v>4.7609795612348744</v>
      </c>
      <c r="W54" s="69">
        <f t="shared" si="57"/>
        <v>4.7600393997747084</v>
      </c>
      <c r="X54" s="69">
        <f t="shared" si="58"/>
        <v>4.763922300751795</v>
      </c>
      <c r="Y54" s="27">
        <v>4.0000000000000001E-3</v>
      </c>
    </row>
    <row r="55" spans="1:38" x14ac:dyDescent="0.25">
      <c r="A55" t="s">
        <v>459</v>
      </c>
      <c r="L55" s="27"/>
      <c r="N55" t="s">
        <v>459</v>
      </c>
      <c r="O55" s="69"/>
      <c r="P55" s="69"/>
      <c r="Q55" s="69"/>
      <c r="R55" s="69"/>
      <c r="S55" s="69"/>
      <c r="T55" s="69"/>
      <c r="U55" s="69"/>
      <c r="V55" s="69"/>
      <c r="W55" s="69"/>
      <c r="X55" s="69"/>
      <c r="Y55" s="27"/>
      <c r="AA55" t="s">
        <v>8</v>
      </c>
      <c r="AB55" t="s">
        <v>495</v>
      </c>
      <c r="AC55" s="69" t="e">
        <f>AVERAGE(O56:O63)</f>
        <v>#DIV/0!</v>
      </c>
      <c r="AD55" s="69">
        <f t="shared" ref="AD55" si="68">AVERAGE(P56:P63)</f>
        <v>3.8198281362462922</v>
      </c>
      <c r="AE55" s="69">
        <f t="shared" ref="AE55" si="69">AVERAGE(Q56:Q63)</f>
        <v>3.3711474604397038</v>
      </c>
      <c r="AF55" s="69">
        <f t="shared" ref="AF55" si="70">AVERAGE(R56:R63)</f>
        <v>3.1797103146896557</v>
      </c>
      <c r="AG55" s="69">
        <f t="shared" ref="AG55" si="71">AVERAGE(S56:S63)</f>
        <v>3.0902217555695941</v>
      </c>
      <c r="AH55" s="69">
        <f t="shared" ref="AH55" si="72">AVERAGE(T56:T63)</f>
        <v>2.9995088804282837</v>
      </c>
      <c r="AI55" s="69">
        <f t="shared" ref="AI55" si="73">AVERAGE(U56:U63)</f>
        <v>2.9855725212824229</v>
      </c>
      <c r="AJ55" s="69">
        <f t="shared" ref="AJ55" si="74">AVERAGE(V56:V63)</f>
        <v>2.962538471906738</v>
      </c>
      <c r="AK55" s="69">
        <f t="shared" ref="AK55" si="75">AVERAGE(W56:W63)</f>
        <v>2.9614342072984465</v>
      </c>
      <c r="AL55" s="69">
        <f t="shared" ref="AL55" si="76">AVERAGE(X56:X63)</f>
        <v>2.9592281766432014</v>
      </c>
    </row>
    <row r="56" spans="1:38" x14ac:dyDescent="0.25">
      <c r="A56" s="71" t="s">
        <v>471</v>
      </c>
      <c r="B56" s="108">
        <v>0</v>
      </c>
      <c r="C56" s="106">
        <v>0</v>
      </c>
      <c r="D56" s="106">
        <v>0</v>
      </c>
      <c r="E56" s="69">
        <v>66.403769999999994</v>
      </c>
      <c r="F56" s="69">
        <v>68.201537999999999</v>
      </c>
      <c r="G56" s="69">
        <v>71.108986000000002</v>
      </c>
      <c r="H56" s="69">
        <v>72.348975999999993</v>
      </c>
      <c r="I56" s="69">
        <v>73.298409000000007</v>
      </c>
      <c r="J56" s="69">
        <v>73.389213999999996</v>
      </c>
      <c r="K56" s="69">
        <v>73.475037</v>
      </c>
      <c r="L56" s="27">
        <v>4.0000000000000001E-3</v>
      </c>
      <c r="N56" s="71" t="s">
        <v>471</v>
      </c>
      <c r="O56" s="69" t="str">
        <f t="shared" ref="O56:O71" si="77">IFERROR(L_100km_to_mpg/B56, "")</f>
        <v/>
      </c>
      <c r="P56" s="69" t="str">
        <f t="shared" ref="P56:P71" si="78">IFERROR(L_100km_to_mpg/C56, "")</f>
        <v/>
      </c>
      <c r="Q56" s="69" t="str">
        <f t="shared" ref="Q56:Q71" si="79">IFERROR(L_100km_to_mpg/D56, "")</f>
        <v/>
      </c>
      <c r="R56" s="69">
        <f t="shared" ref="R56:R71" si="80">IFERROR(L_100km_to_mpg/E56, "")</f>
        <v>3.5421952585136078</v>
      </c>
      <c r="S56" s="69">
        <f t="shared" ref="S56:S71" si="81">IFERROR(L_100km_to_mpg/F56, "")</f>
        <v>3.4488242661247339</v>
      </c>
      <c r="T56" s="69">
        <f t="shared" ref="T56:T71" si="82">IFERROR(L_100km_to_mpg/G56, "")</f>
        <v>3.3078114662108686</v>
      </c>
      <c r="U56" s="69">
        <f t="shared" ref="U56:U71" si="83">IFERROR(L_100km_to_mpg/H56, "")</f>
        <v>3.2511188443279164</v>
      </c>
      <c r="V56" s="69">
        <f t="shared" ref="V56:V71" si="84">IFERROR(L_100km_to_mpg/I56, "")</f>
        <v>3.2090071592335399</v>
      </c>
      <c r="W56" s="69">
        <f t="shared" ref="W56:W71" si="85">IFERROR(L_100km_to_mpg/J56, "")</f>
        <v>3.2050366316966978</v>
      </c>
      <c r="X56" s="69">
        <f t="shared" ref="X56:X71" si="86">IFERROR(L_100km_to_mpg/K56, "")</f>
        <v>3.2012929675888171</v>
      </c>
      <c r="Y56" s="27">
        <v>4.0000000000000001E-3</v>
      </c>
      <c r="AA56" t="s">
        <v>240</v>
      </c>
      <c r="AB56" t="s">
        <v>495</v>
      </c>
      <c r="AC56" s="69" t="e">
        <f>AVERAGE(O64:O71)</f>
        <v>#DIV/0!</v>
      </c>
      <c r="AD56" s="69" t="e">
        <f t="shared" ref="AD56" si="87">AVERAGE(P64:P71)</f>
        <v>#DIV/0!</v>
      </c>
      <c r="AE56" s="69">
        <f t="shared" ref="AE56" si="88">AVERAGE(Q64:Q71)</f>
        <v>4.3299709856672619</v>
      </c>
      <c r="AF56" s="69">
        <f t="shared" ref="AF56" si="89">AVERAGE(R64:R71)</f>
        <v>3.5186647440977068</v>
      </c>
      <c r="AG56" s="69">
        <f t="shared" ref="AG56" si="90">AVERAGE(S64:S71)</f>
        <v>3.3970576497843377</v>
      </c>
      <c r="AH56" s="69">
        <f t="shared" ref="AH56" si="91">AVERAGE(T64:T71)</f>
        <v>3.2725070122234188</v>
      </c>
      <c r="AI56" s="69">
        <f t="shared" ref="AI56" si="92">AVERAGE(U64:U71)</f>
        <v>3.2384957523995546</v>
      </c>
      <c r="AJ56" s="69">
        <f t="shared" ref="AJ56" si="93">AVERAGE(V64:V71)</f>
        <v>3.2052599627282428</v>
      </c>
      <c r="AK56" s="69">
        <f t="shared" ref="AK56" si="94">AVERAGE(W64:W71)</f>
        <v>3.2008029167914338</v>
      </c>
      <c r="AL56" s="69">
        <f t="shared" ref="AL56" si="95">AVERAGE(X64:X71)</f>
        <v>3.198444045011227</v>
      </c>
    </row>
    <row r="57" spans="1:38" x14ac:dyDescent="0.25">
      <c r="A57" s="71" t="s">
        <v>472</v>
      </c>
      <c r="B57" s="108">
        <v>0</v>
      </c>
      <c r="C57" s="106">
        <v>0</v>
      </c>
      <c r="D57" s="106">
        <v>67.421882999999994</v>
      </c>
      <c r="E57" s="69">
        <v>69.646095000000003</v>
      </c>
      <c r="F57" s="69">
        <v>71.771377999999999</v>
      </c>
      <c r="G57" s="69">
        <v>74.054778999999996</v>
      </c>
      <c r="H57" s="69">
        <v>74.665206999999995</v>
      </c>
      <c r="I57" s="69">
        <v>75.457595999999995</v>
      </c>
      <c r="J57" s="69">
        <v>75.461044000000001</v>
      </c>
      <c r="K57" s="69">
        <v>75.452988000000005</v>
      </c>
      <c r="L57" s="27">
        <v>3.0000000000000001E-3</v>
      </c>
      <c r="N57" s="71" t="s">
        <v>472</v>
      </c>
      <c r="O57" s="69" t="str">
        <f t="shared" si="77"/>
        <v/>
      </c>
      <c r="P57" s="69" t="str">
        <f t="shared" si="78"/>
        <v/>
      </c>
      <c r="Q57" s="69">
        <f t="shared" si="79"/>
        <v>3.4887058737506362</v>
      </c>
      <c r="R57" s="69">
        <f t="shared" si="80"/>
        <v>3.377290847985492</v>
      </c>
      <c r="S57" s="69">
        <f t="shared" si="81"/>
        <v>3.277283031146875</v>
      </c>
      <c r="T57" s="69">
        <f t="shared" si="82"/>
        <v>3.1762314656482622</v>
      </c>
      <c r="U57" s="69">
        <f t="shared" si="83"/>
        <v>3.15026407469048</v>
      </c>
      <c r="V57" s="69">
        <f t="shared" si="84"/>
        <v>3.1171827849038305</v>
      </c>
      <c r="W57" s="69">
        <f t="shared" si="85"/>
        <v>3.1170403531844606</v>
      </c>
      <c r="X57" s="69">
        <f t="shared" si="86"/>
        <v>3.1173731548103585</v>
      </c>
      <c r="Y57" s="27">
        <v>3.0000000000000001E-3</v>
      </c>
    </row>
    <row r="58" spans="1:38" x14ac:dyDescent="0.25">
      <c r="A58" s="71" t="s">
        <v>473</v>
      </c>
      <c r="B58" s="108">
        <v>0</v>
      </c>
      <c r="C58" s="106">
        <v>71.566940000000002</v>
      </c>
      <c r="D58" s="106">
        <v>76.793403999999995</v>
      </c>
      <c r="E58" s="69">
        <v>83.477463</v>
      </c>
      <c r="F58" s="69">
        <v>85.614593999999997</v>
      </c>
      <c r="G58" s="69">
        <v>87.890197999999998</v>
      </c>
      <c r="H58" s="69">
        <v>87.741767999999993</v>
      </c>
      <c r="I58" s="69">
        <v>88.078856999999999</v>
      </c>
      <c r="J58" s="69">
        <v>88.031218999999993</v>
      </c>
      <c r="K58" s="69">
        <v>88.029831000000001</v>
      </c>
      <c r="L58" s="27">
        <v>2E-3</v>
      </c>
      <c r="N58" s="71" t="s">
        <v>473</v>
      </c>
      <c r="O58" s="69" t="str">
        <f t="shared" si="77"/>
        <v/>
      </c>
      <c r="P58" s="69">
        <f t="shared" si="78"/>
        <v>3.2866449123216408</v>
      </c>
      <c r="Q58" s="69">
        <f t="shared" si="79"/>
        <v>3.0629599287124734</v>
      </c>
      <c r="R58" s="69">
        <f t="shared" si="80"/>
        <v>2.8177080470381344</v>
      </c>
      <c r="S58" s="69">
        <f t="shared" si="81"/>
        <v>2.7473717768424875</v>
      </c>
      <c r="T58" s="69">
        <f t="shared" si="82"/>
        <v>2.6762383587010254</v>
      </c>
      <c r="U58" s="69">
        <f t="shared" si="83"/>
        <v>2.6807656672866242</v>
      </c>
      <c r="V58" s="69">
        <f t="shared" si="84"/>
        <v>2.6705060357609787</v>
      </c>
      <c r="W58" s="69">
        <f t="shared" si="85"/>
        <v>2.6719511772457469</v>
      </c>
      <c r="X58" s="69">
        <f t="shared" si="86"/>
        <v>2.6719933069214701</v>
      </c>
      <c r="Y58" s="27">
        <v>2E-3</v>
      </c>
    </row>
    <row r="59" spans="1:38" x14ac:dyDescent="0.25">
      <c r="A59" s="71" t="s">
        <v>474</v>
      </c>
      <c r="B59" s="108">
        <v>0</v>
      </c>
      <c r="C59" s="106">
        <v>66.114768999999995</v>
      </c>
      <c r="D59" s="106">
        <v>79.525475</v>
      </c>
      <c r="E59" s="69">
        <v>82.581756999999996</v>
      </c>
      <c r="F59" s="69">
        <v>84.420569999999998</v>
      </c>
      <c r="G59" s="69">
        <v>86.338370999999995</v>
      </c>
      <c r="H59" s="69">
        <v>85.908409000000006</v>
      </c>
      <c r="I59" s="69">
        <v>86.209205999999995</v>
      </c>
      <c r="J59" s="69">
        <v>86.116020000000006</v>
      </c>
      <c r="K59" s="69">
        <v>86.113288999999995</v>
      </c>
      <c r="L59" s="27">
        <v>1E-3</v>
      </c>
      <c r="N59" s="71" t="s">
        <v>474</v>
      </c>
      <c r="O59" s="69" t="str">
        <f t="shared" si="77"/>
        <v/>
      </c>
      <c r="P59" s="69">
        <f t="shared" si="78"/>
        <v>3.5576789089504066</v>
      </c>
      <c r="Q59" s="69">
        <f t="shared" si="79"/>
        <v>2.9577329684786937</v>
      </c>
      <c r="R59" s="69">
        <f t="shared" si="80"/>
        <v>2.8482697363950269</v>
      </c>
      <c r="S59" s="69">
        <f t="shared" si="81"/>
        <v>2.786229934735434</v>
      </c>
      <c r="T59" s="69">
        <f t="shared" si="82"/>
        <v>2.7243404817242634</v>
      </c>
      <c r="U59" s="69">
        <f t="shared" si="83"/>
        <v>2.7379755018094691</v>
      </c>
      <c r="V59" s="69">
        <f t="shared" si="84"/>
        <v>2.72842228985879</v>
      </c>
      <c r="W59" s="69">
        <f t="shared" si="85"/>
        <v>2.7313747110169295</v>
      </c>
      <c r="X59" s="69">
        <f t="shared" si="86"/>
        <v>2.7314613339345124</v>
      </c>
      <c r="Y59" s="27">
        <v>1E-3</v>
      </c>
    </row>
    <row r="60" spans="1:38" x14ac:dyDescent="0.25">
      <c r="A60" s="71" t="s">
        <v>475</v>
      </c>
      <c r="B60" s="108">
        <v>0</v>
      </c>
      <c r="C60" s="106">
        <v>55.129261</v>
      </c>
      <c r="D60" s="106">
        <v>69.659064999999998</v>
      </c>
      <c r="E60" s="69">
        <v>76.590912000000003</v>
      </c>
      <c r="F60" s="69">
        <v>78.116348000000002</v>
      </c>
      <c r="G60" s="69">
        <v>80.306533999999999</v>
      </c>
      <c r="H60" s="69">
        <v>80.173157000000003</v>
      </c>
      <c r="I60" s="69">
        <v>80.599402999999995</v>
      </c>
      <c r="J60" s="69">
        <v>80.560783000000001</v>
      </c>
      <c r="K60" s="69">
        <v>80.609359999999995</v>
      </c>
      <c r="L60" s="27">
        <v>1E-3</v>
      </c>
      <c r="N60" s="71" t="s">
        <v>475</v>
      </c>
      <c r="O60" s="69" t="str">
        <f t="shared" si="77"/>
        <v/>
      </c>
      <c r="P60" s="69">
        <f t="shared" si="78"/>
        <v>4.2666111421560347</v>
      </c>
      <c r="Q60" s="69">
        <f t="shared" si="79"/>
        <v>3.3766620215391656</v>
      </c>
      <c r="R60" s="69">
        <f t="shared" si="80"/>
        <v>3.0710578200378151</v>
      </c>
      <c r="S60" s="69">
        <f t="shared" si="81"/>
        <v>3.0110869909257425</v>
      </c>
      <c r="T60" s="69">
        <f t="shared" si="82"/>
        <v>2.9289661441673993</v>
      </c>
      <c r="U60" s="69">
        <f t="shared" si="83"/>
        <v>2.9338388064402667</v>
      </c>
      <c r="V60" s="69">
        <f t="shared" si="84"/>
        <v>2.9183233434300768</v>
      </c>
      <c r="W60" s="69">
        <f t="shared" si="85"/>
        <v>2.919722357234638</v>
      </c>
      <c r="X60" s="69">
        <f t="shared" si="86"/>
        <v>2.917962867357192</v>
      </c>
      <c r="Y60" s="27">
        <v>1E-3</v>
      </c>
    </row>
    <row r="61" spans="1:38" x14ac:dyDescent="0.25">
      <c r="A61" s="71" t="s">
        <v>476</v>
      </c>
      <c r="B61" s="108">
        <v>0</v>
      </c>
      <c r="C61" s="106">
        <v>0</v>
      </c>
      <c r="D61" s="106">
        <v>62.447051999999999</v>
      </c>
      <c r="E61" s="69">
        <v>66.024673000000007</v>
      </c>
      <c r="F61" s="69">
        <v>68.838325999999995</v>
      </c>
      <c r="G61" s="69">
        <v>71.297591999999995</v>
      </c>
      <c r="H61" s="69">
        <v>71.997116000000005</v>
      </c>
      <c r="I61" s="69">
        <v>72.734809999999996</v>
      </c>
      <c r="J61" s="69">
        <v>72.867287000000005</v>
      </c>
      <c r="K61" s="69">
        <v>72.942100999999994</v>
      </c>
      <c r="L61" s="27">
        <v>4.0000000000000001E-3</v>
      </c>
      <c r="N61" s="71" t="s">
        <v>476</v>
      </c>
      <c r="O61" s="69" t="str">
        <f t="shared" si="77"/>
        <v/>
      </c>
      <c r="P61" s="69" t="str">
        <f t="shared" si="78"/>
        <v/>
      </c>
      <c r="Q61" s="69">
        <f t="shared" si="79"/>
        <v>3.7666328787054373</v>
      </c>
      <c r="R61" s="69">
        <f t="shared" si="80"/>
        <v>3.5625336492227402</v>
      </c>
      <c r="S61" s="69">
        <f t="shared" si="81"/>
        <v>3.416920964077891</v>
      </c>
      <c r="T61" s="69">
        <f t="shared" si="82"/>
        <v>3.2990611974865596</v>
      </c>
      <c r="U61" s="69">
        <f t="shared" si="83"/>
        <v>3.2670075179320812</v>
      </c>
      <c r="V61" s="69">
        <f t="shared" si="84"/>
        <v>3.2338727390836404</v>
      </c>
      <c r="W61" s="69">
        <f t="shared" si="85"/>
        <v>3.2279933688409193</v>
      </c>
      <c r="X61" s="69">
        <f t="shared" si="86"/>
        <v>3.2246825361039182</v>
      </c>
      <c r="Y61" s="27">
        <v>4.0000000000000001E-3</v>
      </c>
    </row>
    <row r="62" spans="1:38" x14ac:dyDescent="0.25">
      <c r="A62" s="71" t="s">
        <v>477</v>
      </c>
      <c r="C62" s="106">
        <v>63.862077268387168</v>
      </c>
      <c r="D62" s="106">
        <v>72.625664</v>
      </c>
      <c r="E62" s="69">
        <v>78.564803999999995</v>
      </c>
      <c r="F62" s="69">
        <v>81.092865000000003</v>
      </c>
      <c r="G62" s="69">
        <v>83.385834000000003</v>
      </c>
      <c r="H62" s="69">
        <v>83.402336000000005</v>
      </c>
      <c r="I62" s="69">
        <v>83.915374999999997</v>
      </c>
      <c r="J62" s="69">
        <v>83.956703000000005</v>
      </c>
      <c r="K62" s="69">
        <v>84.118988000000002</v>
      </c>
      <c r="L62" s="27">
        <v>2E-3</v>
      </c>
      <c r="N62" s="71" t="s">
        <v>477</v>
      </c>
      <c r="O62" s="69" t="str">
        <f t="shared" si="77"/>
        <v/>
      </c>
      <c r="P62" s="69">
        <f t="shared" si="78"/>
        <v>3.6831736345329262</v>
      </c>
      <c r="Q62" s="69">
        <f t="shared" si="79"/>
        <v>3.2387327879222991</v>
      </c>
      <c r="R62" s="69">
        <f t="shared" si="80"/>
        <v>2.9938993959868867</v>
      </c>
      <c r="S62" s="69">
        <f t="shared" si="81"/>
        <v>2.900564917042062</v>
      </c>
      <c r="T62" s="69">
        <f t="shared" si="82"/>
        <v>2.8208043016206821</v>
      </c>
      <c r="U62" s="69">
        <f t="shared" si="83"/>
        <v>2.820246176814857</v>
      </c>
      <c r="V62" s="69">
        <f t="shared" si="84"/>
        <v>2.8030038505032975</v>
      </c>
      <c r="W62" s="69">
        <f t="shared" si="85"/>
        <v>2.8016240614097021</v>
      </c>
      <c r="X62" s="69">
        <f t="shared" si="86"/>
        <v>2.7962190800658244</v>
      </c>
      <c r="Y62" s="27">
        <v>2E-3</v>
      </c>
    </row>
    <row r="63" spans="1:38" x14ac:dyDescent="0.25">
      <c r="A63" s="71" t="s">
        <v>478</v>
      </c>
      <c r="C63" s="106">
        <v>54.637251172989998</v>
      </c>
      <c r="D63" s="106">
        <v>63.458359000000002</v>
      </c>
      <c r="E63" s="69">
        <v>72.941078000000005</v>
      </c>
      <c r="F63" s="69">
        <v>75.064850000000007</v>
      </c>
      <c r="G63" s="69">
        <v>76.801986999999997</v>
      </c>
      <c r="H63" s="69">
        <v>77.287880000000001</v>
      </c>
      <c r="I63" s="69">
        <v>77.886070000000004</v>
      </c>
      <c r="J63" s="69">
        <v>77.970200000000006</v>
      </c>
      <c r="K63" s="69">
        <v>78.070892000000001</v>
      </c>
      <c r="L63" s="27">
        <v>2E-3</v>
      </c>
      <c r="N63" s="71" t="s">
        <v>478</v>
      </c>
      <c r="O63" s="69" t="str">
        <f t="shared" si="77"/>
        <v/>
      </c>
      <c r="P63" s="69">
        <f t="shared" si="78"/>
        <v>4.3050320832704534</v>
      </c>
      <c r="Q63" s="69">
        <f t="shared" si="79"/>
        <v>3.7066057639692218</v>
      </c>
      <c r="R63" s="69">
        <f t="shared" si="80"/>
        <v>3.2247277623375421</v>
      </c>
      <c r="S63" s="69">
        <f t="shared" si="81"/>
        <v>3.1334921636615287</v>
      </c>
      <c r="T63" s="69">
        <f t="shared" si="82"/>
        <v>3.0626176278672079</v>
      </c>
      <c r="U63" s="69">
        <f t="shared" si="83"/>
        <v>3.0433635809576889</v>
      </c>
      <c r="V63" s="69">
        <f t="shared" si="84"/>
        <v>3.0199895724797532</v>
      </c>
      <c r="W63" s="69">
        <f t="shared" si="85"/>
        <v>3.0167309977584784</v>
      </c>
      <c r="X63" s="69">
        <f t="shared" si="86"/>
        <v>3.0128401663635165</v>
      </c>
      <c r="Y63" s="27">
        <v>2E-3</v>
      </c>
    </row>
    <row r="64" spans="1:38" x14ac:dyDescent="0.25">
      <c r="A64" s="71" t="s">
        <v>479</v>
      </c>
      <c r="B64" s="108">
        <v>0</v>
      </c>
      <c r="C64" s="106">
        <v>0</v>
      </c>
      <c r="D64" s="106">
        <v>57.394835999999998</v>
      </c>
      <c r="E64" s="69">
        <v>65.308616999999998</v>
      </c>
      <c r="F64" s="69">
        <v>67.915076999999997</v>
      </c>
      <c r="G64" s="69">
        <v>70.771056999999999</v>
      </c>
      <c r="H64" s="69">
        <v>71.442276000000007</v>
      </c>
      <c r="I64" s="69">
        <v>72.363265999999996</v>
      </c>
      <c r="J64" s="69">
        <v>72.568168999999997</v>
      </c>
      <c r="K64" s="69">
        <v>72.656906000000006</v>
      </c>
      <c r="L64" s="27">
        <v>4.0000000000000001E-3</v>
      </c>
      <c r="N64" s="71" t="s">
        <v>479</v>
      </c>
      <c r="O64" s="69" t="str">
        <f t="shared" si="77"/>
        <v/>
      </c>
      <c r="P64" s="69" t="str">
        <f t="shared" si="78"/>
        <v/>
      </c>
      <c r="Q64" s="69">
        <f t="shared" si="79"/>
        <v>4.0981930716106261</v>
      </c>
      <c r="R64" s="69">
        <f t="shared" si="80"/>
        <v>3.6015939403743329</v>
      </c>
      <c r="S64" s="69">
        <f t="shared" si="81"/>
        <v>3.463371163393191</v>
      </c>
      <c r="T64" s="69">
        <f t="shared" si="82"/>
        <v>3.3236061352231627</v>
      </c>
      <c r="U64" s="69">
        <f t="shared" si="83"/>
        <v>3.2923799801874751</v>
      </c>
      <c r="V64" s="69">
        <f t="shared" si="84"/>
        <v>3.2504768267566608</v>
      </c>
      <c r="W64" s="69">
        <f t="shared" si="85"/>
        <v>3.2412988019778775</v>
      </c>
      <c r="X64" s="69">
        <f t="shared" si="86"/>
        <v>3.2373401537553517</v>
      </c>
      <c r="Y64" s="27">
        <v>4.0000000000000001E-3</v>
      </c>
    </row>
    <row r="65" spans="1:38" x14ac:dyDescent="0.25">
      <c r="A65" s="71" t="s">
        <v>480</v>
      </c>
      <c r="B65" s="108">
        <v>0</v>
      </c>
      <c r="C65" s="106">
        <v>0</v>
      </c>
      <c r="D65" s="106">
        <v>0</v>
      </c>
      <c r="E65" s="69">
        <v>0</v>
      </c>
      <c r="F65" s="69">
        <v>0</v>
      </c>
      <c r="G65" s="69">
        <v>0</v>
      </c>
      <c r="H65" s="69">
        <v>0</v>
      </c>
      <c r="I65" s="69">
        <v>0</v>
      </c>
      <c r="J65" s="69">
        <v>0</v>
      </c>
      <c r="K65" s="69">
        <v>0</v>
      </c>
      <c r="L65" s="27" t="s">
        <v>264</v>
      </c>
      <c r="N65" s="71" t="s">
        <v>480</v>
      </c>
      <c r="O65" s="69" t="str">
        <f t="shared" si="77"/>
        <v/>
      </c>
      <c r="P65" s="69" t="str">
        <f t="shared" si="78"/>
        <v/>
      </c>
      <c r="Q65" s="69" t="str">
        <f t="shared" si="79"/>
        <v/>
      </c>
      <c r="R65" s="69" t="str">
        <f t="shared" si="80"/>
        <v/>
      </c>
      <c r="S65" s="69" t="str">
        <f t="shared" si="81"/>
        <v/>
      </c>
      <c r="T65" s="69" t="str">
        <f t="shared" si="82"/>
        <v/>
      </c>
      <c r="U65" s="69" t="str">
        <f t="shared" si="83"/>
        <v/>
      </c>
      <c r="V65" s="69" t="str">
        <f t="shared" si="84"/>
        <v/>
      </c>
      <c r="W65" s="69" t="str">
        <f t="shared" si="85"/>
        <v/>
      </c>
      <c r="X65" s="69" t="str">
        <f t="shared" si="86"/>
        <v/>
      </c>
      <c r="Y65" s="27" t="s">
        <v>264</v>
      </c>
    </row>
    <row r="66" spans="1:38" x14ac:dyDescent="0.25">
      <c r="A66" s="71" t="s">
        <v>481</v>
      </c>
      <c r="B66" s="108">
        <v>0</v>
      </c>
      <c r="C66" s="106">
        <v>0</v>
      </c>
      <c r="D66" s="106">
        <v>0</v>
      </c>
      <c r="E66" s="69">
        <v>0</v>
      </c>
      <c r="F66" s="69">
        <v>0</v>
      </c>
      <c r="G66" s="69">
        <v>0</v>
      </c>
      <c r="H66" s="69">
        <v>0</v>
      </c>
      <c r="I66" s="69">
        <v>0</v>
      </c>
      <c r="J66" s="69">
        <v>0</v>
      </c>
      <c r="K66" s="69">
        <v>0</v>
      </c>
      <c r="L66" s="27" t="s">
        <v>264</v>
      </c>
      <c r="N66" s="71" t="s">
        <v>481</v>
      </c>
      <c r="O66" s="69" t="str">
        <f t="shared" si="77"/>
        <v/>
      </c>
      <c r="P66" s="69" t="str">
        <f t="shared" si="78"/>
        <v/>
      </c>
      <c r="Q66" s="69" t="str">
        <f t="shared" si="79"/>
        <v/>
      </c>
      <c r="R66" s="69" t="str">
        <f t="shared" si="80"/>
        <v/>
      </c>
      <c r="S66" s="69" t="str">
        <f t="shared" si="81"/>
        <v/>
      </c>
      <c r="T66" s="69" t="str">
        <f t="shared" si="82"/>
        <v/>
      </c>
      <c r="U66" s="69" t="str">
        <f t="shared" si="83"/>
        <v/>
      </c>
      <c r="V66" s="69" t="str">
        <f t="shared" si="84"/>
        <v/>
      </c>
      <c r="W66" s="69" t="str">
        <f t="shared" si="85"/>
        <v/>
      </c>
      <c r="X66" s="69" t="str">
        <f t="shared" si="86"/>
        <v/>
      </c>
      <c r="Y66" s="27" t="s">
        <v>264</v>
      </c>
    </row>
    <row r="67" spans="1:38" x14ac:dyDescent="0.25">
      <c r="A67" s="71" t="s">
        <v>482</v>
      </c>
      <c r="B67" s="108">
        <v>0</v>
      </c>
      <c r="C67" s="106">
        <v>0</v>
      </c>
      <c r="D67" s="106">
        <v>53.472790000000003</v>
      </c>
      <c r="E67" s="69">
        <v>66.073761000000005</v>
      </c>
      <c r="F67" s="69">
        <v>67.897789000000003</v>
      </c>
      <c r="G67" s="69">
        <v>70.673302000000007</v>
      </c>
      <c r="H67" s="69">
        <v>71.519981000000001</v>
      </c>
      <c r="I67" s="69">
        <v>72.178100999999998</v>
      </c>
      <c r="J67" s="69">
        <v>72.271552999999997</v>
      </c>
      <c r="K67" s="69">
        <v>72.370543999999995</v>
      </c>
      <c r="L67" s="27">
        <v>4.0000000000000001E-3</v>
      </c>
      <c r="N67" s="71" t="s">
        <v>482</v>
      </c>
      <c r="O67" s="69" t="str">
        <f t="shared" si="77"/>
        <v/>
      </c>
      <c r="P67" s="69" t="str">
        <f t="shared" si="78"/>
        <v/>
      </c>
      <c r="Q67" s="69">
        <f t="shared" si="79"/>
        <v>4.3987814969338261</v>
      </c>
      <c r="R67" s="69">
        <f t="shared" si="80"/>
        <v>3.5598869457639641</v>
      </c>
      <c r="S67" s="69">
        <f t="shared" si="81"/>
        <v>3.4642530000708582</v>
      </c>
      <c r="T67" s="69">
        <f t="shared" si="82"/>
        <v>3.3282033325884237</v>
      </c>
      <c r="U67" s="69">
        <f t="shared" si="83"/>
        <v>3.2888028765196138</v>
      </c>
      <c r="V67" s="69">
        <f t="shared" si="84"/>
        <v>3.2588155684703888</v>
      </c>
      <c r="W67" s="69">
        <f t="shared" si="85"/>
        <v>3.2546016998061207</v>
      </c>
      <c r="X67" s="69">
        <f t="shared" si="86"/>
        <v>3.2501499400284755</v>
      </c>
      <c r="Y67" s="27">
        <v>4.0000000000000001E-3</v>
      </c>
    </row>
    <row r="68" spans="1:38" x14ac:dyDescent="0.25">
      <c r="A68" s="71" t="s">
        <v>483</v>
      </c>
      <c r="B68" s="108">
        <v>0</v>
      </c>
      <c r="C68" s="106">
        <v>0</v>
      </c>
      <c r="D68" s="106">
        <v>52.352179999999997</v>
      </c>
      <c r="E68" s="69">
        <v>63.164093000000001</v>
      </c>
      <c r="F68" s="69">
        <v>66.347549000000001</v>
      </c>
      <c r="G68" s="69">
        <v>68.832954000000001</v>
      </c>
      <c r="H68" s="69">
        <v>69.833122000000003</v>
      </c>
      <c r="I68" s="69">
        <v>70.540222</v>
      </c>
      <c r="J68" s="69">
        <v>70.643767999999994</v>
      </c>
      <c r="K68" s="69">
        <v>70.697356999999997</v>
      </c>
      <c r="L68" s="27">
        <v>5.0000000000000001E-3</v>
      </c>
      <c r="N68" s="71" t="s">
        <v>483</v>
      </c>
      <c r="O68" s="69" t="str">
        <f t="shared" si="77"/>
        <v/>
      </c>
      <c r="P68" s="69" t="str">
        <f t="shared" si="78"/>
        <v/>
      </c>
      <c r="Q68" s="69">
        <f t="shared" si="79"/>
        <v>4.4929383884573317</v>
      </c>
      <c r="R68" s="69">
        <f t="shared" si="80"/>
        <v>3.7238739301050066</v>
      </c>
      <c r="S68" s="69">
        <f t="shared" si="81"/>
        <v>3.5451968126422897</v>
      </c>
      <c r="T68" s="69">
        <f t="shared" si="82"/>
        <v>3.4171876343041756</v>
      </c>
      <c r="U68" s="69">
        <f t="shared" si="83"/>
        <v>3.3682457908931545</v>
      </c>
      <c r="V68" s="69">
        <f t="shared" si="84"/>
        <v>3.3344822651880532</v>
      </c>
      <c r="W68" s="69">
        <f t="shared" si="85"/>
        <v>3.3295947526670457</v>
      </c>
      <c r="X68" s="69">
        <f t="shared" si="86"/>
        <v>3.3270709008460972</v>
      </c>
      <c r="Y68" s="27">
        <v>5.0000000000000001E-3</v>
      </c>
    </row>
    <row r="69" spans="1:38" x14ac:dyDescent="0.25">
      <c r="A69" s="71" t="s">
        <v>484</v>
      </c>
      <c r="B69" s="108">
        <v>0</v>
      </c>
      <c r="C69" s="106">
        <v>0</v>
      </c>
      <c r="D69" s="106">
        <v>0</v>
      </c>
      <c r="E69" s="69">
        <v>0</v>
      </c>
      <c r="F69" s="69">
        <v>0</v>
      </c>
      <c r="G69" s="69">
        <v>0</v>
      </c>
      <c r="H69" s="69">
        <v>0</v>
      </c>
      <c r="I69" s="69">
        <v>0</v>
      </c>
      <c r="J69" s="69">
        <v>0</v>
      </c>
      <c r="K69" s="69">
        <v>0</v>
      </c>
      <c r="L69" s="27" t="s">
        <v>264</v>
      </c>
      <c r="N69" s="71" t="s">
        <v>484</v>
      </c>
      <c r="O69" s="69" t="str">
        <f t="shared" si="77"/>
        <v/>
      </c>
      <c r="P69" s="69" t="str">
        <f t="shared" si="78"/>
        <v/>
      </c>
      <c r="Q69" s="69" t="str">
        <f t="shared" si="79"/>
        <v/>
      </c>
      <c r="R69" s="69" t="str">
        <f t="shared" si="80"/>
        <v/>
      </c>
      <c r="S69" s="69" t="str">
        <f t="shared" si="81"/>
        <v/>
      </c>
      <c r="T69" s="69" t="str">
        <f t="shared" si="82"/>
        <v/>
      </c>
      <c r="U69" s="69" t="str">
        <f t="shared" si="83"/>
        <v/>
      </c>
      <c r="V69" s="69" t="str">
        <f t="shared" si="84"/>
        <v/>
      </c>
      <c r="W69" s="69" t="str">
        <f t="shared" si="85"/>
        <v/>
      </c>
      <c r="X69" s="69" t="str">
        <f t="shared" si="86"/>
        <v/>
      </c>
      <c r="Y69" s="27" t="s">
        <v>264</v>
      </c>
    </row>
    <row r="70" spans="1:38" x14ac:dyDescent="0.25">
      <c r="A70" s="71" t="s">
        <v>485</v>
      </c>
      <c r="D70" s="106">
        <v>0</v>
      </c>
      <c r="E70" s="69">
        <v>76.132003999999995</v>
      </c>
      <c r="F70" s="69">
        <v>77.844391000000002</v>
      </c>
      <c r="G70" s="69">
        <v>80.471160999999995</v>
      </c>
      <c r="H70" s="69">
        <v>80.936653000000007</v>
      </c>
      <c r="I70" s="69">
        <v>81.714866999999998</v>
      </c>
      <c r="J70" s="69">
        <v>81.812752000000003</v>
      </c>
      <c r="K70" s="69">
        <v>81.890777999999997</v>
      </c>
      <c r="L70" s="27">
        <v>3.0000000000000001E-3</v>
      </c>
      <c r="N70" s="71" t="s">
        <v>485</v>
      </c>
      <c r="O70" s="69" t="str">
        <f t="shared" si="77"/>
        <v/>
      </c>
      <c r="P70" s="69" t="str">
        <f t="shared" si="78"/>
        <v/>
      </c>
      <c r="Q70" s="69" t="str">
        <f t="shared" si="79"/>
        <v/>
      </c>
      <c r="R70" s="69">
        <f t="shared" si="80"/>
        <v>3.0895695224498247</v>
      </c>
      <c r="S70" s="69">
        <f t="shared" si="81"/>
        <v>3.0216065180782024</v>
      </c>
      <c r="T70" s="69">
        <f t="shared" si="82"/>
        <v>2.922974098030326</v>
      </c>
      <c r="U70" s="69">
        <f t="shared" si="83"/>
        <v>2.9061631599891848</v>
      </c>
      <c r="V70" s="69">
        <f t="shared" si="84"/>
        <v>2.8784862274991911</v>
      </c>
      <c r="W70" s="69">
        <f t="shared" si="85"/>
        <v>2.8750422579774377</v>
      </c>
      <c r="X70" s="69">
        <f t="shared" si="86"/>
        <v>2.8723029013282564</v>
      </c>
      <c r="Y70" s="27">
        <v>3.0000000000000001E-3</v>
      </c>
    </row>
    <row r="71" spans="1:38" x14ac:dyDescent="0.25">
      <c r="A71" s="71" t="s">
        <v>486</v>
      </c>
      <c r="D71" s="106">
        <v>0</v>
      </c>
      <c r="E71" s="69">
        <v>65.005295000000004</v>
      </c>
      <c r="F71" s="69">
        <v>67.380263999999997</v>
      </c>
      <c r="G71" s="69">
        <v>69.785094999999998</v>
      </c>
      <c r="H71" s="69">
        <v>70.489388000000005</v>
      </c>
      <c r="I71" s="69">
        <v>71.190178000000003</v>
      </c>
      <c r="J71" s="69">
        <v>71.202286000000001</v>
      </c>
      <c r="K71" s="69">
        <v>71.161804000000004</v>
      </c>
      <c r="L71" s="27">
        <v>3.0000000000000001E-3</v>
      </c>
      <c r="N71" s="71" t="s">
        <v>486</v>
      </c>
      <c r="O71" s="69" t="str">
        <f t="shared" si="77"/>
        <v/>
      </c>
      <c r="P71" s="69" t="str">
        <f t="shared" si="78"/>
        <v/>
      </c>
      <c r="Q71" s="69" t="str">
        <f t="shared" si="79"/>
        <v/>
      </c>
      <c r="R71" s="69">
        <f t="shared" si="80"/>
        <v>3.6183993817954079</v>
      </c>
      <c r="S71" s="69">
        <f t="shared" si="81"/>
        <v>3.4908607547371462</v>
      </c>
      <c r="T71" s="69">
        <f t="shared" si="82"/>
        <v>3.3705638609710018</v>
      </c>
      <c r="U71" s="69">
        <f t="shared" si="83"/>
        <v>3.3368869544083446</v>
      </c>
      <c r="V71" s="69">
        <f t="shared" si="84"/>
        <v>3.3040389257269189</v>
      </c>
      <c r="W71" s="69">
        <f t="shared" si="85"/>
        <v>3.3034770715286887</v>
      </c>
      <c r="X71" s="69">
        <f t="shared" si="86"/>
        <v>3.3053563290979544</v>
      </c>
      <c r="Y71" s="27">
        <v>3.0000000000000001E-3</v>
      </c>
    </row>
    <row r="72" spans="1:38" x14ac:dyDescent="0.25">
      <c r="A72" t="s">
        <v>460</v>
      </c>
      <c r="L72" s="27"/>
      <c r="N72" t="s">
        <v>460</v>
      </c>
      <c r="O72" s="69"/>
      <c r="P72" s="69"/>
      <c r="Q72" s="69"/>
      <c r="R72" s="69"/>
      <c r="S72" s="69"/>
      <c r="T72" s="69"/>
      <c r="U72" s="69"/>
      <c r="V72" s="69"/>
      <c r="W72" s="69"/>
      <c r="X72" s="69"/>
      <c r="Y72" s="27"/>
      <c r="AA72" t="s">
        <v>8</v>
      </c>
      <c r="AB72" t="s">
        <v>223</v>
      </c>
      <c r="AC72" s="69">
        <f>AVERAGE(O73:O80)</f>
        <v>6.9272652405460944</v>
      </c>
      <c r="AD72" s="69">
        <f t="shared" ref="AD72" si="96">AVERAGE(P73:P80)</f>
        <v>7.1091907944540056</v>
      </c>
      <c r="AE72" s="69">
        <f t="shared" ref="AE72" si="97">AVERAGE(Q73:Q80)</f>
        <v>6.1991055365911212</v>
      </c>
      <c r="AF72" s="69">
        <f t="shared" ref="AF72" si="98">AVERAGE(R73:R80)</f>
        <v>5.8855992130456398</v>
      </c>
      <c r="AG72" s="69">
        <f t="shared" ref="AG72" si="99">AVERAGE(S73:S80)</f>
        <v>5.5871485579646487</v>
      </c>
      <c r="AH72" s="69">
        <f t="shared" ref="AH72" si="100">AVERAGE(T73:T80)</f>
        <v>5.3049003202134299</v>
      </c>
      <c r="AI72" s="69">
        <f t="shared" ref="AI72" si="101">AVERAGE(U73:U80)</f>
        <v>5.264528131890815</v>
      </c>
      <c r="AJ72" s="69">
        <f t="shared" ref="AJ72" si="102">AVERAGE(V73:V80)</f>
        <v>5.193371028417241</v>
      </c>
      <c r="AK72" s="69">
        <f t="shared" ref="AK72" si="103">AVERAGE(W73:W80)</f>
        <v>5.1941004259313326</v>
      </c>
      <c r="AL72" s="69">
        <f t="shared" ref="AL72" si="104">AVERAGE(X73:X80)</f>
        <v>5.1892832809544744</v>
      </c>
    </row>
    <row r="73" spans="1:38" x14ac:dyDescent="0.25">
      <c r="A73" s="71" t="s">
        <v>471</v>
      </c>
      <c r="B73" s="108">
        <v>0</v>
      </c>
      <c r="C73" s="106">
        <v>36.564297000000003</v>
      </c>
      <c r="D73" s="106">
        <v>36.616988999999997</v>
      </c>
      <c r="E73" s="69">
        <v>32.271976000000002</v>
      </c>
      <c r="F73" s="69">
        <v>33.785496000000002</v>
      </c>
      <c r="G73" s="69">
        <v>36.286942000000003</v>
      </c>
      <c r="H73" s="69">
        <v>37.362862</v>
      </c>
      <c r="I73" s="69">
        <v>38.202739999999999</v>
      </c>
      <c r="J73" s="69">
        <v>38.259158999999997</v>
      </c>
      <c r="K73" s="69">
        <v>38.338721999999997</v>
      </c>
      <c r="L73" s="27">
        <v>7.0000000000000001E-3</v>
      </c>
      <c r="N73" s="71" t="s">
        <v>471</v>
      </c>
      <c r="O73" s="69" t="str">
        <f t="shared" ref="O73:O88" si="105">IFERROR(L_100km_to_mpg/B73, "")</f>
        <v/>
      </c>
      <c r="P73" s="69">
        <f t="shared" ref="P73:P88" si="106">IFERROR(L_100km_to_mpg/C73, "")</f>
        <v>6.4329178608692548</v>
      </c>
      <c r="Q73" s="69">
        <f t="shared" ref="Q73:Q88" si="107">IFERROR(L_100km_to_mpg/D73, "")</f>
        <v>6.4236608652182783</v>
      </c>
      <c r="R73" s="69">
        <f t="shared" ref="R73:R88" si="108">IFERROR(L_100km_to_mpg/E73, "")</f>
        <v>7.2885254761415332</v>
      </c>
      <c r="S73" s="69">
        <f t="shared" ref="S73:S88" si="109">IFERROR(L_100km_to_mpg/F73, "")</f>
        <v>6.9620146835028889</v>
      </c>
      <c r="T73" s="69">
        <f t="shared" ref="T73:T88" si="110">IFERROR(L_100km_to_mpg/G73, "")</f>
        <v>6.482087116666599</v>
      </c>
      <c r="U73" s="69">
        <f t="shared" ref="U73:U88" si="111">IFERROR(L_100km_to_mpg/H73, "")</f>
        <v>6.2954256352585665</v>
      </c>
      <c r="V73" s="69">
        <f t="shared" ref="V73:V88" si="112">IFERROR(L_100km_to_mpg/I73, "")</f>
        <v>6.1570222251447975</v>
      </c>
      <c r="W73" s="69">
        <f t="shared" ref="W73:W88" si="113">IFERROR(L_100km_to_mpg/J73, "")</f>
        <v>6.1479427512096692</v>
      </c>
      <c r="X73" s="69">
        <f t="shared" ref="X73:X88" si="114">IFERROR(L_100km_to_mpg/K73, "")</f>
        <v>6.1351841420647295</v>
      </c>
      <c r="Y73" s="27">
        <v>7.0000000000000001E-3</v>
      </c>
      <c r="AA73" t="s">
        <v>240</v>
      </c>
      <c r="AB73" t="s">
        <v>223</v>
      </c>
      <c r="AC73" s="69">
        <f>AVERAGE(O81:O88)</f>
        <v>9.4153603526520904</v>
      </c>
      <c r="AD73" s="69">
        <f t="shared" ref="AD73" si="115">AVERAGE(P81:P88)</f>
        <v>8.5765310902831402</v>
      </c>
      <c r="AE73" s="69">
        <f t="shared" ref="AE73" si="116">AVERAGE(Q81:Q88)</f>
        <v>7.8826244802094596</v>
      </c>
      <c r="AF73" s="69">
        <f t="shared" ref="AF73" si="117">AVERAGE(R81:R88)</f>
        <v>7.178331245524503</v>
      </c>
      <c r="AG73" s="69">
        <f t="shared" ref="AG73" si="118">AVERAGE(S81:S88)</f>
        <v>6.7194519245362692</v>
      </c>
      <c r="AH73" s="69">
        <f t="shared" ref="AH73" si="119">AVERAGE(T81:T88)</f>
        <v>6.255489942405319</v>
      </c>
      <c r="AI73" s="69">
        <f t="shared" ref="AI73" si="120">AVERAGE(U81:U88)</f>
        <v>6.1337924729331963</v>
      </c>
      <c r="AJ73" s="69">
        <f t="shared" ref="AJ73" si="121">AVERAGE(V81:V88)</f>
        <v>6.0264037894265687</v>
      </c>
      <c r="AK73" s="69">
        <f t="shared" ref="AK73" si="122">AVERAGE(W81:W88)</f>
        <v>6.0143454490941517</v>
      </c>
      <c r="AL73" s="69">
        <f t="shared" ref="AL73" si="123">AVERAGE(X81:X88)</f>
        <v>6.0080090128514074</v>
      </c>
    </row>
    <row r="74" spans="1:38" x14ac:dyDescent="0.25">
      <c r="A74" s="71" t="s">
        <v>472</v>
      </c>
      <c r="B74" s="108">
        <v>0</v>
      </c>
      <c r="C74" s="106">
        <v>34.742438999999997</v>
      </c>
      <c r="D74" s="106">
        <v>36.209125999999998</v>
      </c>
      <c r="E74" s="69">
        <v>35.815891000000001</v>
      </c>
      <c r="F74" s="69">
        <v>37.598827</v>
      </c>
      <c r="G74" s="69">
        <v>39.547454999999999</v>
      </c>
      <c r="H74" s="69">
        <v>40.148128999999997</v>
      </c>
      <c r="I74" s="69">
        <v>40.968086</v>
      </c>
      <c r="J74" s="69">
        <v>40.956828999999999</v>
      </c>
      <c r="K74" s="69">
        <v>40.948115999999999</v>
      </c>
      <c r="L74" s="27">
        <v>5.0000000000000001E-3</v>
      </c>
      <c r="N74" s="71" t="s">
        <v>472</v>
      </c>
      <c r="O74" s="69" t="str">
        <f t="shared" si="105"/>
        <v/>
      </c>
      <c r="P74" s="69">
        <f t="shared" si="106"/>
        <v>6.7702535000904271</v>
      </c>
      <c r="Q74" s="69">
        <f t="shared" si="107"/>
        <v>6.4960175852194872</v>
      </c>
      <c r="R74" s="69">
        <f t="shared" si="108"/>
        <v>6.5673395991022012</v>
      </c>
      <c r="S74" s="69">
        <f t="shared" si="109"/>
        <v>6.2559164210476075</v>
      </c>
      <c r="T74" s="69">
        <f t="shared" si="110"/>
        <v>5.9476676625949292</v>
      </c>
      <c r="U74" s="69">
        <f t="shared" si="111"/>
        <v>5.8586819635213425</v>
      </c>
      <c r="V74" s="69">
        <f t="shared" si="112"/>
        <v>5.7414231956413131</v>
      </c>
      <c r="W74" s="69">
        <f t="shared" si="113"/>
        <v>5.7430012279863796</v>
      </c>
      <c r="X74" s="69">
        <f t="shared" si="114"/>
        <v>5.7442232321855329</v>
      </c>
      <c r="Y74" s="27">
        <v>5.0000000000000001E-3</v>
      </c>
    </row>
    <row r="75" spans="1:38" x14ac:dyDescent="0.25">
      <c r="A75" s="71" t="s">
        <v>473</v>
      </c>
      <c r="B75" s="108">
        <v>35.454799999999999</v>
      </c>
      <c r="C75" s="106">
        <v>39.580879000000003</v>
      </c>
      <c r="D75" s="106">
        <v>43.309254000000003</v>
      </c>
      <c r="E75" s="69">
        <v>50.399425999999998</v>
      </c>
      <c r="F75" s="69">
        <v>52.820847000000001</v>
      </c>
      <c r="G75" s="69">
        <v>55.165664999999997</v>
      </c>
      <c r="H75" s="69">
        <v>54.810841000000003</v>
      </c>
      <c r="I75" s="69">
        <v>54.958804999999998</v>
      </c>
      <c r="J75" s="69">
        <v>54.772891999999999</v>
      </c>
      <c r="K75" s="69">
        <v>54.684131999999998</v>
      </c>
      <c r="L75" s="27">
        <v>4.0000000000000001E-3</v>
      </c>
      <c r="N75" s="71" t="s">
        <v>473</v>
      </c>
      <c r="O75" s="69">
        <f t="shared" si="105"/>
        <v>6.6342249636559263</v>
      </c>
      <c r="P75" s="69">
        <f t="shared" si="106"/>
        <v>5.9426451656474866</v>
      </c>
      <c r="Q75" s="69">
        <f t="shared" si="107"/>
        <v>5.4310591274887381</v>
      </c>
      <c r="R75" s="69">
        <f t="shared" si="108"/>
        <v>4.6670198037856254</v>
      </c>
      <c r="S75" s="69">
        <f t="shared" si="109"/>
        <v>4.4530735987900414</v>
      </c>
      <c r="T75" s="69">
        <f t="shared" si="110"/>
        <v>4.2637955917222818</v>
      </c>
      <c r="U75" s="69">
        <f t="shared" si="111"/>
        <v>4.2913977408488977</v>
      </c>
      <c r="V75" s="69">
        <f t="shared" si="112"/>
        <v>4.2798441349193848</v>
      </c>
      <c r="W75" s="69">
        <f t="shared" si="113"/>
        <v>4.2943710045733603</v>
      </c>
      <c r="X75" s="69">
        <f t="shared" si="114"/>
        <v>4.3013413697675249</v>
      </c>
      <c r="Y75" s="27">
        <v>4.0000000000000001E-3</v>
      </c>
    </row>
    <row r="76" spans="1:38" x14ac:dyDescent="0.25">
      <c r="A76" s="71" t="s">
        <v>474</v>
      </c>
      <c r="B76" s="108">
        <v>36.109122999999997</v>
      </c>
      <c r="C76" s="106">
        <v>38.161472000000003</v>
      </c>
      <c r="D76" s="106">
        <v>47.028193999999999</v>
      </c>
      <c r="E76" s="69">
        <v>49.996521000000001</v>
      </c>
      <c r="F76" s="69">
        <v>52.199565999999997</v>
      </c>
      <c r="G76" s="69">
        <v>54.154434000000002</v>
      </c>
      <c r="H76" s="69">
        <v>53.422054000000003</v>
      </c>
      <c r="I76" s="69">
        <v>53.600178</v>
      </c>
      <c r="J76" s="69">
        <v>53.374122999999997</v>
      </c>
      <c r="K76" s="69">
        <v>53.286876999999997</v>
      </c>
      <c r="L76" s="27">
        <v>3.0000000000000001E-3</v>
      </c>
      <c r="N76" s="71" t="s">
        <v>474</v>
      </c>
      <c r="O76" s="69">
        <f t="shared" si="105"/>
        <v>6.5140080871370971</v>
      </c>
      <c r="P76" s="69">
        <f t="shared" si="106"/>
        <v>6.1636804586947829</v>
      </c>
      <c r="Q76" s="69">
        <f t="shared" si="107"/>
        <v>5.0015766976173515</v>
      </c>
      <c r="R76" s="69">
        <f t="shared" si="108"/>
        <v>4.7046297329653823</v>
      </c>
      <c r="S76" s="69">
        <f t="shared" si="109"/>
        <v>4.5060742313725015</v>
      </c>
      <c r="T76" s="69">
        <f t="shared" si="110"/>
        <v>4.3434138604685284</v>
      </c>
      <c r="U76" s="69">
        <f t="shared" si="111"/>
        <v>4.4029591082631931</v>
      </c>
      <c r="V76" s="69">
        <f t="shared" si="112"/>
        <v>4.3883272037161545</v>
      </c>
      <c r="W76" s="69">
        <f t="shared" si="113"/>
        <v>4.4069130511320651</v>
      </c>
      <c r="X76" s="69">
        <f t="shared" si="114"/>
        <v>4.4141284399426928</v>
      </c>
      <c r="Y76" s="27">
        <v>3.0000000000000001E-3</v>
      </c>
    </row>
    <row r="77" spans="1:38" x14ac:dyDescent="0.25">
      <c r="A77" s="71" t="s">
        <v>475</v>
      </c>
      <c r="B77" s="108">
        <v>30.813282000000001</v>
      </c>
      <c r="C77" s="106">
        <v>29.539711</v>
      </c>
      <c r="D77" s="106">
        <v>39.671337000000001</v>
      </c>
      <c r="E77" s="69">
        <v>43.688000000000002</v>
      </c>
      <c r="F77" s="69">
        <v>45.424446000000003</v>
      </c>
      <c r="G77" s="69">
        <v>47.734589</v>
      </c>
      <c r="H77" s="69">
        <v>47.459212999999998</v>
      </c>
      <c r="I77" s="69">
        <v>47.851776000000001</v>
      </c>
      <c r="J77" s="69">
        <v>47.750988</v>
      </c>
      <c r="K77" s="69">
        <v>47.764499999999998</v>
      </c>
      <c r="L77" s="27">
        <v>4.0000000000000001E-3</v>
      </c>
      <c r="N77" s="71" t="s">
        <v>475</v>
      </c>
      <c r="O77" s="69">
        <f t="shared" si="105"/>
        <v>7.6335626708452589</v>
      </c>
      <c r="P77" s="69">
        <f t="shared" si="106"/>
        <v>7.9626750323125419</v>
      </c>
      <c r="Q77" s="69">
        <f t="shared" si="107"/>
        <v>5.9290948334165829</v>
      </c>
      <c r="R77" s="69">
        <f t="shared" si="108"/>
        <v>5.3839754450061372</v>
      </c>
      <c r="S77" s="69">
        <f t="shared" si="109"/>
        <v>5.1781615397450995</v>
      </c>
      <c r="T77" s="69">
        <f t="shared" si="110"/>
        <v>4.9275614217905623</v>
      </c>
      <c r="U77" s="69">
        <f t="shared" si="111"/>
        <v>4.9561529653141987</v>
      </c>
      <c r="V77" s="69">
        <f t="shared" si="112"/>
        <v>4.9154940297603193</v>
      </c>
      <c r="W77" s="69">
        <f t="shared" si="113"/>
        <v>4.9258691619412804</v>
      </c>
      <c r="X77" s="69">
        <f t="shared" si="114"/>
        <v>4.9244756930655225</v>
      </c>
      <c r="Y77" s="27">
        <v>4.0000000000000001E-3</v>
      </c>
    </row>
    <row r="78" spans="1:38" x14ac:dyDescent="0.25">
      <c r="A78" s="71" t="s">
        <v>476</v>
      </c>
      <c r="B78" s="108">
        <v>0</v>
      </c>
      <c r="C78" s="106">
        <v>28.944372000000001</v>
      </c>
      <c r="D78" s="106">
        <v>30.270025</v>
      </c>
      <c r="E78" s="69">
        <v>31.588066000000001</v>
      </c>
      <c r="F78" s="69">
        <v>33.839717999999998</v>
      </c>
      <c r="G78" s="69">
        <v>35.881583999999997</v>
      </c>
      <c r="H78" s="69">
        <v>36.509956000000003</v>
      </c>
      <c r="I78" s="69">
        <v>37.226669000000001</v>
      </c>
      <c r="J78" s="69">
        <v>37.354908000000002</v>
      </c>
      <c r="K78" s="69">
        <v>37.432499</v>
      </c>
      <c r="L78" s="27">
        <v>7.0000000000000001E-3</v>
      </c>
      <c r="N78" s="71" t="s">
        <v>476</v>
      </c>
      <c r="O78" s="69" t="str">
        <f t="shared" si="105"/>
        <v/>
      </c>
      <c r="P78" s="69">
        <f t="shared" si="106"/>
        <v>8.1264544016165949</v>
      </c>
      <c r="Q78" s="69">
        <f t="shared" si="107"/>
        <v>7.7705624373097857</v>
      </c>
      <c r="R78" s="69">
        <f t="shared" si="108"/>
        <v>7.4463285989534187</v>
      </c>
      <c r="S78" s="69">
        <f t="shared" si="109"/>
        <v>6.9508593198509558</v>
      </c>
      <c r="T78" s="69">
        <f t="shared" si="110"/>
        <v>6.5553159314657945</v>
      </c>
      <c r="U78" s="69">
        <f t="shared" si="111"/>
        <v>6.4424925420734036</v>
      </c>
      <c r="V78" s="69">
        <f t="shared" si="112"/>
        <v>6.3184573199774636</v>
      </c>
      <c r="W78" s="69">
        <f t="shared" si="113"/>
        <v>6.2967661235152317</v>
      </c>
      <c r="X78" s="69">
        <f t="shared" si="114"/>
        <v>6.283714032595797</v>
      </c>
      <c r="Y78" s="27">
        <v>7.0000000000000001E-3</v>
      </c>
    </row>
    <row r="79" spans="1:38" x14ac:dyDescent="0.25">
      <c r="A79" s="71" t="s">
        <v>477</v>
      </c>
      <c r="C79" s="106">
        <v>32.740246456623147</v>
      </c>
      <c r="D79" s="106">
        <v>40.252628000000001</v>
      </c>
      <c r="E79" s="69">
        <v>44.759869000000002</v>
      </c>
      <c r="F79" s="69">
        <v>47.682048999999999</v>
      </c>
      <c r="G79" s="69">
        <v>50.152648999999997</v>
      </c>
      <c r="H79" s="69">
        <v>50.009739000000003</v>
      </c>
      <c r="I79" s="69">
        <v>50.464291000000003</v>
      </c>
      <c r="J79" s="69">
        <v>50.441611999999999</v>
      </c>
      <c r="K79" s="69">
        <v>50.588123000000003</v>
      </c>
      <c r="L79" s="27">
        <v>5.0000000000000001E-3</v>
      </c>
      <c r="N79" s="71" t="s">
        <v>477</v>
      </c>
      <c r="O79" s="69" t="str">
        <f t="shared" si="105"/>
        <v/>
      </c>
      <c r="P79" s="69">
        <f t="shared" si="106"/>
        <v>7.1842806544862032</v>
      </c>
      <c r="Q79" s="69">
        <f t="shared" si="107"/>
        <v>5.8434723626350094</v>
      </c>
      <c r="R79" s="69">
        <f t="shared" si="108"/>
        <v>5.2550448537154599</v>
      </c>
      <c r="S79" s="69">
        <f t="shared" si="109"/>
        <v>4.9329910139018596</v>
      </c>
      <c r="T79" s="69">
        <f t="shared" si="110"/>
        <v>4.6899839576056719</v>
      </c>
      <c r="U79" s="69">
        <f t="shared" si="111"/>
        <v>4.7033862592529854</v>
      </c>
      <c r="V79" s="69">
        <f t="shared" si="112"/>
        <v>4.6610209829645308</v>
      </c>
      <c r="W79" s="69">
        <f t="shared" si="113"/>
        <v>4.6631166196954243</v>
      </c>
      <c r="X79" s="69">
        <f t="shared" si="114"/>
        <v>4.6496115153635591</v>
      </c>
      <c r="Y79" s="27">
        <v>5.0000000000000001E-3</v>
      </c>
    </row>
    <row r="80" spans="1:38" x14ac:dyDescent="0.25">
      <c r="A80" s="71" t="s">
        <v>478</v>
      </c>
      <c r="C80" s="106">
        <v>28.371236362828661</v>
      </c>
      <c r="D80" s="106">
        <v>35.120361000000003</v>
      </c>
      <c r="E80" s="69">
        <v>40.751553000000001</v>
      </c>
      <c r="F80" s="69">
        <v>43.094707</v>
      </c>
      <c r="G80" s="69">
        <v>44.979568</v>
      </c>
      <c r="H80" s="69">
        <v>45.533771999999999</v>
      </c>
      <c r="I80" s="69">
        <v>46.253211999999998</v>
      </c>
      <c r="J80" s="69">
        <v>46.349418999999997</v>
      </c>
      <c r="K80" s="69">
        <v>46.470618999999999</v>
      </c>
      <c r="L80" s="27">
        <v>5.0000000000000001E-3</v>
      </c>
      <c r="N80" s="71" t="s">
        <v>478</v>
      </c>
      <c r="O80" s="69" t="str">
        <f t="shared" si="105"/>
        <v/>
      </c>
      <c r="P80" s="69">
        <f t="shared" si="106"/>
        <v>8.2906192819147488</v>
      </c>
      <c r="Q80" s="69">
        <f t="shared" si="107"/>
        <v>6.6974003838237346</v>
      </c>
      <c r="R80" s="69">
        <f t="shared" si="108"/>
        <v>5.7719301946953561</v>
      </c>
      <c r="S80" s="69">
        <f t="shared" si="109"/>
        <v>5.4580976555062355</v>
      </c>
      <c r="T80" s="69">
        <f t="shared" si="110"/>
        <v>5.2293770193930751</v>
      </c>
      <c r="U80" s="69">
        <f t="shared" si="111"/>
        <v>5.1657288405939257</v>
      </c>
      <c r="V80" s="69">
        <f t="shared" si="112"/>
        <v>5.0853791352139641</v>
      </c>
      <c r="W80" s="69">
        <f t="shared" si="113"/>
        <v>5.0748234673972537</v>
      </c>
      <c r="X80" s="69">
        <f t="shared" si="114"/>
        <v>5.0615878226504396</v>
      </c>
      <c r="Y80" s="27">
        <v>5.0000000000000001E-3</v>
      </c>
    </row>
    <row r="81" spans="1:38" x14ac:dyDescent="0.25">
      <c r="A81" s="71" t="s">
        <v>479</v>
      </c>
      <c r="B81" s="108">
        <v>24.259278999999999</v>
      </c>
      <c r="C81" s="106">
        <v>25.412034999999999</v>
      </c>
      <c r="D81" s="106">
        <v>30.050283</v>
      </c>
      <c r="E81" s="69">
        <v>33.231014000000002</v>
      </c>
      <c r="F81" s="69">
        <v>35.64846</v>
      </c>
      <c r="G81" s="69">
        <v>38.430045999999997</v>
      </c>
      <c r="H81" s="69">
        <v>39.113742999999999</v>
      </c>
      <c r="I81" s="69">
        <v>40.128951999999998</v>
      </c>
      <c r="J81" s="69">
        <v>40.360100000000003</v>
      </c>
      <c r="K81" s="69">
        <v>40.452117999999999</v>
      </c>
      <c r="L81" s="27">
        <v>8.0000000000000002E-3</v>
      </c>
      <c r="N81" s="71" t="s">
        <v>479</v>
      </c>
      <c r="O81" s="69">
        <f t="shared" si="105"/>
        <v>9.6958825215468334</v>
      </c>
      <c r="P81" s="69">
        <f t="shared" si="106"/>
        <v>9.2560520730208395</v>
      </c>
      <c r="Q81" s="69">
        <f t="shared" si="107"/>
        <v>7.8273844955612608</v>
      </c>
      <c r="R81" s="69">
        <f t="shared" si="108"/>
        <v>7.0781806189070284</v>
      </c>
      <c r="S81" s="69">
        <f t="shared" si="109"/>
        <v>6.5981845847317988</v>
      </c>
      <c r="T81" s="69">
        <f t="shared" si="110"/>
        <v>6.1206046758681518</v>
      </c>
      <c r="U81" s="69">
        <f t="shared" si="111"/>
        <v>6.0136182630598185</v>
      </c>
      <c r="V81" s="69">
        <f t="shared" si="112"/>
        <v>5.8614817362144951</v>
      </c>
      <c r="W81" s="69">
        <f t="shared" si="113"/>
        <v>5.8279122014422198</v>
      </c>
      <c r="X81" s="69">
        <f t="shared" si="114"/>
        <v>5.814655223774146</v>
      </c>
      <c r="Y81" s="27">
        <v>8.0000000000000002E-3</v>
      </c>
    </row>
    <row r="82" spans="1:38" x14ac:dyDescent="0.25">
      <c r="A82" s="71" t="s">
        <v>480</v>
      </c>
      <c r="B82" s="108">
        <v>26.653551</v>
      </c>
      <c r="C82" s="106">
        <v>23.580036</v>
      </c>
      <c r="D82" s="106">
        <v>27.920931</v>
      </c>
      <c r="E82" s="69">
        <v>27.235937</v>
      </c>
      <c r="F82" s="69">
        <v>28.622596999999999</v>
      </c>
      <c r="G82" s="69">
        <v>30.355566</v>
      </c>
      <c r="H82" s="69">
        <v>30.904540999999998</v>
      </c>
      <c r="I82" s="69">
        <v>31.356853000000001</v>
      </c>
      <c r="J82" s="69">
        <v>31.399977</v>
      </c>
      <c r="K82" s="69">
        <v>31.402343999999999</v>
      </c>
      <c r="L82" s="27">
        <v>6.0000000000000001E-3</v>
      </c>
      <c r="N82" s="71" t="s">
        <v>480</v>
      </c>
      <c r="O82" s="69">
        <f t="shared" si="105"/>
        <v>8.8249073919429399</v>
      </c>
      <c r="P82" s="69">
        <f t="shared" si="106"/>
        <v>9.9751806672995809</v>
      </c>
      <c r="Q82" s="69">
        <f t="shared" si="107"/>
        <v>8.4243293764605536</v>
      </c>
      <c r="R82" s="69">
        <f t="shared" si="108"/>
        <v>8.6362044104239235</v>
      </c>
      <c r="S82" s="69">
        <f t="shared" si="109"/>
        <v>8.217811935144395</v>
      </c>
      <c r="T82" s="69">
        <f t="shared" si="110"/>
        <v>7.7486652445033686</v>
      </c>
      <c r="U82" s="69">
        <f t="shared" si="111"/>
        <v>7.6110212813524125</v>
      </c>
      <c r="V82" s="69">
        <f t="shared" si="112"/>
        <v>7.5012348733282685</v>
      </c>
      <c r="W82" s="69">
        <f t="shared" si="113"/>
        <v>7.4909328513657236</v>
      </c>
      <c r="X82" s="69">
        <f t="shared" si="114"/>
        <v>7.4903682107752259</v>
      </c>
      <c r="Y82" s="27">
        <v>6.0000000000000001E-3</v>
      </c>
    </row>
    <row r="83" spans="1:38" x14ac:dyDescent="0.25">
      <c r="A83" s="71" t="s">
        <v>481</v>
      </c>
      <c r="B83" s="108">
        <v>26.727423000000002</v>
      </c>
      <c r="C83" s="106">
        <v>32.763702000000002</v>
      </c>
      <c r="D83" s="106">
        <v>33.274700000000003</v>
      </c>
      <c r="E83" s="69">
        <v>40.064259</v>
      </c>
      <c r="F83" s="69">
        <v>43.694217999999999</v>
      </c>
      <c r="G83" s="69">
        <v>48.326931000000002</v>
      </c>
      <c r="H83" s="69">
        <v>48.614952000000002</v>
      </c>
      <c r="I83" s="69">
        <v>49.098376999999999</v>
      </c>
      <c r="J83" s="69">
        <v>49.109631</v>
      </c>
      <c r="K83" s="69">
        <v>49.114887000000003</v>
      </c>
      <c r="L83" s="27">
        <v>8.9999999999999993E-3</v>
      </c>
      <c r="N83" s="71" t="s">
        <v>481</v>
      </c>
      <c r="O83" s="69">
        <f t="shared" si="105"/>
        <v>8.800516205450414</v>
      </c>
      <c r="P83" s="69">
        <f t="shared" si="106"/>
        <v>7.1791374259669478</v>
      </c>
      <c r="Q83" s="69">
        <f t="shared" si="107"/>
        <v>7.0688877507964945</v>
      </c>
      <c r="R83" s="69">
        <f t="shared" si="108"/>
        <v>5.8709464523336905</v>
      </c>
      <c r="S83" s="69">
        <f t="shared" si="109"/>
        <v>5.3832092667599207</v>
      </c>
      <c r="T83" s="69">
        <f t="shared" si="110"/>
        <v>4.8671644231128219</v>
      </c>
      <c r="U83" s="69">
        <f t="shared" si="111"/>
        <v>4.8383287356002764</v>
      </c>
      <c r="V83" s="69">
        <f t="shared" si="112"/>
        <v>4.7906903163301742</v>
      </c>
      <c r="W83" s="69">
        <f t="shared" si="113"/>
        <v>4.7895924781317971</v>
      </c>
      <c r="X83" s="69">
        <f t="shared" si="114"/>
        <v>4.7890799227824372</v>
      </c>
      <c r="Y83" s="27">
        <v>8.9999999999999993E-3</v>
      </c>
    </row>
    <row r="84" spans="1:38" x14ac:dyDescent="0.25">
      <c r="A84" s="71" t="s">
        <v>482</v>
      </c>
      <c r="B84" s="108">
        <v>26.52083</v>
      </c>
      <c r="C84" s="106">
        <v>27.046619</v>
      </c>
      <c r="D84" s="106">
        <v>29.479265000000002</v>
      </c>
      <c r="E84" s="69">
        <v>34.529983999999999</v>
      </c>
      <c r="F84" s="69">
        <v>36.389294</v>
      </c>
      <c r="G84" s="69">
        <v>39.281756999999999</v>
      </c>
      <c r="H84" s="69">
        <v>40.179329000000003</v>
      </c>
      <c r="I84" s="69">
        <v>40.952637000000003</v>
      </c>
      <c r="J84" s="69">
        <v>41.055706000000001</v>
      </c>
      <c r="K84" s="69">
        <v>41.169960000000003</v>
      </c>
      <c r="L84" s="27">
        <v>8.0000000000000002E-3</v>
      </c>
      <c r="N84" s="71" t="s">
        <v>482</v>
      </c>
      <c r="O84" s="69">
        <f t="shared" si="105"/>
        <v>8.8690708111860808</v>
      </c>
      <c r="P84" s="69">
        <f t="shared" si="106"/>
        <v>8.6966551805025301</v>
      </c>
      <c r="Q84" s="69">
        <f t="shared" si="107"/>
        <v>7.9790021644511198</v>
      </c>
      <c r="R84" s="69">
        <f t="shared" si="108"/>
        <v>6.8119093029822473</v>
      </c>
      <c r="S84" s="69">
        <f t="shared" si="109"/>
        <v>6.4638549800231946</v>
      </c>
      <c r="T84" s="69">
        <f t="shared" si="110"/>
        <v>5.9878971106467604</v>
      </c>
      <c r="U84" s="69">
        <f t="shared" si="111"/>
        <v>5.8541325874662595</v>
      </c>
      <c r="V84" s="69">
        <f t="shared" si="112"/>
        <v>5.7435890939435259</v>
      </c>
      <c r="W84" s="69">
        <f t="shared" si="113"/>
        <v>5.7291700023725847</v>
      </c>
      <c r="X84" s="69">
        <f t="shared" si="114"/>
        <v>5.7132705312666836</v>
      </c>
      <c r="Y84" s="27">
        <v>8.0000000000000002E-3</v>
      </c>
    </row>
    <row r="85" spans="1:38" x14ac:dyDescent="0.25">
      <c r="A85" s="71" t="s">
        <v>483</v>
      </c>
      <c r="B85" s="108">
        <v>29.315994</v>
      </c>
      <c r="C85" s="106">
        <v>33.548630000000003</v>
      </c>
      <c r="D85" s="106">
        <v>26.453655000000001</v>
      </c>
      <c r="E85" s="69">
        <v>31.614540000000002</v>
      </c>
      <c r="F85" s="69">
        <v>34.519694999999999</v>
      </c>
      <c r="G85" s="69">
        <v>36.915218000000003</v>
      </c>
      <c r="H85" s="69">
        <v>37.936947000000004</v>
      </c>
      <c r="I85" s="69">
        <v>38.695315999999998</v>
      </c>
      <c r="J85" s="69">
        <v>38.795493999999998</v>
      </c>
      <c r="K85" s="69">
        <v>38.846611000000003</v>
      </c>
      <c r="L85" s="27">
        <v>8.9999999999999993E-3</v>
      </c>
      <c r="N85" s="71" t="s">
        <v>483</v>
      </c>
      <c r="O85" s="69">
        <f t="shared" si="105"/>
        <v>8.0234400116683116</v>
      </c>
      <c r="P85" s="69">
        <f t="shared" si="106"/>
        <v>7.0111691369044911</v>
      </c>
      <c r="Q85" s="69">
        <f t="shared" si="107"/>
        <v>8.891592456370514</v>
      </c>
      <c r="R85" s="69">
        <f t="shared" si="108"/>
        <v>7.4400930471051652</v>
      </c>
      <c r="S85" s="69">
        <f t="shared" si="109"/>
        <v>6.8139396724515713</v>
      </c>
      <c r="T85" s="69">
        <f t="shared" si="110"/>
        <v>6.3717656832319971</v>
      </c>
      <c r="U85" s="69">
        <f t="shared" si="111"/>
        <v>6.200159418242805</v>
      </c>
      <c r="V85" s="69">
        <f t="shared" si="112"/>
        <v>6.0786457782494434</v>
      </c>
      <c r="W85" s="69">
        <f t="shared" si="113"/>
        <v>6.0629494559710508</v>
      </c>
      <c r="X85" s="69">
        <f t="shared" si="114"/>
        <v>6.0549714167196758</v>
      </c>
      <c r="Y85" s="27">
        <v>8.9999999999999993E-3</v>
      </c>
    </row>
    <row r="86" spans="1:38" x14ac:dyDescent="0.25">
      <c r="A86" s="71" t="s">
        <v>484</v>
      </c>
      <c r="B86" s="108">
        <v>24.654592999999998</v>
      </c>
      <c r="C86" s="106">
        <v>25.641940999999999</v>
      </c>
      <c r="D86" s="106">
        <v>25.906466999999999</v>
      </c>
      <c r="E86" s="69">
        <v>25.816472999999998</v>
      </c>
      <c r="F86" s="69">
        <v>27.790624999999999</v>
      </c>
      <c r="G86" s="69">
        <v>29.888603</v>
      </c>
      <c r="H86" s="69">
        <v>30.766565</v>
      </c>
      <c r="I86" s="69">
        <v>31.235123000000002</v>
      </c>
      <c r="J86" s="69">
        <v>31.286016</v>
      </c>
      <c r="K86" s="69">
        <v>31.331823</v>
      </c>
      <c r="L86" s="27">
        <v>8.9999999999999993E-3</v>
      </c>
      <c r="N86" s="71" t="s">
        <v>484</v>
      </c>
      <c r="O86" s="69">
        <f t="shared" si="105"/>
        <v>9.5404178540456197</v>
      </c>
      <c r="P86" s="69">
        <f t="shared" si="106"/>
        <v>9.1730621812688895</v>
      </c>
      <c r="Q86" s="69">
        <f t="shared" si="107"/>
        <v>9.0793977905759267</v>
      </c>
      <c r="R86" s="69">
        <f t="shared" si="108"/>
        <v>9.1110477888063244</v>
      </c>
      <c r="S86" s="69">
        <f t="shared" si="109"/>
        <v>8.4638297714221302</v>
      </c>
      <c r="T86" s="69">
        <f t="shared" si="110"/>
        <v>7.869726104007877</v>
      </c>
      <c r="U86" s="69">
        <f t="shared" si="111"/>
        <v>7.6451537323529015</v>
      </c>
      <c r="V86" s="69">
        <f t="shared" si="112"/>
        <v>7.5304688008248961</v>
      </c>
      <c r="W86" s="69">
        <f t="shared" si="113"/>
        <v>7.5182189781347724</v>
      </c>
      <c r="X86" s="69">
        <f t="shared" si="114"/>
        <v>7.5072273720373097</v>
      </c>
      <c r="Y86" s="27">
        <v>8.9999999999999993E-3</v>
      </c>
    </row>
    <row r="87" spans="1:38" x14ac:dyDescent="0.25">
      <c r="A87" s="71" t="s">
        <v>485</v>
      </c>
      <c r="B87" s="108">
        <v>23.583313442264444</v>
      </c>
      <c r="C87" s="106">
        <v>29.303683542368546</v>
      </c>
      <c r="D87" s="106">
        <v>37.307322999999997</v>
      </c>
      <c r="E87" s="69">
        <v>43.144607999999998</v>
      </c>
      <c r="F87" s="69">
        <v>45.065300000000001</v>
      </c>
      <c r="G87" s="69">
        <v>48.059513000000003</v>
      </c>
      <c r="H87" s="69">
        <v>48.532989999999998</v>
      </c>
      <c r="I87" s="69">
        <v>49.388409000000003</v>
      </c>
      <c r="J87" s="69">
        <v>49.469372</v>
      </c>
      <c r="K87" s="69">
        <v>49.575507999999999</v>
      </c>
      <c r="L87" s="27">
        <v>6.0000000000000001E-3</v>
      </c>
      <c r="N87" s="71" t="s">
        <v>485</v>
      </c>
      <c r="O87" s="69">
        <f t="shared" si="105"/>
        <v>9.9737943871742498</v>
      </c>
      <c r="P87" s="69">
        <f t="shared" si="106"/>
        <v>8.0268106533891501</v>
      </c>
      <c r="Q87" s="69">
        <f t="shared" si="107"/>
        <v>6.3047975659209898</v>
      </c>
      <c r="R87" s="69">
        <f t="shared" si="108"/>
        <v>5.4517848265402744</v>
      </c>
      <c r="S87" s="69">
        <f t="shared" si="109"/>
        <v>5.2194286788599689</v>
      </c>
      <c r="T87" s="69">
        <f t="shared" si="110"/>
        <v>4.8942468318692312</v>
      </c>
      <c r="U87" s="69">
        <f t="shared" si="111"/>
        <v>4.8464996539761538</v>
      </c>
      <c r="V87" s="69">
        <f t="shared" si="112"/>
        <v>4.7625571263376418</v>
      </c>
      <c r="W87" s="69">
        <f t="shared" si="113"/>
        <v>4.7547625880803208</v>
      </c>
      <c r="X87" s="69">
        <f t="shared" si="114"/>
        <v>4.7445831365243532</v>
      </c>
      <c r="Y87" s="27">
        <v>6.0000000000000001E-3</v>
      </c>
    </row>
    <row r="88" spans="1:38" x14ac:dyDescent="0.25">
      <c r="A88" s="71" t="s">
        <v>486</v>
      </c>
      <c r="B88" s="108">
        <v>20.286165447267958</v>
      </c>
      <c r="C88" s="106">
        <v>25.307782258522142</v>
      </c>
      <c r="D88" s="106">
        <v>31.422329000000001</v>
      </c>
      <c r="E88" s="69">
        <v>33.47551</v>
      </c>
      <c r="F88" s="69">
        <v>35.663746000000003</v>
      </c>
      <c r="G88" s="69">
        <v>38.037005999999998</v>
      </c>
      <c r="H88" s="69">
        <v>38.805244000000002</v>
      </c>
      <c r="I88" s="69">
        <v>39.581429</v>
      </c>
      <c r="J88" s="69">
        <v>39.590339999999998</v>
      </c>
      <c r="K88" s="69">
        <v>39.532508999999997</v>
      </c>
      <c r="L88" s="27">
        <v>7.0000000000000001E-3</v>
      </c>
      <c r="N88" s="71" t="s">
        <v>486</v>
      </c>
      <c r="O88" s="69">
        <f t="shared" si="105"/>
        <v>11.594853638202274</v>
      </c>
      <c r="P88" s="69">
        <f t="shared" si="106"/>
        <v>9.2941814039126953</v>
      </c>
      <c r="Q88" s="69">
        <f t="shared" si="107"/>
        <v>7.485604241538816</v>
      </c>
      <c r="R88" s="69">
        <f t="shared" si="108"/>
        <v>7.0264835170973692</v>
      </c>
      <c r="S88" s="69">
        <f t="shared" si="109"/>
        <v>6.5953565068971756</v>
      </c>
      <c r="T88" s="69">
        <f t="shared" si="110"/>
        <v>6.1838494660023491</v>
      </c>
      <c r="U88" s="69">
        <f t="shared" si="111"/>
        <v>6.0614261114149448</v>
      </c>
      <c r="V88" s="69">
        <f t="shared" si="112"/>
        <v>5.9425625901841022</v>
      </c>
      <c r="W88" s="69">
        <f t="shared" si="113"/>
        <v>5.9412250372547488</v>
      </c>
      <c r="X88" s="69">
        <f t="shared" si="114"/>
        <v>5.9499162889314245</v>
      </c>
      <c r="Y88" s="27">
        <v>7.0000000000000001E-3</v>
      </c>
    </row>
    <row r="89" spans="1:38" x14ac:dyDescent="0.25">
      <c r="A89" t="s">
        <v>263</v>
      </c>
      <c r="L89" s="27"/>
      <c r="N89" t="s">
        <v>263</v>
      </c>
      <c r="O89" s="69"/>
      <c r="P89" s="69"/>
      <c r="Q89" s="69"/>
      <c r="R89" s="69"/>
      <c r="S89" s="69"/>
      <c r="T89" s="69"/>
      <c r="U89" s="69"/>
      <c r="V89" s="69"/>
      <c r="W89" s="69"/>
      <c r="X89" s="69"/>
      <c r="Y89" s="27"/>
      <c r="AA89" t="s">
        <v>8</v>
      </c>
      <c r="AB89" t="s">
        <v>224</v>
      </c>
      <c r="AC89" s="69">
        <f>AVERAGE(O90:O97)</f>
        <v>6.6715115132563136</v>
      </c>
      <c r="AD89" s="69">
        <f t="shared" ref="AD89" si="124">AVERAGE(P90:P97)</f>
        <v>6.5020245849091038</v>
      </c>
      <c r="AE89" s="69">
        <f t="shared" ref="AE89" si="125">AVERAGE(Q90:Q97)</f>
        <v>5.3528653928421388</v>
      </c>
      <c r="AF89" s="69">
        <f t="shared" ref="AF89" si="126">AVERAGE(R90:R97)</f>
        <v>4.7364689721336246</v>
      </c>
      <c r="AG89" s="69">
        <f t="shared" ref="AG89" si="127">AVERAGE(S90:S97)</f>
        <v>4.5407739105281042</v>
      </c>
      <c r="AH89" s="69">
        <f t="shared" ref="AH89" si="128">AVERAGE(T90:T97)</f>
        <v>4.3298526575921503</v>
      </c>
      <c r="AI89" s="69">
        <f t="shared" ref="AI89" si="129">AVERAGE(U90:U97)</f>
        <v>4.3693393571066625</v>
      </c>
      <c r="AJ89" s="69">
        <f t="shared" ref="AJ89" si="130">AVERAGE(V90:V97)</f>
        <v>4.3567400951359527</v>
      </c>
      <c r="AK89" s="69">
        <f t="shared" ref="AK89" si="131">AVERAGE(W90:W97)</f>
        <v>4.3694289847349541</v>
      </c>
      <c r="AL89" s="69">
        <f t="shared" ref="AL89" si="132">AVERAGE(X90:X97)</f>
        <v>4.3720220448714286</v>
      </c>
    </row>
    <row r="90" spans="1:38" x14ac:dyDescent="0.25">
      <c r="A90" s="71" t="s">
        <v>471</v>
      </c>
      <c r="B90" s="108">
        <v>0</v>
      </c>
      <c r="C90" s="106">
        <v>0</v>
      </c>
      <c r="D90" s="106">
        <v>0</v>
      </c>
      <c r="E90" s="69">
        <v>0</v>
      </c>
      <c r="F90" s="69">
        <v>0</v>
      </c>
      <c r="G90" s="69">
        <v>0</v>
      </c>
      <c r="H90" s="69">
        <v>0</v>
      </c>
      <c r="I90" s="69">
        <v>0</v>
      </c>
      <c r="J90" s="69">
        <v>0</v>
      </c>
      <c r="K90" s="69">
        <v>0</v>
      </c>
      <c r="L90" s="27" t="s">
        <v>264</v>
      </c>
      <c r="N90" s="71" t="s">
        <v>471</v>
      </c>
      <c r="O90" s="69" t="str">
        <f t="shared" ref="O90:O105" si="133">IFERROR(L_100km_to_mpg/B90, "")</f>
        <v/>
      </c>
      <c r="P90" s="69" t="str">
        <f t="shared" ref="P90:P105" si="134">IFERROR(L_100km_to_mpg/C90, "")</f>
        <v/>
      </c>
      <c r="Q90" s="69" t="str">
        <f t="shared" ref="Q90:Q105" si="135">IFERROR(L_100km_to_mpg/D90, "")</f>
        <v/>
      </c>
      <c r="R90" s="69" t="str">
        <f t="shared" ref="R90:R105" si="136">IFERROR(L_100km_to_mpg/E90, "")</f>
        <v/>
      </c>
      <c r="S90" s="69" t="str">
        <f t="shared" ref="S90:S105" si="137">IFERROR(L_100km_to_mpg/F90, "")</f>
        <v/>
      </c>
      <c r="T90" s="69" t="str">
        <f t="shared" ref="T90:T105" si="138">IFERROR(L_100km_to_mpg/G90, "")</f>
        <v/>
      </c>
      <c r="U90" s="69" t="str">
        <f t="shared" ref="U90:U105" si="139">IFERROR(L_100km_to_mpg/H90, "")</f>
        <v/>
      </c>
      <c r="V90" s="69" t="str">
        <f t="shared" ref="V90:V105" si="140">IFERROR(L_100km_to_mpg/I90, "")</f>
        <v/>
      </c>
      <c r="W90" s="69" t="str">
        <f t="shared" ref="W90:W105" si="141">IFERROR(L_100km_to_mpg/J90, "")</f>
        <v/>
      </c>
      <c r="X90" s="69" t="str">
        <f t="shared" ref="X90:X105" si="142">IFERROR(L_100km_to_mpg/K90, "")</f>
        <v/>
      </c>
      <c r="Y90" s="27" t="s">
        <v>264</v>
      </c>
      <c r="AA90" t="s">
        <v>240</v>
      </c>
      <c r="AB90" t="s">
        <v>224</v>
      </c>
      <c r="AC90" s="69">
        <f>AVERAGE(O98:O105)</f>
        <v>8.2735734528422231</v>
      </c>
      <c r="AD90" s="69">
        <f t="shared" ref="AD90" si="143">AVERAGE(P98:P105)</f>
        <v>8.7308122200655536</v>
      </c>
      <c r="AE90" s="69">
        <f t="shared" ref="AE90" si="144">AVERAGE(Q98:Q105)</f>
        <v>7.7051204776624953</v>
      </c>
      <c r="AF90" s="69">
        <f t="shared" ref="AF90" si="145">AVERAGE(R98:R105)</f>
        <v>7.256210248496096</v>
      </c>
      <c r="AG90" s="69">
        <f t="shared" ref="AG90" si="146">AVERAGE(S98:S105)</f>
        <v>6.8901423676825191</v>
      </c>
      <c r="AH90" s="69">
        <f t="shared" ref="AH90" si="147">AVERAGE(T98:T105)</f>
        <v>6.449063174141795</v>
      </c>
      <c r="AI90" s="69">
        <f t="shared" ref="AI90" si="148">AVERAGE(U98:U105)</f>
        <v>6.3302216541144407</v>
      </c>
      <c r="AJ90" s="69">
        <f t="shared" ref="AJ90" si="149">AVERAGE(V98:V105)</f>
        <v>6.2274560338798546</v>
      </c>
      <c r="AK90" s="69">
        <f t="shared" ref="AK90" si="150">AVERAGE(W98:W105)</f>
        <v>6.2138747799314196</v>
      </c>
      <c r="AL90" s="69">
        <f t="shared" ref="AL90" si="151">AVERAGE(X98:X105)</f>
        <v>6.2053635909405962</v>
      </c>
    </row>
    <row r="91" spans="1:38" x14ac:dyDescent="0.25">
      <c r="A91" s="71" t="s">
        <v>472</v>
      </c>
      <c r="B91" s="108">
        <v>0</v>
      </c>
      <c r="C91" s="106">
        <v>0</v>
      </c>
      <c r="D91" s="106">
        <v>0</v>
      </c>
      <c r="E91" s="69">
        <v>0</v>
      </c>
      <c r="F91" s="69">
        <v>0</v>
      </c>
      <c r="G91" s="69">
        <v>0</v>
      </c>
      <c r="H91" s="69">
        <v>0</v>
      </c>
      <c r="I91" s="69">
        <v>0</v>
      </c>
      <c r="J91" s="69">
        <v>0</v>
      </c>
      <c r="K91" s="69">
        <v>0</v>
      </c>
      <c r="L91" s="27" t="s">
        <v>264</v>
      </c>
      <c r="N91" s="71" t="s">
        <v>472</v>
      </c>
      <c r="O91" s="69" t="str">
        <f t="shared" si="133"/>
        <v/>
      </c>
      <c r="P91" s="69" t="str">
        <f t="shared" si="134"/>
        <v/>
      </c>
      <c r="Q91" s="69" t="str">
        <f t="shared" si="135"/>
        <v/>
      </c>
      <c r="R91" s="69" t="str">
        <f t="shared" si="136"/>
        <v/>
      </c>
      <c r="S91" s="69" t="str">
        <f t="shared" si="137"/>
        <v/>
      </c>
      <c r="T91" s="69" t="str">
        <f t="shared" si="138"/>
        <v/>
      </c>
      <c r="U91" s="69" t="str">
        <f t="shared" si="139"/>
        <v/>
      </c>
      <c r="V91" s="69" t="str">
        <f t="shared" si="140"/>
        <v/>
      </c>
      <c r="W91" s="69" t="str">
        <f t="shared" si="141"/>
        <v/>
      </c>
      <c r="X91" s="69" t="str">
        <f t="shared" si="142"/>
        <v/>
      </c>
      <c r="Y91" s="27" t="s">
        <v>264</v>
      </c>
    </row>
    <row r="92" spans="1:38" x14ac:dyDescent="0.25">
      <c r="A92" s="71" t="s">
        <v>473</v>
      </c>
      <c r="B92" s="108">
        <v>37.912067</v>
      </c>
      <c r="C92" s="106">
        <v>42.324108000000003</v>
      </c>
      <c r="D92" s="106">
        <v>45.945014999999998</v>
      </c>
      <c r="E92" s="69">
        <v>53.318775000000002</v>
      </c>
      <c r="F92" s="69">
        <v>55.930008000000001</v>
      </c>
      <c r="G92" s="69">
        <v>58.449905000000001</v>
      </c>
      <c r="H92" s="69">
        <v>57.944381999999997</v>
      </c>
      <c r="I92" s="69">
        <v>57.995426000000002</v>
      </c>
      <c r="J92" s="69">
        <v>57.780853</v>
      </c>
      <c r="K92" s="69">
        <v>57.669262000000003</v>
      </c>
      <c r="L92" s="27">
        <v>3.0000000000000001E-3</v>
      </c>
      <c r="N92" s="71" t="s">
        <v>473</v>
      </c>
      <c r="O92" s="69">
        <f t="shared" si="133"/>
        <v>6.2042283065554864</v>
      </c>
      <c r="P92" s="69">
        <f t="shared" si="134"/>
        <v>5.5574737509276773</v>
      </c>
      <c r="Q92" s="69">
        <f t="shared" si="135"/>
        <v>5.1194916193068636</v>
      </c>
      <c r="R92" s="69">
        <f t="shared" si="136"/>
        <v>4.4114876840555342</v>
      </c>
      <c r="S92" s="69">
        <f t="shared" si="137"/>
        <v>4.2055262935315181</v>
      </c>
      <c r="T92" s="69">
        <f t="shared" si="138"/>
        <v>4.0242173061090201</v>
      </c>
      <c r="U92" s="69">
        <f t="shared" si="139"/>
        <v>4.0593257037658654</v>
      </c>
      <c r="V92" s="69">
        <f t="shared" si="140"/>
        <v>4.0557529354371518</v>
      </c>
      <c r="W92" s="69">
        <f t="shared" si="141"/>
        <v>4.0708142408598249</v>
      </c>
      <c r="X92" s="69">
        <f t="shared" si="142"/>
        <v>4.0786913354540264</v>
      </c>
      <c r="Y92" s="27">
        <v>3.0000000000000001E-3</v>
      </c>
    </row>
    <row r="93" spans="1:38" x14ac:dyDescent="0.25">
      <c r="A93" s="71" t="s">
        <v>474</v>
      </c>
      <c r="B93" s="108">
        <v>0</v>
      </c>
      <c r="C93" s="106">
        <v>0</v>
      </c>
      <c r="D93" s="106">
        <v>0</v>
      </c>
      <c r="E93" s="69">
        <v>0</v>
      </c>
      <c r="F93" s="69">
        <v>0</v>
      </c>
      <c r="G93" s="69">
        <v>0</v>
      </c>
      <c r="H93" s="69">
        <v>0</v>
      </c>
      <c r="I93" s="69">
        <v>0</v>
      </c>
      <c r="J93" s="69">
        <v>0</v>
      </c>
      <c r="K93" s="69">
        <v>0</v>
      </c>
      <c r="L93" s="27" t="s">
        <v>264</v>
      </c>
      <c r="N93" s="71" t="s">
        <v>474</v>
      </c>
      <c r="O93" s="69" t="str">
        <f t="shared" si="133"/>
        <v/>
      </c>
      <c r="P93" s="69" t="str">
        <f t="shared" si="134"/>
        <v/>
      </c>
      <c r="Q93" s="69" t="str">
        <f t="shared" si="135"/>
        <v/>
      </c>
      <c r="R93" s="69" t="str">
        <f t="shared" si="136"/>
        <v/>
      </c>
      <c r="S93" s="69" t="str">
        <f t="shared" si="137"/>
        <v/>
      </c>
      <c r="T93" s="69" t="str">
        <f t="shared" si="138"/>
        <v/>
      </c>
      <c r="U93" s="69" t="str">
        <f t="shared" si="139"/>
        <v/>
      </c>
      <c r="V93" s="69" t="str">
        <f t="shared" si="140"/>
        <v/>
      </c>
      <c r="W93" s="69" t="str">
        <f t="shared" si="141"/>
        <v/>
      </c>
      <c r="X93" s="69" t="str">
        <f t="shared" si="142"/>
        <v/>
      </c>
      <c r="Y93" s="27" t="s">
        <v>264</v>
      </c>
    </row>
    <row r="94" spans="1:38" x14ac:dyDescent="0.25">
      <c r="A94" s="71" t="s">
        <v>475</v>
      </c>
      <c r="B94" s="108">
        <v>32.948855999999999</v>
      </c>
      <c r="C94" s="106">
        <v>31.587019000000002</v>
      </c>
      <c r="D94" s="106">
        <v>42.106166999999999</v>
      </c>
      <c r="E94" s="69">
        <v>46.471882000000001</v>
      </c>
      <c r="F94" s="69">
        <v>48.239147000000003</v>
      </c>
      <c r="G94" s="69">
        <v>50.742255999999998</v>
      </c>
      <c r="H94" s="69">
        <v>50.266590000000001</v>
      </c>
      <c r="I94" s="69">
        <v>50.499977000000001</v>
      </c>
      <c r="J94" s="69">
        <v>50.388370999999999</v>
      </c>
      <c r="K94" s="69">
        <v>50.417434999999998</v>
      </c>
      <c r="L94" s="27">
        <v>3.0000000000000001E-3</v>
      </c>
      <c r="N94" s="71" t="s">
        <v>475</v>
      </c>
      <c r="O94" s="69">
        <f t="shared" si="133"/>
        <v>7.1387947199571409</v>
      </c>
      <c r="P94" s="69">
        <f t="shared" si="134"/>
        <v>7.4465754188905304</v>
      </c>
      <c r="Q94" s="69">
        <f t="shared" si="135"/>
        <v>5.5862391663774131</v>
      </c>
      <c r="R94" s="69">
        <f t="shared" si="136"/>
        <v>5.0614502602117151</v>
      </c>
      <c r="S94" s="69">
        <f t="shared" si="137"/>
        <v>4.8760215275246912</v>
      </c>
      <c r="T94" s="69">
        <f t="shared" si="138"/>
        <v>4.6354880090752797</v>
      </c>
      <c r="U94" s="69">
        <f t="shared" si="139"/>
        <v>4.6793530104474588</v>
      </c>
      <c r="V94" s="69">
        <f t="shared" si="140"/>
        <v>4.6577272548347528</v>
      </c>
      <c r="W94" s="69">
        <f t="shared" si="141"/>
        <v>4.6680437286100824</v>
      </c>
      <c r="X94" s="69">
        <f t="shared" si="142"/>
        <v>4.6653527542888318</v>
      </c>
      <c r="Y94" s="27">
        <v>3.0000000000000001E-3</v>
      </c>
    </row>
    <row r="95" spans="1:38" x14ac:dyDescent="0.25">
      <c r="A95" s="71" t="s">
        <v>476</v>
      </c>
      <c r="B95" s="108">
        <v>0</v>
      </c>
      <c r="C95" s="106">
        <v>0</v>
      </c>
      <c r="D95" s="106">
        <v>0</v>
      </c>
      <c r="E95" s="69">
        <v>0</v>
      </c>
      <c r="F95" s="69">
        <v>0</v>
      </c>
      <c r="G95" s="69">
        <v>0</v>
      </c>
      <c r="H95" s="69">
        <v>0</v>
      </c>
      <c r="I95" s="69">
        <v>0</v>
      </c>
      <c r="J95" s="69">
        <v>0</v>
      </c>
      <c r="K95" s="69">
        <v>0</v>
      </c>
      <c r="L95" s="27" t="s">
        <v>264</v>
      </c>
      <c r="N95" s="71" t="s">
        <v>476</v>
      </c>
      <c r="O95" s="69" t="str">
        <f t="shared" si="133"/>
        <v/>
      </c>
      <c r="P95" s="69" t="str">
        <f t="shared" si="134"/>
        <v/>
      </c>
      <c r="Q95" s="69" t="str">
        <f t="shared" si="135"/>
        <v/>
      </c>
      <c r="R95" s="69" t="str">
        <f t="shared" si="136"/>
        <v/>
      </c>
      <c r="S95" s="69" t="str">
        <f t="shared" si="137"/>
        <v/>
      </c>
      <c r="T95" s="69" t="str">
        <f t="shared" si="138"/>
        <v/>
      </c>
      <c r="U95" s="69" t="str">
        <f t="shared" si="139"/>
        <v/>
      </c>
      <c r="V95" s="69" t="str">
        <f t="shared" si="140"/>
        <v/>
      </c>
      <c r="W95" s="69" t="str">
        <f t="shared" si="141"/>
        <v/>
      </c>
      <c r="X95" s="69" t="str">
        <f t="shared" si="142"/>
        <v/>
      </c>
      <c r="Y95" s="27" t="s">
        <v>264</v>
      </c>
    </row>
    <row r="96" spans="1:38" x14ac:dyDescent="0.25">
      <c r="A96" s="71" t="s">
        <v>477</v>
      </c>
      <c r="D96" s="106">
        <v>0</v>
      </c>
      <c r="E96" s="69">
        <v>0</v>
      </c>
      <c r="F96" s="69">
        <v>0</v>
      </c>
      <c r="G96" s="69">
        <v>0</v>
      </c>
      <c r="H96" s="69">
        <v>0</v>
      </c>
      <c r="I96" s="69">
        <v>0</v>
      </c>
      <c r="J96" s="69">
        <v>0</v>
      </c>
      <c r="K96" s="69">
        <v>0</v>
      </c>
      <c r="L96" s="27" t="s">
        <v>264</v>
      </c>
      <c r="N96" s="71" t="s">
        <v>477</v>
      </c>
      <c r="O96" s="69" t="str">
        <f t="shared" si="133"/>
        <v/>
      </c>
      <c r="P96" s="69" t="str">
        <f t="shared" si="134"/>
        <v/>
      </c>
      <c r="Q96" s="69" t="str">
        <f t="shared" si="135"/>
        <v/>
      </c>
      <c r="R96" s="69" t="str">
        <f t="shared" si="136"/>
        <v/>
      </c>
      <c r="S96" s="69" t="str">
        <f t="shared" si="137"/>
        <v/>
      </c>
      <c r="T96" s="69" t="str">
        <f t="shared" si="138"/>
        <v/>
      </c>
      <c r="U96" s="69" t="str">
        <f t="shared" si="139"/>
        <v/>
      </c>
      <c r="V96" s="69" t="str">
        <f t="shared" si="140"/>
        <v/>
      </c>
      <c r="W96" s="69" t="str">
        <f t="shared" si="141"/>
        <v/>
      </c>
      <c r="X96" s="69" t="str">
        <f t="shared" si="142"/>
        <v/>
      </c>
      <c r="Y96" s="27" t="s">
        <v>264</v>
      </c>
    </row>
    <row r="97" spans="1:25" x14ac:dyDescent="0.25">
      <c r="A97" s="71" t="s">
        <v>478</v>
      </c>
      <c r="D97" s="106">
        <v>0</v>
      </c>
      <c r="E97" s="69">
        <v>0</v>
      </c>
      <c r="F97" s="69">
        <v>0</v>
      </c>
      <c r="G97" s="69">
        <v>0</v>
      </c>
      <c r="H97" s="69">
        <v>0</v>
      </c>
      <c r="I97" s="69">
        <v>0</v>
      </c>
      <c r="J97" s="69">
        <v>0</v>
      </c>
      <c r="K97" s="69">
        <v>0</v>
      </c>
      <c r="L97" s="27" t="s">
        <v>264</v>
      </c>
      <c r="N97" s="71" t="s">
        <v>478</v>
      </c>
      <c r="O97" s="69" t="str">
        <f t="shared" si="133"/>
        <v/>
      </c>
      <c r="P97" s="69" t="str">
        <f t="shared" si="134"/>
        <v/>
      </c>
      <c r="Q97" s="69" t="str">
        <f t="shared" si="135"/>
        <v/>
      </c>
      <c r="R97" s="69" t="str">
        <f t="shared" si="136"/>
        <v/>
      </c>
      <c r="S97" s="69" t="str">
        <f t="shared" si="137"/>
        <v/>
      </c>
      <c r="T97" s="69" t="str">
        <f t="shared" si="138"/>
        <v/>
      </c>
      <c r="U97" s="69" t="str">
        <f t="shared" si="139"/>
        <v/>
      </c>
      <c r="V97" s="69" t="str">
        <f t="shared" si="140"/>
        <v/>
      </c>
      <c r="W97" s="69" t="str">
        <f t="shared" si="141"/>
        <v/>
      </c>
      <c r="X97" s="69" t="str">
        <f t="shared" si="142"/>
        <v/>
      </c>
      <c r="Y97" s="27" t="s">
        <v>264</v>
      </c>
    </row>
    <row r="98" spans="1:25" x14ac:dyDescent="0.25">
      <c r="A98" s="71" t="s">
        <v>479</v>
      </c>
      <c r="B98" s="108">
        <v>0</v>
      </c>
      <c r="C98" s="106">
        <v>0</v>
      </c>
      <c r="D98" s="106">
        <v>0</v>
      </c>
      <c r="E98" s="69">
        <v>0</v>
      </c>
      <c r="F98" s="69">
        <v>0</v>
      </c>
      <c r="G98" s="69">
        <v>0</v>
      </c>
      <c r="H98" s="69">
        <v>0</v>
      </c>
      <c r="I98" s="69">
        <v>0</v>
      </c>
      <c r="J98" s="69">
        <v>0</v>
      </c>
      <c r="K98" s="69">
        <v>0</v>
      </c>
      <c r="L98" s="27" t="s">
        <v>264</v>
      </c>
      <c r="N98" s="71" t="s">
        <v>479</v>
      </c>
      <c r="O98" s="69" t="str">
        <f t="shared" si="133"/>
        <v/>
      </c>
      <c r="P98" s="69" t="str">
        <f t="shared" si="134"/>
        <v/>
      </c>
      <c r="Q98" s="69" t="str">
        <f t="shared" si="135"/>
        <v/>
      </c>
      <c r="R98" s="69" t="str">
        <f t="shared" si="136"/>
        <v/>
      </c>
      <c r="S98" s="69" t="str">
        <f t="shared" si="137"/>
        <v/>
      </c>
      <c r="T98" s="69" t="str">
        <f t="shared" si="138"/>
        <v/>
      </c>
      <c r="U98" s="69" t="str">
        <f t="shared" si="139"/>
        <v/>
      </c>
      <c r="V98" s="69" t="str">
        <f t="shared" si="140"/>
        <v/>
      </c>
      <c r="W98" s="69" t="str">
        <f t="shared" si="141"/>
        <v/>
      </c>
      <c r="X98" s="69" t="str">
        <f t="shared" si="142"/>
        <v/>
      </c>
      <c r="Y98" s="27" t="s">
        <v>264</v>
      </c>
    </row>
    <row r="99" spans="1:25" x14ac:dyDescent="0.25">
      <c r="A99" s="71" t="s">
        <v>480</v>
      </c>
      <c r="B99" s="108">
        <v>28.500826</v>
      </c>
      <c r="C99" s="106">
        <v>25.214290999999999</v>
      </c>
      <c r="D99" s="106">
        <v>29.732116999999999</v>
      </c>
      <c r="E99" s="69">
        <v>29.038277000000001</v>
      </c>
      <c r="F99" s="69">
        <v>30.508343</v>
      </c>
      <c r="G99" s="69">
        <v>32.348968999999997</v>
      </c>
      <c r="H99" s="69">
        <v>32.900889999999997</v>
      </c>
      <c r="I99" s="69">
        <v>33.388106999999998</v>
      </c>
      <c r="J99" s="69">
        <v>33.431255</v>
      </c>
      <c r="K99" s="69">
        <v>33.438488</v>
      </c>
      <c r="L99" s="27">
        <v>6.0000000000000001E-3</v>
      </c>
      <c r="N99" s="71" t="s">
        <v>480</v>
      </c>
      <c r="O99" s="69">
        <f t="shared" si="133"/>
        <v>8.25292288867095</v>
      </c>
      <c r="P99" s="69">
        <f t="shared" si="134"/>
        <v>9.3286430001711391</v>
      </c>
      <c r="Q99" s="69">
        <f t="shared" si="135"/>
        <v>7.9111460257413944</v>
      </c>
      <c r="R99" s="69">
        <f t="shared" si="136"/>
        <v>8.1001747879678998</v>
      </c>
      <c r="S99" s="69">
        <f t="shared" si="137"/>
        <v>7.709862159391224</v>
      </c>
      <c r="T99" s="69">
        <f t="shared" si="138"/>
        <v>7.271178232648718</v>
      </c>
      <c r="U99" s="69">
        <f t="shared" si="139"/>
        <v>7.1492023237495452</v>
      </c>
      <c r="V99" s="69">
        <f t="shared" si="140"/>
        <v>7.0448773643090385</v>
      </c>
      <c r="W99" s="69">
        <f t="shared" si="141"/>
        <v>7.0357849037204296</v>
      </c>
      <c r="X99" s="69">
        <f t="shared" si="142"/>
        <v>7.0342630097816663</v>
      </c>
      <c r="Y99" s="27">
        <v>6.0000000000000001E-3</v>
      </c>
    </row>
    <row r="100" spans="1:25" x14ac:dyDescent="0.25">
      <c r="A100" s="71" t="s">
        <v>481</v>
      </c>
      <c r="B100" s="108">
        <v>0</v>
      </c>
      <c r="C100" s="106">
        <v>0</v>
      </c>
      <c r="D100" s="106">
        <v>0</v>
      </c>
      <c r="E100" s="69">
        <v>0</v>
      </c>
      <c r="F100" s="69">
        <v>0</v>
      </c>
      <c r="G100" s="69">
        <v>0</v>
      </c>
      <c r="H100" s="69">
        <v>0</v>
      </c>
      <c r="I100" s="69">
        <v>0</v>
      </c>
      <c r="J100" s="69">
        <v>0</v>
      </c>
      <c r="K100" s="69">
        <v>0</v>
      </c>
      <c r="L100" s="27" t="s">
        <v>264</v>
      </c>
      <c r="N100" s="71" t="s">
        <v>481</v>
      </c>
      <c r="O100" s="69" t="str">
        <f t="shared" si="133"/>
        <v/>
      </c>
      <c r="P100" s="69" t="str">
        <f t="shared" si="134"/>
        <v/>
      </c>
      <c r="Q100" s="69" t="str">
        <f t="shared" si="135"/>
        <v/>
      </c>
      <c r="R100" s="69" t="str">
        <f t="shared" si="136"/>
        <v/>
      </c>
      <c r="S100" s="69" t="str">
        <f t="shared" si="137"/>
        <v/>
      </c>
      <c r="T100" s="69" t="str">
        <f t="shared" si="138"/>
        <v/>
      </c>
      <c r="U100" s="69" t="str">
        <f t="shared" si="139"/>
        <v/>
      </c>
      <c r="V100" s="69" t="str">
        <f t="shared" si="140"/>
        <v/>
      </c>
      <c r="W100" s="69" t="str">
        <f t="shared" si="141"/>
        <v/>
      </c>
      <c r="X100" s="69" t="str">
        <f t="shared" si="142"/>
        <v/>
      </c>
      <c r="Y100" s="27" t="s">
        <v>264</v>
      </c>
    </row>
    <row r="101" spans="1:25" x14ac:dyDescent="0.25">
      <c r="A101" s="71" t="s">
        <v>482</v>
      </c>
      <c r="B101" s="108">
        <v>28.358906000000001</v>
      </c>
      <c r="C101" s="106">
        <v>28.921143000000001</v>
      </c>
      <c r="D101" s="106">
        <v>31.365801000000001</v>
      </c>
      <c r="E101" s="69">
        <v>36.682175000000001</v>
      </c>
      <c r="F101" s="69">
        <v>38.747734000000001</v>
      </c>
      <c r="G101" s="69">
        <v>41.801544</v>
      </c>
      <c r="H101" s="69">
        <v>42.679156999999996</v>
      </c>
      <c r="I101" s="69">
        <v>43.477561999999999</v>
      </c>
      <c r="J101" s="69">
        <v>43.623268000000003</v>
      </c>
      <c r="K101" s="69">
        <v>43.749034999999999</v>
      </c>
      <c r="L101" s="27">
        <v>8.0000000000000002E-3</v>
      </c>
      <c r="N101" s="71" t="s">
        <v>482</v>
      </c>
      <c r="O101" s="69">
        <f t="shared" si="133"/>
        <v>8.2942240170134962</v>
      </c>
      <c r="P101" s="69">
        <f t="shared" si="134"/>
        <v>8.132981439959968</v>
      </c>
      <c r="Q101" s="69">
        <f t="shared" si="135"/>
        <v>7.4990949295835971</v>
      </c>
      <c r="R101" s="69">
        <f t="shared" si="136"/>
        <v>6.4122457090242913</v>
      </c>
      <c r="S101" s="69">
        <f t="shared" si="137"/>
        <v>6.0704225759738142</v>
      </c>
      <c r="T101" s="69">
        <f t="shared" si="138"/>
        <v>5.6269481156348711</v>
      </c>
      <c r="U101" s="69">
        <f t="shared" si="139"/>
        <v>5.5112409844793362</v>
      </c>
      <c r="V101" s="69">
        <f t="shared" si="140"/>
        <v>5.4100347034506706</v>
      </c>
      <c r="W101" s="69">
        <f t="shared" si="141"/>
        <v>5.3919646561424086</v>
      </c>
      <c r="X101" s="69">
        <f t="shared" si="142"/>
        <v>5.3764641720995252</v>
      </c>
      <c r="Y101" s="27">
        <v>8.0000000000000002E-3</v>
      </c>
    </row>
    <row r="102" spans="1:25" x14ac:dyDescent="0.25">
      <c r="A102" s="71" t="s">
        <v>483</v>
      </c>
      <c r="B102" s="108">
        <v>0</v>
      </c>
      <c r="C102" s="106">
        <v>0</v>
      </c>
      <c r="D102" s="106">
        <v>0</v>
      </c>
      <c r="E102" s="69">
        <v>0</v>
      </c>
      <c r="F102" s="69">
        <v>0</v>
      </c>
      <c r="G102" s="69">
        <v>0</v>
      </c>
      <c r="H102" s="69">
        <v>0</v>
      </c>
      <c r="I102" s="69">
        <v>0</v>
      </c>
      <c r="J102" s="69">
        <v>0</v>
      </c>
      <c r="K102" s="69">
        <v>0</v>
      </c>
      <c r="L102" s="27" t="s">
        <v>264</v>
      </c>
      <c r="N102" s="71" t="s">
        <v>483</v>
      </c>
      <c r="O102" s="69" t="str">
        <f t="shared" si="133"/>
        <v/>
      </c>
      <c r="P102" s="69" t="str">
        <f t="shared" si="134"/>
        <v/>
      </c>
      <c r="Q102" s="69" t="str">
        <f t="shared" si="135"/>
        <v/>
      </c>
      <c r="R102" s="69" t="str">
        <f t="shared" si="136"/>
        <v/>
      </c>
      <c r="S102" s="69" t="str">
        <f t="shared" si="137"/>
        <v/>
      </c>
      <c r="T102" s="69" t="str">
        <f t="shared" si="138"/>
        <v/>
      </c>
      <c r="U102" s="69" t="str">
        <f t="shared" si="139"/>
        <v/>
      </c>
      <c r="V102" s="69" t="str">
        <f t="shared" si="140"/>
        <v/>
      </c>
      <c r="W102" s="69" t="str">
        <f t="shared" si="141"/>
        <v/>
      </c>
      <c r="X102" s="69" t="str">
        <f t="shared" si="142"/>
        <v/>
      </c>
      <c r="Y102" s="27" t="s">
        <v>264</v>
      </c>
    </row>
    <row r="103" spans="1:25" x14ac:dyDescent="0.25">
      <c r="A103" s="71" t="s">
        <v>484</v>
      </c>
      <c r="B103" s="108">
        <v>0</v>
      </c>
      <c r="C103" s="106">
        <v>0</v>
      </c>
      <c r="D103" s="106">
        <v>0</v>
      </c>
      <c r="E103" s="69">
        <v>0</v>
      </c>
      <c r="F103" s="69">
        <v>0</v>
      </c>
      <c r="G103" s="69">
        <v>0</v>
      </c>
      <c r="H103" s="69">
        <v>0</v>
      </c>
      <c r="I103" s="69">
        <v>0</v>
      </c>
      <c r="J103" s="69">
        <v>0</v>
      </c>
      <c r="K103" s="69">
        <v>0</v>
      </c>
      <c r="L103" s="27" t="s">
        <v>264</v>
      </c>
      <c r="N103" s="71" t="s">
        <v>484</v>
      </c>
      <c r="O103" s="69" t="str">
        <f t="shared" si="133"/>
        <v/>
      </c>
      <c r="P103" s="69" t="str">
        <f t="shared" si="134"/>
        <v/>
      </c>
      <c r="Q103" s="69" t="str">
        <f t="shared" si="135"/>
        <v/>
      </c>
      <c r="R103" s="69" t="str">
        <f t="shared" si="136"/>
        <v/>
      </c>
      <c r="S103" s="69" t="str">
        <f t="shared" si="137"/>
        <v/>
      </c>
      <c r="T103" s="69" t="str">
        <f t="shared" si="138"/>
        <v/>
      </c>
      <c r="U103" s="69" t="str">
        <f t="shared" si="139"/>
        <v/>
      </c>
      <c r="V103" s="69" t="str">
        <f t="shared" si="140"/>
        <v/>
      </c>
      <c r="W103" s="69" t="str">
        <f t="shared" si="141"/>
        <v/>
      </c>
      <c r="X103" s="69" t="str">
        <f t="shared" si="142"/>
        <v/>
      </c>
      <c r="Y103" s="27" t="s">
        <v>264</v>
      </c>
    </row>
    <row r="104" spans="1:25" x14ac:dyDescent="0.25">
      <c r="A104" s="71" t="s">
        <v>485</v>
      </c>
      <c r="D104" s="106">
        <v>0</v>
      </c>
      <c r="E104" s="69">
        <v>0</v>
      </c>
      <c r="F104" s="69">
        <v>0</v>
      </c>
      <c r="G104" s="69">
        <v>0</v>
      </c>
      <c r="H104" s="69">
        <v>0</v>
      </c>
      <c r="I104" s="69">
        <v>0</v>
      </c>
      <c r="J104" s="69">
        <v>0</v>
      </c>
      <c r="K104" s="69">
        <v>0</v>
      </c>
      <c r="L104" s="27" t="s">
        <v>264</v>
      </c>
      <c r="N104" s="71" t="s">
        <v>485</v>
      </c>
      <c r="O104" s="69" t="str">
        <f t="shared" si="133"/>
        <v/>
      </c>
      <c r="P104" s="69" t="str">
        <f t="shared" si="134"/>
        <v/>
      </c>
      <c r="Q104" s="69" t="str">
        <f t="shared" si="135"/>
        <v/>
      </c>
      <c r="R104" s="69" t="str">
        <f t="shared" si="136"/>
        <v/>
      </c>
      <c r="S104" s="69" t="str">
        <f t="shared" si="137"/>
        <v/>
      </c>
      <c r="T104" s="69" t="str">
        <f t="shared" si="138"/>
        <v/>
      </c>
      <c r="U104" s="69" t="str">
        <f t="shared" si="139"/>
        <v/>
      </c>
      <c r="V104" s="69" t="str">
        <f t="shared" si="140"/>
        <v/>
      </c>
      <c r="W104" s="69" t="str">
        <f t="shared" si="141"/>
        <v/>
      </c>
      <c r="X104" s="69" t="str">
        <f t="shared" si="142"/>
        <v/>
      </c>
      <c r="Y104" s="27" t="s">
        <v>264</v>
      </c>
    </row>
    <row r="105" spans="1:25" x14ac:dyDescent="0.25">
      <c r="A105" s="71" t="s">
        <v>486</v>
      </c>
      <c r="D105" s="106">
        <v>0</v>
      </c>
      <c r="E105" s="69">
        <v>0</v>
      </c>
      <c r="F105" s="69">
        <v>0</v>
      </c>
      <c r="G105" s="69">
        <v>0</v>
      </c>
      <c r="H105" s="69">
        <v>0</v>
      </c>
      <c r="I105" s="69">
        <v>0</v>
      </c>
      <c r="J105" s="69">
        <v>0</v>
      </c>
      <c r="K105" s="69">
        <v>0</v>
      </c>
      <c r="L105" s="27" t="s">
        <v>264</v>
      </c>
      <c r="N105" s="71" t="s">
        <v>486</v>
      </c>
      <c r="O105" s="69" t="str">
        <f t="shared" si="133"/>
        <v/>
      </c>
      <c r="P105" s="69" t="str">
        <f t="shared" si="134"/>
        <v/>
      </c>
      <c r="Q105" s="69" t="str">
        <f t="shared" si="135"/>
        <v/>
      </c>
      <c r="R105" s="69" t="str">
        <f t="shared" si="136"/>
        <v/>
      </c>
      <c r="S105" s="69" t="str">
        <f t="shared" si="137"/>
        <v/>
      </c>
      <c r="T105" s="69" t="str">
        <f t="shared" si="138"/>
        <v/>
      </c>
      <c r="U105" s="69" t="str">
        <f t="shared" si="139"/>
        <v/>
      </c>
      <c r="V105" s="69" t="str">
        <f t="shared" si="140"/>
        <v/>
      </c>
      <c r="W105" s="69" t="str">
        <f t="shared" si="141"/>
        <v/>
      </c>
      <c r="X105" s="69" t="str">
        <f t="shared" si="142"/>
        <v/>
      </c>
      <c r="Y105" s="27" t="s">
        <v>264</v>
      </c>
    </row>
    <row r="106" spans="1:25" x14ac:dyDescent="0.25">
      <c r="A106" t="s">
        <v>461</v>
      </c>
      <c r="L106" s="27"/>
      <c r="N106" t="s">
        <v>461</v>
      </c>
      <c r="O106" s="69"/>
      <c r="P106" s="69"/>
      <c r="Q106" s="69"/>
      <c r="R106" s="69"/>
      <c r="S106" s="69"/>
      <c r="T106" s="69"/>
      <c r="U106" s="69"/>
      <c r="V106" s="69"/>
      <c r="W106" s="69"/>
      <c r="X106" s="69"/>
      <c r="Y106" s="27"/>
    </row>
    <row r="107" spans="1:25" x14ac:dyDescent="0.25">
      <c r="A107" s="71" t="s">
        <v>471</v>
      </c>
      <c r="B107" s="108">
        <v>0</v>
      </c>
      <c r="C107" s="106">
        <v>0</v>
      </c>
      <c r="D107" s="106">
        <v>0</v>
      </c>
      <c r="E107" s="69">
        <v>0</v>
      </c>
      <c r="F107" s="69">
        <v>0</v>
      </c>
      <c r="G107" s="69">
        <v>0</v>
      </c>
      <c r="H107" s="69">
        <v>0</v>
      </c>
      <c r="I107" s="69">
        <v>0</v>
      </c>
      <c r="J107" s="69">
        <v>0</v>
      </c>
      <c r="K107" s="69">
        <v>0</v>
      </c>
      <c r="L107" s="27" t="s">
        <v>264</v>
      </c>
      <c r="N107" s="71" t="s">
        <v>471</v>
      </c>
      <c r="O107" s="69" t="str">
        <f t="shared" ref="O107:O122" si="152">IFERROR(L_100km_to_mpg/B107, "")</f>
        <v/>
      </c>
      <c r="P107" s="69" t="str">
        <f t="shared" ref="P107:P122" si="153">IFERROR(L_100km_to_mpg/C107, "")</f>
        <v/>
      </c>
      <c r="Q107" s="69" t="str">
        <f t="shared" ref="Q107:Q122" si="154">IFERROR(L_100km_to_mpg/D107, "")</f>
        <v/>
      </c>
      <c r="R107" s="69" t="str">
        <f t="shared" ref="R107:R122" si="155">IFERROR(L_100km_to_mpg/E107, "")</f>
        <v/>
      </c>
      <c r="S107" s="69" t="str">
        <f t="shared" ref="S107:S122" si="156">IFERROR(L_100km_to_mpg/F107, "")</f>
        <v/>
      </c>
      <c r="T107" s="69" t="str">
        <f t="shared" ref="T107:T122" si="157">IFERROR(L_100km_to_mpg/G107, "")</f>
        <v/>
      </c>
      <c r="U107" s="69" t="str">
        <f t="shared" ref="U107:U122" si="158">IFERROR(L_100km_to_mpg/H107, "")</f>
        <v/>
      </c>
      <c r="V107" s="69" t="str">
        <f t="shared" ref="V107:V122" si="159">IFERROR(L_100km_to_mpg/I107, "")</f>
        <v/>
      </c>
      <c r="W107" s="69" t="str">
        <f t="shared" ref="W107:W122" si="160">IFERROR(L_100km_to_mpg/J107, "")</f>
        <v/>
      </c>
      <c r="X107" s="69" t="str">
        <f t="shared" ref="X107:X122" si="161">IFERROR(L_100km_to_mpg/K107, "")</f>
        <v/>
      </c>
      <c r="Y107" s="27" t="s">
        <v>264</v>
      </c>
    </row>
    <row r="108" spans="1:25" x14ac:dyDescent="0.25">
      <c r="A108" s="71" t="s">
        <v>472</v>
      </c>
      <c r="B108" s="108">
        <v>0</v>
      </c>
      <c r="C108" s="106">
        <v>0</v>
      </c>
      <c r="D108" s="106">
        <v>0</v>
      </c>
      <c r="E108" s="69">
        <v>0</v>
      </c>
      <c r="F108" s="69">
        <v>0</v>
      </c>
      <c r="G108" s="69">
        <v>0</v>
      </c>
      <c r="H108" s="69">
        <v>0</v>
      </c>
      <c r="I108" s="69">
        <v>0</v>
      </c>
      <c r="J108" s="69">
        <v>0</v>
      </c>
      <c r="K108" s="69">
        <v>0</v>
      </c>
      <c r="L108" s="27" t="s">
        <v>264</v>
      </c>
      <c r="N108" s="71" t="s">
        <v>472</v>
      </c>
      <c r="O108" s="69" t="str">
        <f t="shared" si="152"/>
        <v/>
      </c>
      <c r="P108" s="69" t="str">
        <f t="shared" si="153"/>
        <v/>
      </c>
      <c r="Q108" s="69" t="str">
        <f t="shared" si="154"/>
        <v/>
      </c>
      <c r="R108" s="69" t="str">
        <f t="shared" si="155"/>
        <v/>
      </c>
      <c r="S108" s="69" t="str">
        <f t="shared" si="156"/>
        <v/>
      </c>
      <c r="T108" s="69" t="str">
        <f t="shared" si="157"/>
        <v/>
      </c>
      <c r="U108" s="69" t="str">
        <f t="shared" si="158"/>
        <v/>
      </c>
      <c r="V108" s="69" t="str">
        <f t="shared" si="159"/>
        <v/>
      </c>
      <c r="W108" s="69" t="str">
        <f t="shared" si="160"/>
        <v/>
      </c>
      <c r="X108" s="69" t="str">
        <f t="shared" si="161"/>
        <v/>
      </c>
      <c r="Y108" s="27" t="s">
        <v>264</v>
      </c>
    </row>
    <row r="109" spans="1:25" x14ac:dyDescent="0.25">
      <c r="A109" s="71" t="s">
        <v>473</v>
      </c>
      <c r="B109" s="108">
        <v>35.103760000000001</v>
      </c>
      <c r="C109" s="106">
        <v>39.188991999999999</v>
      </c>
      <c r="D109" s="106">
        <v>42.786273999999999</v>
      </c>
      <c r="E109" s="69">
        <v>49.676299999999998</v>
      </c>
      <c r="F109" s="69">
        <v>52.079749999999997</v>
      </c>
      <c r="G109" s="69">
        <v>54.403412000000003</v>
      </c>
      <c r="H109" s="69">
        <v>53.981892000000002</v>
      </c>
      <c r="I109" s="69">
        <v>54.210476</v>
      </c>
      <c r="J109" s="69">
        <v>54.027068999999997</v>
      </c>
      <c r="K109" s="69">
        <v>53.946838</v>
      </c>
      <c r="L109" s="27">
        <v>4.0000000000000001E-3</v>
      </c>
      <c r="N109" s="71" t="s">
        <v>473</v>
      </c>
      <c r="O109" s="69">
        <f t="shared" si="152"/>
        <v>6.7005676668661174</v>
      </c>
      <c r="P109" s="69">
        <f t="shared" si="153"/>
        <v>6.0020711745131932</v>
      </c>
      <c r="Q109" s="69">
        <f t="shared" si="154"/>
        <v>5.4974433913415348</v>
      </c>
      <c r="R109" s="69">
        <f t="shared" si="155"/>
        <v>4.7349564931653152</v>
      </c>
      <c r="S109" s="69">
        <f t="shared" si="156"/>
        <v>4.516441020577636</v>
      </c>
      <c r="T109" s="69">
        <f t="shared" si="157"/>
        <v>4.3235361642653611</v>
      </c>
      <c r="U109" s="69">
        <f t="shared" si="158"/>
        <v>4.3572966883307487</v>
      </c>
      <c r="V109" s="69">
        <f t="shared" si="159"/>
        <v>4.3389237025225187</v>
      </c>
      <c r="W109" s="69">
        <f t="shared" si="160"/>
        <v>4.3536531519307138</v>
      </c>
      <c r="X109" s="69">
        <f t="shared" si="161"/>
        <v>4.3601280067874999</v>
      </c>
      <c r="Y109" s="27">
        <v>4.0000000000000001E-3</v>
      </c>
    </row>
    <row r="110" spans="1:25" x14ac:dyDescent="0.25">
      <c r="A110" s="71" t="s">
        <v>474</v>
      </c>
      <c r="B110" s="108">
        <v>0</v>
      </c>
      <c r="C110" s="106">
        <v>0</v>
      </c>
      <c r="D110" s="106">
        <v>0</v>
      </c>
      <c r="E110" s="69">
        <v>0</v>
      </c>
      <c r="F110" s="69">
        <v>0</v>
      </c>
      <c r="G110" s="69">
        <v>0</v>
      </c>
      <c r="H110" s="69">
        <v>0</v>
      </c>
      <c r="I110" s="69">
        <v>0</v>
      </c>
      <c r="J110" s="69">
        <v>0</v>
      </c>
      <c r="K110" s="69">
        <v>0</v>
      </c>
      <c r="L110" s="27" t="s">
        <v>264</v>
      </c>
      <c r="N110" s="71" t="s">
        <v>474</v>
      </c>
      <c r="O110" s="69" t="str">
        <f t="shared" si="152"/>
        <v/>
      </c>
      <c r="P110" s="69" t="str">
        <f t="shared" si="153"/>
        <v/>
      </c>
      <c r="Q110" s="69" t="str">
        <f t="shared" si="154"/>
        <v/>
      </c>
      <c r="R110" s="69" t="str">
        <f t="shared" si="155"/>
        <v/>
      </c>
      <c r="S110" s="69" t="str">
        <f t="shared" si="156"/>
        <v/>
      </c>
      <c r="T110" s="69" t="str">
        <f t="shared" si="157"/>
        <v/>
      </c>
      <c r="U110" s="69" t="str">
        <f t="shared" si="158"/>
        <v/>
      </c>
      <c r="V110" s="69" t="str">
        <f t="shared" si="159"/>
        <v/>
      </c>
      <c r="W110" s="69" t="str">
        <f t="shared" si="160"/>
        <v/>
      </c>
      <c r="X110" s="69" t="str">
        <f t="shared" si="161"/>
        <v/>
      </c>
      <c r="Y110" s="27" t="s">
        <v>264</v>
      </c>
    </row>
    <row r="111" spans="1:25" x14ac:dyDescent="0.25">
      <c r="A111" s="71" t="s">
        <v>475</v>
      </c>
      <c r="B111" s="108">
        <v>30.508196000000002</v>
      </c>
      <c r="C111" s="106">
        <v>29.247237999999999</v>
      </c>
      <c r="D111" s="106">
        <v>39.194088000000001</v>
      </c>
      <c r="E111" s="69">
        <v>43.177399000000001</v>
      </c>
      <c r="F111" s="69">
        <v>44.873576999999997</v>
      </c>
      <c r="G111" s="69">
        <v>47.133220999999999</v>
      </c>
      <c r="H111" s="69">
        <v>46.838706999999999</v>
      </c>
      <c r="I111" s="69">
        <v>47.261276000000002</v>
      </c>
      <c r="J111" s="69">
        <v>47.163040000000002</v>
      </c>
      <c r="K111" s="69">
        <v>47.186638000000002</v>
      </c>
      <c r="L111" s="27">
        <v>4.0000000000000001E-3</v>
      </c>
      <c r="N111" s="71" t="s">
        <v>475</v>
      </c>
      <c r="O111" s="69">
        <f t="shared" si="152"/>
        <v>7.7098993084162739</v>
      </c>
      <c r="P111" s="69">
        <f t="shared" si="153"/>
        <v>8.0423019514330942</v>
      </c>
      <c r="Q111" s="69">
        <f t="shared" si="154"/>
        <v>6.0012907875654138</v>
      </c>
      <c r="R111" s="69">
        <f t="shared" si="155"/>
        <v>5.447644478108284</v>
      </c>
      <c r="S111" s="69">
        <f t="shared" si="156"/>
        <v>5.241728762595149</v>
      </c>
      <c r="T111" s="69">
        <f t="shared" si="157"/>
        <v>4.9904316796305546</v>
      </c>
      <c r="U111" s="69">
        <f t="shared" si="158"/>
        <v>5.0218106840871624</v>
      </c>
      <c r="V111" s="69">
        <f t="shared" si="159"/>
        <v>4.9769100445241499</v>
      </c>
      <c r="W111" s="69">
        <f t="shared" si="160"/>
        <v>4.9872764614288672</v>
      </c>
      <c r="X111" s="69">
        <f t="shared" si="161"/>
        <v>4.9847823284512902</v>
      </c>
      <c r="Y111" s="27">
        <v>4.0000000000000001E-3</v>
      </c>
    </row>
    <row r="112" spans="1:25" x14ac:dyDescent="0.25">
      <c r="A112" s="71" t="s">
        <v>476</v>
      </c>
      <c r="B112" s="108">
        <v>0</v>
      </c>
      <c r="C112" s="106">
        <v>0</v>
      </c>
      <c r="D112" s="106">
        <v>0</v>
      </c>
      <c r="E112" s="69">
        <v>0</v>
      </c>
      <c r="F112" s="69">
        <v>0</v>
      </c>
      <c r="G112" s="69">
        <v>0</v>
      </c>
      <c r="H112" s="69">
        <v>0</v>
      </c>
      <c r="I112" s="69">
        <v>0</v>
      </c>
      <c r="J112" s="69">
        <v>0</v>
      </c>
      <c r="K112" s="69">
        <v>0</v>
      </c>
      <c r="L112" s="27" t="s">
        <v>264</v>
      </c>
      <c r="N112" s="71" t="s">
        <v>476</v>
      </c>
      <c r="O112" s="69" t="str">
        <f t="shared" si="152"/>
        <v/>
      </c>
      <c r="P112" s="69" t="str">
        <f t="shared" si="153"/>
        <v/>
      </c>
      <c r="Q112" s="69" t="str">
        <f t="shared" si="154"/>
        <v/>
      </c>
      <c r="R112" s="69" t="str">
        <f t="shared" si="155"/>
        <v/>
      </c>
      <c r="S112" s="69" t="str">
        <f t="shared" si="156"/>
        <v/>
      </c>
      <c r="T112" s="69" t="str">
        <f t="shared" si="157"/>
        <v/>
      </c>
      <c r="U112" s="69" t="str">
        <f t="shared" si="158"/>
        <v/>
      </c>
      <c r="V112" s="69" t="str">
        <f t="shared" si="159"/>
        <v/>
      </c>
      <c r="W112" s="69" t="str">
        <f t="shared" si="160"/>
        <v/>
      </c>
      <c r="X112" s="69" t="str">
        <f t="shared" si="161"/>
        <v/>
      </c>
      <c r="Y112" s="27" t="s">
        <v>264</v>
      </c>
    </row>
    <row r="113" spans="1:38" x14ac:dyDescent="0.25">
      <c r="A113" s="71" t="s">
        <v>477</v>
      </c>
      <c r="D113" s="106">
        <v>0</v>
      </c>
      <c r="E113" s="69">
        <v>0</v>
      </c>
      <c r="F113" s="69">
        <v>0</v>
      </c>
      <c r="G113" s="69">
        <v>0</v>
      </c>
      <c r="H113" s="69">
        <v>0</v>
      </c>
      <c r="I113" s="69">
        <v>0</v>
      </c>
      <c r="J113" s="69">
        <v>0</v>
      </c>
      <c r="K113" s="69">
        <v>0</v>
      </c>
      <c r="L113" s="27" t="s">
        <v>264</v>
      </c>
      <c r="N113" s="71" t="s">
        <v>477</v>
      </c>
      <c r="O113" s="69" t="str">
        <f t="shared" si="152"/>
        <v/>
      </c>
      <c r="P113" s="69" t="str">
        <f t="shared" si="153"/>
        <v/>
      </c>
      <c r="Q113" s="69" t="str">
        <f t="shared" si="154"/>
        <v/>
      </c>
      <c r="R113" s="69" t="str">
        <f t="shared" si="155"/>
        <v/>
      </c>
      <c r="S113" s="69" t="str">
        <f t="shared" si="156"/>
        <v/>
      </c>
      <c r="T113" s="69" t="str">
        <f t="shared" si="157"/>
        <v/>
      </c>
      <c r="U113" s="69" t="str">
        <f t="shared" si="158"/>
        <v/>
      </c>
      <c r="V113" s="69" t="str">
        <f t="shared" si="159"/>
        <v/>
      </c>
      <c r="W113" s="69" t="str">
        <f t="shared" si="160"/>
        <v/>
      </c>
      <c r="X113" s="69" t="str">
        <f t="shared" si="161"/>
        <v/>
      </c>
      <c r="Y113" s="27" t="s">
        <v>264</v>
      </c>
    </row>
    <row r="114" spans="1:38" x14ac:dyDescent="0.25">
      <c r="A114" s="71" t="s">
        <v>478</v>
      </c>
      <c r="D114" s="106">
        <v>0</v>
      </c>
      <c r="E114" s="69">
        <v>0</v>
      </c>
      <c r="F114" s="69">
        <v>0</v>
      </c>
      <c r="G114" s="69">
        <v>0</v>
      </c>
      <c r="H114" s="69">
        <v>0</v>
      </c>
      <c r="I114" s="69">
        <v>0</v>
      </c>
      <c r="J114" s="69">
        <v>0</v>
      </c>
      <c r="K114" s="69">
        <v>0</v>
      </c>
      <c r="L114" s="27" t="s">
        <v>264</v>
      </c>
      <c r="N114" s="71" t="s">
        <v>478</v>
      </c>
      <c r="O114" s="69" t="str">
        <f t="shared" si="152"/>
        <v/>
      </c>
      <c r="P114" s="69" t="str">
        <f t="shared" si="153"/>
        <v/>
      </c>
      <c r="Q114" s="69" t="str">
        <f t="shared" si="154"/>
        <v/>
      </c>
      <c r="R114" s="69" t="str">
        <f t="shared" si="155"/>
        <v/>
      </c>
      <c r="S114" s="69" t="str">
        <f t="shared" si="156"/>
        <v/>
      </c>
      <c r="T114" s="69" t="str">
        <f t="shared" si="157"/>
        <v/>
      </c>
      <c r="U114" s="69" t="str">
        <f t="shared" si="158"/>
        <v/>
      </c>
      <c r="V114" s="69" t="str">
        <f t="shared" si="159"/>
        <v/>
      </c>
      <c r="W114" s="69" t="str">
        <f t="shared" si="160"/>
        <v/>
      </c>
      <c r="X114" s="69" t="str">
        <f t="shared" si="161"/>
        <v/>
      </c>
      <c r="Y114" s="27" t="s">
        <v>264</v>
      </c>
    </row>
    <row r="115" spans="1:38" x14ac:dyDescent="0.25">
      <c r="A115" s="71" t="s">
        <v>479</v>
      </c>
      <c r="B115" s="108">
        <v>0</v>
      </c>
      <c r="C115" s="106">
        <v>0</v>
      </c>
      <c r="D115" s="106">
        <v>0</v>
      </c>
      <c r="E115" s="69">
        <v>0</v>
      </c>
      <c r="F115" s="69">
        <v>0</v>
      </c>
      <c r="G115" s="69">
        <v>0</v>
      </c>
      <c r="H115" s="69">
        <v>0</v>
      </c>
      <c r="I115" s="69">
        <v>0</v>
      </c>
      <c r="J115" s="69">
        <v>0</v>
      </c>
      <c r="K115" s="69">
        <v>0</v>
      </c>
      <c r="L115" s="27" t="s">
        <v>264</v>
      </c>
      <c r="N115" s="71" t="s">
        <v>479</v>
      </c>
      <c r="O115" s="69" t="str">
        <f t="shared" si="152"/>
        <v/>
      </c>
      <c r="P115" s="69" t="str">
        <f t="shared" si="153"/>
        <v/>
      </c>
      <c r="Q115" s="69" t="str">
        <f t="shared" si="154"/>
        <v/>
      </c>
      <c r="R115" s="69" t="str">
        <f t="shared" si="155"/>
        <v/>
      </c>
      <c r="S115" s="69" t="str">
        <f t="shared" si="156"/>
        <v/>
      </c>
      <c r="T115" s="69" t="str">
        <f t="shared" si="157"/>
        <v/>
      </c>
      <c r="U115" s="69" t="str">
        <f t="shared" si="158"/>
        <v/>
      </c>
      <c r="V115" s="69" t="str">
        <f t="shared" si="159"/>
        <v/>
      </c>
      <c r="W115" s="69" t="str">
        <f t="shared" si="160"/>
        <v/>
      </c>
      <c r="X115" s="69" t="str">
        <f t="shared" si="161"/>
        <v/>
      </c>
      <c r="Y115" s="27" t="s">
        <v>264</v>
      </c>
    </row>
    <row r="116" spans="1:38" x14ac:dyDescent="0.25">
      <c r="A116" s="71" t="s">
        <v>480</v>
      </c>
      <c r="B116" s="108">
        <v>26.389654</v>
      </c>
      <c r="C116" s="106">
        <v>23.346568999999999</v>
      </c>
      <c r="D116" s="106">
        <v>27.623425000000001</v>
      </c>
      <c r="E116" s="69">
        <v>26.948605000000001</v>
      </c>
      <c r="F116" s="69">
        <v>28.313548999999998</v>
      </c>
      <c r="G116" s="69">
        <v>30.030542000000001</v>
      </c>
      <c r="H116" s="69">
        <v>30.591434</v>
      </c>
      <c r="I116" s="69">
        <v>31.036584999999999</v>
      </c>
      <c r="J116" s="69">
        <v>31.082242999999998</v>
      </c>
      <c r="K116" s="69">
        <v>31.081329</v>
      </c>
      <c r="L116" s="27">
        <v>6.0000000000000001E-3</v>
      </c>
      <c r="N116" s="71" t="s">
        <v>480</v>
      </c>
      <c r="O116" s="69">
        <f t="shared" si="152"/>
        <v>8.9131566196899801</v>
      </c>
      <c r="P116" s="69">
        <f t="shared" si="153"/>
        <v>10.074933033690225</v>
      </c>
      <c r="Q116" s="69">
        <f t="shared" si="154"/>
        <v>8.5150599261832358</v>
      </c>
      <c r="R116" s="69">
        <f t="shared" si="155"/>
        <v>8.7282855361688725</v>
      </c>
      <c r="S116" s="69">
        <f t="shared" si="156"/>
        <v>8.307510981453726</v>
      </c>
      <c r="T116" s="69">
        <f t="shared" si="157"/>
        <v>7.8325299370696717</v>
      </c>
      <c r="U116" s="69">
        <f t="shared" si="158"/>
        <v>7.6889209979966333</v>
      </c>
      <c r="V116" s="69">
        <f t="shared" si="159"/>
        <v>7.5786404735388304</v>
      </c>
      <c r="W116" s="69">
        <f t="shared" si="160"/>
        <v>7.5675078932182647</v>
      </c>
      <c r="X116" s="69">
        <f t="shared" si="161"/>
        <v>7.5677304288187983</v>
      </c>
      <c r="Y116" s="27">
        <v>6.0000000000000001E-3</v>
      </c>
    </row>
    <row r="117" spans="1:38" x14ac:dyDescent="0.25">
      <c r="A117" s="71" t="s">
        <v>481</v>
      </c>
      <c r="B117" s="108">
        <v>0</v>
      </c>
      <c r="C117" s="106">
        <v>0</v>
      </c>
      <c r="D117" s="106">
        <v>0</v>
      </c>
      <c r="E117" s="69">
        <v>0</v>
      </c>
      <c r="F117" s="69">
        <v>0</v>
      </c>
      <c r="G117" s="69">
        <v>0</v>
      </c>
      <c r="H117" s="69">
        <v>0</v>
      </c>
      <c r="I117" s="69">
        <v>0</v>
      </c>
      <c r="J117" s="69">
        <v>0</v>
      </c>
      <c r="K117" s="69">
        <v>0</v>
      </c>
      <c r="L117" s="27" t="s">
        <v>264</v>
      </c>
      <c r="N117" s="71" t="s">
        <v>481</v>
      </c>
      <c r="O117" s="69" t="str">
        <f t="shared" si="152"/>
        <v/>
      </c>
      <c r="P117" s="69" t="str">
        <f t="shared" si="153"/>
        <v/>
      </c>
      <c r="Q117" s="69" t="str">
        <f t="shared" si="154"/>
        <v/>
      </c>
      <c r="R117" s="69" t="str">
        <f t="shared" si="155"/>
        <v/>
      </c>
      <c r="S117" s="69" t="str">
        <f t="shared" si="156"/>
        <v/>
      </c>
      <c r="T117" s="69" t="str">
        <f t="shared" si="157"/>
        <v/>
      </c>
      <c r="U117" s="69" t="str">
        <f t="shared" si="158"/>
        <v/>
      </c>
      <c r="V117" s="69" t="str">
        <f t="shared" si="159"/>
        <v/>
      </c>
      <c r="W117" s="69" t="str">
        <f t="shared" si="160"/>
        <v/>
      </c>
      <c r="X117" s="69" t="str">
        <f t="shared" si="161"/>
        <v/>
      </c>
      <c r="Y117" s="27" t="s">
        <v>264</v>
      </c>
    </row>
    <row r="118" spans="1:38" x14ac:dyDescent="0.25">
      <c r="A118" s="71" t="s">
        <v>482</v>
      </c>
      <c r="B118" s="108">
        <v>26.258247000000001</v>
      </c>
      <c r="C118" s="106">
        <v>26.778831</v>
      </c>
      <c r="D118" s="106">
        <v>29.167860000000001</v>
      </c>
      <c r="E118" s="69">
        <v>34.179523000000003</v>
      </c>
      <c r="F118" s="69">
        <v>36.003914000000002</v>
      </c>
      <c r="G118" s="69">
        <v>38.844147</v>
      </c>
      <c r="H118" s="69">
        <v>39.758232</v>
      </c>
      <c r="I118" s="69">
        <v>40.540661</v>
      </c>
      <c r="J118" s="69">
        <v>40.649451999999997</v>
      </c>
      <c r="K118" s="69">
        <v>40.763396999999998</v>
      </c>
      <c r="L118" s="27">
        <v>8.0000000000000002E-3</v>
      </c>
      <c r="N118" s="71" t="s">
        <v>482</v>
      </c>
      <c r="O118" s="69">
        <f t="shared" si="152"/>
        <v>8.9577616983124635</v>
      </c>
      <c r="P118" s="69">
        <f t="shared" si="153"/>
        <v>8.7836216316323945</v>
      </c>
      <c r="Q118" s="69">
        <f t="shared" si="154"/>
        <v>8.0641884334822009</v>
      </c>
      <c r="R118" s="69">
        <f t="shared" si="155"/>
        <v>6.8817554663190625</v>
      </c>
      <c r="S118" s="69">
        <f t="shared" si="156"/>
        <v>6.5330430253063074</v>
      </c>
      <c r="T118" s="69">
        <f t="shared" si="157"/>
        <v>6.0553555016004896</v>
      </c>
      <c r="U118" s="69">
        <f t="shared" si="158"/>
        <v>5.9161362920118821</v>
      </c>
      <c r="V118" s="69">
        <f t="shared" si="159"/>
        <v>5.8019557017441858</v>
      </c>
      <c r="W118" s="69">
        <f t="shared" si="160"/>
        <v>5.7864278032930967</v>
      </c>
      <c r="X118" s="69">
        <f t="shared" si="161"/>
        <v>5.7702531327658528</v>
      </c>
      <c r="Y118" s="27">
        <v>8.0000000000000002E-3</v>
      </c>
    </row>
    <row r="119" spans="1:38" x14ac:dyDescent="0.25">
      <c r="A119" s="71" t="s">
        <v>483</v>
      </c>
      <c r="B119" s="108">
        <v>0</v>
      </c>
      <c r="C119" s="106">
        <v>0</v>
      </c>
      <c r="D119" s="106">
        <v>0</v>
      </c>
      <c r="E119" s="69">
        <v>0</v>
      </c>
      <c r="F119" s="69">
        <v>0</v>
      </c>
      <c r="G119" s="69">
        <v>0</v>
      </c>
      <c r="H119" s="69">
        <v>0</v>
      </c>
      <c r="I119" s="69">
        <v>0</v>
      </c>
      <c r="J119" s="69">
        <v>0</v>
      </c>
      <c r="K119" s="69">
        <v>0</v>
      </c>
      <c r="L119" s="27" t="s">
        <v>264</v>
      </c>
      <c r="N119" s="71" t="s">
        <v>483</v>
      </c>
      <c r="O119" s="69" t="str">
        <f t="shared" si="152"/>
        <v/>
      </c>
      <c r="P119" s="69" t="str">
        <f t="shared" si="153"/>
        <v/>
      </c>
      <c r="Q119" s="69" t="str">
        <f t="shared" si="154"/>
        <v/>
      </c>
      <c r="R119" s="69" t="str">
        <f t="shared" si="155"/>
        <v/>
      </c>
      <c r="S119" s="69" t="str">
        <f t="shared" si="156"/>
        <v/>
      </c>
      <c r="T119" s="69" t="str">
        <f t="shared" si="157"/>
        <v/>
      </c>
      <c r="U119" s="69" t="str">
        <f t="shared" si="158"/>
        <v/>
      </c>
      <c r="V119" s="69" t="str">
        <f t="shared" si="159"/>
        <v/>
      </c>
      <c r="W119" s="69" t="str">
        <f t="shared" si="160"/>
        <v/>
      </c>
      <c r="X119" s="69" t="str">
        <f t="shared" si="161"/>
        <v/>
      </c>
      <c r="Y119" s="27" t="s">
        <v>264</v>
      </c>
    </row>
    <row r="120" spans="1:38" x14ac:dyDescent="0.25">
      <c r="A120" s="71" t="s">
        <v>484</v>
      </c>
      <c r="B120" s="108">
        <v>0</v>
      </c>
      <c r="C120" s="106">
        <v>0</v>
      </c>
      <c r="D120" s="106">
        <v>0</v>
      </c>
      <c r="E120" s="69">
        <v>0</v>
      </c>
      <c r="F120" s="69">
        <v>0</v>
      </c>
      <c r="G120" s="69">
        <v>0</v>
      </c>
      <c r="H120" s="69">
        <v>0</v>
      </c>
      <c r="I120" s="69">
        <v>0</v>
      </c>
      <c r="J120" s="69">
        <v>0</v>
      </c>
      <c r="K120" s="69">
        <v>0</v>
      </c>
      <c r="L120" s="27" t="s">
        <v>264</v>
      </c>
      <c r="N120" s="71" t="s">
        <v>484</v>
      </c>
      <c r="O120" s="69" t="str">
        <f t="shared" si="152"/>
        <v/>
      </c>
      <c r="P120" s="69" t="str">
        <f t="shared" si="153"/>
        <v/>
      </c>
      <c r="Q120" s="69" t="str">
        <f t="shared" si="154"/>
        <v/>
      </c>
      <c r="R120" s="69" t="str">
        <f t="shared" si="155"/>
        <v/>
      </c>
      <c r="S120" s="69" t="str">
        <f t="shared" si="156"/>
        <v/>
      </c>
      <c r="T120" s="69" t="str">
        <f t="shared" si="157"/>
        <v/>
      </c>
      <c r="U120" s="69" t="str">
        <f t="shared" si="158"/>
        <v/>
      </c>
      <c r="V120" s="69" t="str">
        <f t="shared" si="159"/>
        <v/>
      </c>
      <c r="W120" s="69" t="str">
        <f t="shared" si="160"/>
        <v/>
      </c>
      <c r="X120" s="69" t="str">
        <f t="shared" si="161"/>
        <v/>
      </c>
      <c r="Y120" s="27" t="s">
        <v>264</v>
      </c>
    </row>
    <row r="121" spans="1:38" x14ac:dyDescent="0.25">
      <c r="A121" s="71" t="s">
        <v>485</v>
      </c>
      <c r="D121" s="106">
        <v>0</v>
      </c>
      <c r="E121" s="69">
        <v>0</v>
      </c>
      <c r="F121" s="69">
        <v>0</v>
      </c>
      <c r="G121" s="69">
        <v>0</v>
      </c>
      <c r="H121" s="69">
        <v>0</v>
      </c>
      <c r="I121" s="69">
        <v>0</v>
      </c>
      <c r="J121" s="69">
        <v>0</v>
      </c>
      <c r="K121" s="69">
        <v>0</v>
      </c>
      <c r="L121" s="27" t="s">
        <v>264</v>
      </c>
      <c r="N121" s="71" t="s">
        <v>485</v>
      </c>
      <c r="O121" s="69" t="str">
        <f t="shared" si="152"/>
        <v/>
      </c>
      <c r="P121" s="69" t="str">
        <f t="shared" si="153"/>
        <v/>
      </c>
      <c r="Q121" s="69" t="str">
        <f t="shared" si="154"/>
        <v/>
      </c>
      <c r="R121" s="69" t="str">
        <f t="shared" si="155"/>
        <v/>
      </c>
      <c r="S121" s="69" t="str">
        <f t="shared" si="156"/>
        <v/>
      </c>
      <c r="T121" s="69" t="str">
        <f t="shared" si="157"/>
        <v/>
      </c>
      <c r="U121" s="69" t="str">
        <f t="shared" si="158"/>
        <v/>
      </c>
      <c r="V121" s="69" t="str">
        <f t="shared" si="159"/>
        <v/>
      </c>
      <c r="W121" s="69" t="str">
        <f t="shared" si="160"/>
        <v/>
      </c>
      <c r="X121" s="69" t="str">
        <f t="shared" si="161"/>
        <v/>
      </c>
      <c r="Y121" s="27" t="s">
        <v>264</v>
      </c>
    </row>
    <row r="122" spans="1:38" x14ac:dyDescent="0.25">
      <c r="A122" s="71" t="s">
        <v>486</v>
      </c>
      <c r="D122" s="106">
        <v>0</v>
      </c>
      <c r="E122" s="69">
        <v>0</v>
      </c>
      <c r="F122" s="69">
        <v>0</v>
      </c>
      <c r="G122" s="69">
        <v>0</v>
      </c>
      <c r="H122" s="69">
        <v>0</v>
      </c>
      <c r="I122" s="69">
        <v>0</v>
      </c>
      <c r="J122" s="69">
        <v>0</v>
      </c>
      <c r="K122" s="69">
        <v>0</v>
      </c>
      <c r="L122" s="27" t="s">
        <v>264</v>
      </c>
      <c r="N122" s="71" t="s">
        <v>486</v>
      </c>
      <c r="O122" s="69" t="str">
        <f t="shared" si="152"/>
        <v/>
      </c>
      <c r="P122" s="69" t="str">
        <f t="shared" si="153"/>
        <v/>
      </c>
      <c r="Q122" s="69" t="str">
        <f t="shared" si="154"/>
        <v/>
      </c>
      <c r="R122" s="69" t="str">
        <f t="shared" si="155"/>
        <v/>
      </c>
      <c r="S122" s="69" t="str">
        <f t="shared" si="156"/>
        <v/>
      </c>
      <c r="T122" s="69" t="str">
        <f t="shared" si="157"/>
        <v/>
      </c>
      <c r="U122" s="69" t="str">
        <f t="shared" si="158"/>
        <v/>
      </c>
      <c r="V122" s="69" t="str">
        <f t="shared" si="159"/>
        <v/>
      </c>
      <c r="W122" s="69" t="str">
        <f t="shared" si="160"/>
        <v/>
      </c>
      <c r="X122" s="69" t="str">
        <f t="shared" si="161"/>
        <v/>
      </c>
      <c r="Y122" s="27" t="s">
        <v>264</v>
      </c>
    </row>
    <row r="123" spans="1:38" x14ac:dyDescent="0.25">
      <c r="A123" t="s">
        <v>16</v>
      </c>
      <c r="L123" s="27"/>
      <c r="N123" t="s">
        <v>16</v>
      </c>
      <c r="O123" s="69"/>
      <c r="P123" s="69"/>
      <c r="Q123" s="69"/>
      <c r="R123" s="69"/>
      <c r="S123" s="69"/>
      <c r="T123" s="69"/>
      <c r="U123" s="69"/>
      <c r="V123" s="69"/>
      <c r="W123" s="69"/>
      <c r="X123" s="69"/>
      <c r="Y123" s="27"/>
      <c r="AA123" t="s">
        <v>8</v>
      </c>
      <c r="AB123" t="s">
        <v>215</v>
      </c>
      <c r="AC123" s="69">
        <f>AVERAGE(O124:O131)</f>
        <v>7.413363981297592</v>
      </c>
      <c r="AD123" s="69">
        <f t="shared" ref="AD123" si="162">AVERAGE(P124:P131)</f>
        <v>7.7329820151154349</v>
      </c>
      <c r="AE123" s="69">
        <f t="shared" ref="AE123" si="163">AVERAGE(Q124:Q131)</f>
        <v>5.775804726146923</v>
      </c>
      <c r="AF123" s="69">
        <f t="shared" ref="AF123" si="164">AVERAGE(R124:R131)</f>
        <v>5.2424966739795718</v>
      </c>
      <c r="AG123" s="69">
        <f t="shared" ref="AG123" si="165">AVERAGE(S124:S131)</f>
        <v>5.045174991573214</v>
      </c>
      <c r="AH123" s="69">
        <f t="shared" ref="AH123" si="166">AVERAGE(T124:T131)</f>
        <v>4.7994054841400891</v>
      </c>
      <c r="AI123" s="69">
        <f t="shared" ref="AI123" si="167">AVERAGE(U124:U131)</f>
        <v>4.8343301047296485</v>
      </c>
      <c r="AJ123" s="69">
        <f t="shared" ref="AJ123" si="168">AVERAGE(V124:V131)</f>
        <v>4.801340942236644</v>
      </c>
      <c r="AK123" s="69">
        <f t="shared" ref="AK123" si="169">AVERAGE(W124:W131)</f>
        <v>4.8113323985676599</v>
      </c>
      <c r="AL123" s="69">
        <f t="shared" ref="AL123" si="170">AVERAGE(X124:X131)</f>
        <v>4.8102923668395041</v>
      </c>
    </row>
    <row r="124" spans="1:38" x14ac:dyDescent="0.25">
      <c r="A124" s="71" t="s">
        <v>471</v>
      </c>
      <c r="B124" s="108">
        <v>0</v>
      </c>
      <c r="C124" s="106">
        <v>0</v>
      </c>
      <c r="D124" s="106">
        <v>0</v>
      </c>
      <c r="E124" s="69">
        <v>0</v>
      </c>
      <c r="F124" s="69">
        <v>0</v>
      </c>
      <c r="G124" s="69">
        <v>0</v>
      </c>
      <c r="H124" s="69">
        <v>0</v>
      </c>
      <c r="I124" s="69">
        <v>0</v>
      </c>
      <c r="J124" s="69">
        <v>0</v>
      </c>
      <c r="K124" s="69">
        <v>0</v>
      </c>
      <c r="L124" s="27" t="s">
        <v>264</v>
      </c>
      <c r="N124" s="71" t="s">
        <v>471</v>
      </c>
      <c r="O124" s="69" t="str">
        <f t="shared" ref="O124:O139" si="171">IFERROR(L_100km_to_mpg/B124, "")</f>
        <v/>
      </c>
      <c r="P124" s="69" t="str">
        <f t="shared" ref="P124:P139" si="172">IFERROR(L_100km_to_mpg/C124, "")</f>
        <v/>
      </c>
      <c r="Q124" s="69" t="str">
        <f t="shared" ref="Q124:Q139" si="173">IFERROR(L_100km_to_mpg/D124, "")</f>
        <v/>
      </c>
      <c r="R124" s="69" t="str">
        <f t="shared" ref="R124:R139" si="174">IFERROR(L_100km_to_mpg/E124, "")</f>
        <v/>
      </c>
      <c r="S124" s="69" t="str">
        <f t="shared" ref="S124:S139" si="175">IFERROR(L_100km_to_mpg/F124, "")</f>
        <v/>
      </c>
      <c r="T124" s="69" t="str">
        <f t="shared" ref="T124:T139" si="176">IFERROR(L_100km_to_mpg/G124, "")</f>
        <v/>
      </c>
      <c r="U124" s="69" t="str">
        <f t="shared" ref="U124:U139" si="177">IFERROR(L_100km_to_mpg/H124, "")</f>
        <v/>
      </c>
      <c r="V124" s="69" t="str">
        <f t="shared" ref="V124:V139" si="178">IFERROR(L_100km_to_mpg/I124, "")</f>
        <v/>
      </c>
      <c r="W124" s="69" t="str">
        <f t="shared" ref="W124:W139" si="179">IFERROR(L_100km_to_mpg/J124, "")</f>
        <v/>
      </c>
      <c r="X124" s="69" t="str">
        <f t="shared" ref="X124:X139" si="180">IFERROR(L_100km_to_mpg/K124, "")</f>
        <v/>
      </c>
      <c r="Y124" s="27" t="s">
        <v>264</v>
      </c>
      <c r="AA124" t="s">
        <v>240</v>
      </c>
      <c r="AB124" t="s">
        <v>215</v>
      </c>
      <c r="AC124" s="69">
        <f>AVERAGE(O132:O139)</f>
        <v>8.5917878135119228</v>
      </c>
      <c r="AD124" s="69">
        <f t="shared" ref="AD124" si="181">AVERAGE(P132:P139)</f>
        <v>9.0666134547125523</v>
      </c>
      <c r="AE124" s="69">
        <f t="shared" ref="AE124" si="182">AVERAGE(Q132:Q139)</f>
        <v>7.9822851912644177</v>
      </c>
      <c r="AF124" s="69">
        <f t="shared" ref="AF124" si="183">AVERAGE(R132:R139)</f>
        <v>7.5161357402054447</v>
      </c>
      <c r="AG124" s="69">
        <f t="shared" ref="AG124" si="184">AVERAGE(S132:S139)</f>
        <v>7.1401188848138109</v>
      </c>
      <c r="AH124" s="69">
        <f t="shared" ref="AH124" si="185">AVERAGE(T132:T139)</f>
        <v>6.6808817261122808</v>
      </c>
      <c r="AI124" s="69">
        <f t="shared" ref="AI124" si="186">AVERAGE(U132:U139)</f>
        <v>6.5526586767510917</v>
      </c>
      <c r="AJ124" s="69">
        <f t="shared" ref="AJ124" si="187">AVERAGE(V132:V139)</f>
        <v>6.4462023267626805</v>
      </c>
      <c r="AK124" s="69">
        <f t="shared" ref="AK124" si="188">AVERAGE(W132:W139)</f>
        <v>6.4333469638247669</v>
      </c>
      <c r="AL124" s="69">
        <f t="shared" ref="AL124" si="189">AVERAGE(X132:X139)</f>
        <v>6.4251068119943646</v>
      </c>
    </row>
    <row r="125" spans="1:38" x14ac:dyDescent="0.25">
      <c r="A125" s="71" t="s">
        <v>472</v>
      </c>
      <c r="B125" s="108">
        <v>0</v>
      </c>
      <c r="C125" s="106">
        <v>0</v>
      </c>
      <c r="D125" s="106">
        <v>0</v>
      </c>
      <c r="E125" s="69">
        <v>0</v>
      </c>
      <c r="F125" s="69">
        <v>0</v>
      </c>
      <c r="G125" s="69">
        <v>0</v>
      </c>
      <c r="H125" s="69">
        <v>0</v>
      </c>
      <c r="I125" s="69">
        <v>0</v>
      </c>
      <c r="J125" s="69">
        <v>0</v>
      </c>
      <c r="K125" s="69">
        <v>0</v>
      </c>
      <c r="L125" s="27" t="s">
        <v>264</v>
      </c>
      <c r="N125" s="71" t="s">
        <v>472</v>
      </c>
      <c r="O125" s="69" t="str">
        <f t="shared" si="171"/>
        <v/>
      </c>
      <c r="P125" s="69" t="str">
        <f t="shared" si="172"/>
        <v/>
      </c>
      <c r="Q125" s="69" t="str">
        <f t="shared" si="173"/>
        <v/>
      </c>
      <c r="R125" s="69" t="str">
        <f t="shared" si="174"/>
        <v/>
      </c>
      <c r="S125" s="69" t="str">
        <f t="shared" si="175"/>
        <v/>
      </c>
      <c r="T125" s="69" t="str">
        <f t="shared" si="176"/>
        <v/>
      </c>
      <c r="U125" s="69" t="str">
        <f t="shared" si="177"/>
        <v/>
      </c>
      <c r="V125" s="69" t="str">
        <f t="shared" si="178"/>
        <v/>
      </c>
      <c r="W125" s="69" t="str">
        <f t="shared" si="179"/>
        <v/>
      </c>
      <c r="X125" s="69" t="str">
        <f t="shared" si="180"/>
        <v/>
      </c>
      <c r="Y125" s="27" t="s">
        <v>264</v>
      </c>
    </row>
    <row r="126" spans="1:38" x14ac:dyDescent="0.25">
      <c r="A126" s="71" t="s">
        <v>473</v>
      </c>
      <c r="B126" s="108">
        <v>0</v>
      </c>
      <c r="C126" s="106">
        <v>0</v>
      </c>
      <c r="D126" s="106">
        <v>0</v>
      </c>
      <c r="E126" s="69">
        <v>0</v>
      </c>
      <c r="F126" s="69">
        <v>0</v>
      </c>
      <c r="G126" s="69">
        <v>0</v>
      </c>
      <c r="H126" s="69">
        <v>0</v>
      </c>
      <c r="I126" s="69">
        <v>0</v>
      </c>
      <c r="J126" s="69">
        <v>0</v>
      </c>
      <c r="K126" s="69">
        <v>0</v>
      </c>
      <c r="L126" s="27" t="s">
        <v>264</v>
      </c>
      <c r="N126" s="71" t="s">
        <v>473</v>
      </c>
      <c r="O126" s="69" t="str">
        <f t="shared" si="171"/>
        <v/>
      </c>
      <c r="P126" s="69" t="str">
        <f t="shared" si="172"/>
        <v/>
      </c>
      <c r="Q126" s="69" t="str">
        <f t="shared" si="173"/>
        <v/>
      </c>
      <c r="R126" s="69" t="str">
        <f t="shared" si="174"/>
        <v/>
      </c>
      <c r="S126" s="69" t="str">
        <f t="shared" si="175"/>
        <v/>
      </c>
      <c r="T126" s="69" t="str">
        <f t="shared" si="176"/>
        <v/>
      </c>
      <c r="U126" s="69" t="str">
        <f t="shared" si="177"/>
        <v/>
      </c>
      <c r="V126" s="69" t="str">
        <f t="shared" si="178"/>
        <v/>
      </c>
      <c r="W126" s="69" t="str">
        <f t="shared" si="179"/>
        <v/>
      </c>
      <c r="X126" s="69" t="str">
        <f t="shared" si="180"/>
        <v/>
      </c>
      <c r="Y126" s="27" t="s">
        <v>264</v>
      </c>
    </row>
    <row r="127" spans="1:38" x14ac:dyDescent="0.25">
      <c r="A127" s="71" t="s">
        <v>474</v>
      </c>
      <c r="B127" s="108">
        <v>0</v>
      </c>
      <c r="C127" s="106">
        <v>0</v>
      </c>
      <c r="D127" s="106">
        <v>0</v>
      </c>
      <c r="E127" s="69">
        <v>0</v>
      </c>
      <c r="F127" s="69">
        <v>0</v>
      </c>
      <c r="G127" s="69">
        <v>0</v>
      </c>
      <c r="H127" s="69">
        <v>0</v>
      </c>
      <c r="I127" s="69">
        <v>0</v>
      </c>
      <c r="J127" s="69">
        <v>0</v>
      </c>
      <c r="K127" s="69">
        <v>0</v>
      </c>
      <c r="L127" s="27" t="s">
        <v>264</v>
      </c>
      <c r="N127" s="71" t="s">
        <v>474</v>
      </c>
      <c r="O127" s="69" t="str">
        <f t="shared" si="171"/>
        <v/>
      </c>
      <c r="P127" s="69" t="str">
        <f t="shared" si="172"/>
        <v/>
      </c>
      <c r="Q127" s="69" t="str">
        <f t="shared" si="173"/>
        <v/>
      </c>
      <c r="R127" s="69" t="str">
        <f t="shared" si="174"/>
        <v/>
      </c>
      <c r="S127" s="69" t="str">
        <f t="shared" si="175"/>
        <v/>
      </c>
      <c r="T127" s="69" t="str">
        <f t="shared" si="176"/>
        <v/>
      </c>
      <c r="U127" s="69" t="str">
        <f t="shared" si="177"/>
        <v/>
      </c>
      <c r="V127" s="69" t="str">
        <f t="shared" si="178"/>
        <v/>
      </c>
      <c r="W127" s="69" t="str">
        <f t="shared" si="179"/>
        <v/>
      </c>
      <c r="X127" s="69" t="str">
        <f t="shared" si="180"/>
        <v/>
      </c>
      <c r="Y127" s="27" t="s">
        <v>264</v>
      </c>
    </row>
    <row r="128" spans="1:38" x14ac:dyDescent="0.25">
      <c r="A128" s="71" t="s">
        <v>475</v>
      </c>
      <c r="B128" s="108">
        <v>31.728527</v>
      </c>
      <c r="C128" s="106">
        <v>30.41713</v>
      </c>
      <c r="D128" s="106">
        <v>40.724215999999998</v>
      </c>
      <c r="E128" s="69">
        <v>44.867004000000001</v>
      </c>
      <c r="F128" s="69">
        <v>46.621796000000003</v>
      </c>
      <c r="G128" s="69">
        <v>49.009219999999999</v>
      </c>
      <c r="H128" s="69">
        <v>48.655163000000002</v>
      </c>
      <c r="I128" s="69">
        <v>48.989463999999998</v>
      </c>
      <c r="J128" s="69">
        <v>48.887729999999998</v>
      </c>
      <c r="K128" s="69">
        <v>48.898299999999999</v>
      </c>
      <c r="L128" s="27">
        <v>4.0000000000000001E-3</v>
      </c>
      <c r="N128" s="71" t="s">
        <v>475</v>
      </c>
      <c r="O128" s="69">
        <f t="shared" si="171"/>
        <v>7.413363981297592</v>
      </c>
      <c r="P128" s="69">
        <f t="shared" si="172"/>
        <v>7.7329820151154349</v>
      </c>
      <c r="Q128" s="69">
        <f t="shared" si="173"/>
        <v>5.775804726146923</v>
      </c>
      <c r="R128" s="69">
        <f t="shared" si="174"/>
        <v>5.2424966739795718</v>
      </c>
      <c r="S128" s="69">
        <f t="shared" si="175"/>
        <v>5.045174991573214</v>
      </c>
      <c r="T128" s="69">
        <f t="shared" si="176"/>
        <v>4.7994054841400891</v>
      </c>
      <c r="U128" s="69">
        <f t="shared" si="177"/>
        <v>4.8343301047296485</v>
      </c>
      <c r="V128" s="69">
        <f t="shared" si="178"/>
        <v>4.801340942236644</v>
      </c>
      <c r="W128" s="69">
        <f t="shared" si="179"/>
        <v>4.8113323985676599</v>
      </c>
      <c r="X128" s="69">
        <f t="shared" si="180"/>
        <v>4.8102923668395041</v>
      </c>
      <c r="Y128" s="27">
        <v>4.0000000000000001E-3</v>
      </c>
    </row>
    <row r="129" spans="1:25" x14ac:dyDescent="0.25">
      <c r="A129" s="71" t="s">
        <v>476</v>
      </c>
      <c r="B129" s="108">
        <v>0</v>
      </c>
      <c r="C129" s="106">
        <v>0</v>
      </c>
      <c r="D129" s="106">
        <v>0</v>
      </c>
      <c r="E129" s="69">
        <v>0</v>
      </c>
      <c r="F129" s="69">
        <v>0</v>
      </c>
      <c r="G129" s="69">
        <v>0</v>
      </c>
      <c r="H129" s="69">
        <v>0</v>
      </c>
      <c r="I129" s="69">
        <v>0</v>
      </c>
      <c r="J129" s="69">
        <v>0</v>
      </c>
      <c r="K129" s="69">
        <v>0</v>
      </c>
      <c r="L129" s="27" t="s">
        <v>264</v>
      </c>
      <c r="N129" s="71" t="s">
        <v>476</v>
      </c>
      <c r="O129" s="69" t="str">
        <f t="shared" si="171"/>
        <v/>
      </c>
      <c r="P129" s="69" t="str">
        <f t="shared" si="172"/>
        <v/>
      </c>
      <c r="Q129" s="69" t="str">
        <f t="shared" si="173"/>
        <v/>
      </c>
      <c r="R129" s="69" t="str">
        <f t="shared" si="174"/>
        <v/>
      </c>
      <c r="S129" s="69" t="str">
        <f t="shared" si="175"/>
        <v/>
      </c>
      <c r="T129" s="69" t="str">
        <f t="shared" si="176"/>
        <v/>
      </c>
      <c r="U129" s="69" t="str">
        <f t="shared" si="177"/>
        <v/>
      </c>
      <c r="V129" s="69" t="str">
        <f t="shared" si="178"/>
        <v/>
      </c>
      <c r="W129" s="69" t="str">
        <f t="shared" si="179"/>
        <v/>
      </c>
      <c r="X129" s="69" t="str">
        <f t="shared" si="180"/>
        <v/>
      </c>
      <c r="Y129" s="27" t="s">
        <v>264</v>
      </c>
    </row>
    <row r="130" spans="1:25" x14ac:dyDescent="0.25">
      <c r="A130" s="71" t="s">
        <v>477</v>
      </c>
      <c r="D130" s="106">
        <v>0</v>
      </c>
      <c r="E130" s="69">
        <v>0</v>
      </c>
      <c r="F130" s="69">
        <v>0</v>
      </c>
      <c r="G130" s="69">
        <v>0</v>
      </c>
      <c r="H130" s="69">
        <v>0</v>
      </c>
      <c r="I130" s="69">
        <v>0</v>
      </c>
      <c r="J130" s="69">
        <v>0</v>
      </c>
      <c r="K130" s="69">
        <v>0</v>
      </c>
      <c r="L130" s="27" t="s">
        <v>264</v>
      </c>
      <c r="N130" s="71" t="s">
        <v>477</v>
      </c>
      <c r="O130" s="69" t="str">
        <f t="shared" si="171"/>
        <v/>
      </c>
      <c r="P130" s="69" t="str">
        <f t="shared" si="172"/>
        <v/>
      </c>
      <c r="Q130" s="69" t="str">
        <f t="shared" si="173"/>
        <v/>
      </c>
      <c r="R130" s="69" t="str">
        <f t="shared" si="174"/>
        <v/>
      </c>
      <c r="S130" s="69" t="str">
        <f t="shared" si="175"/>
        <v/>
      </c>
      <c r="T130" s="69" t="str">
        <f t="shared" si="176"/>
        <v/>
      </c>
      <c r="U130" s="69" t="str">
        <f t="shared" si="177"/>
        <v/>
      </c>
      <c r="V130" s="69" t="str">
        <f t="shared" si="178"/>
        <v/>
      </c>
      <c r="W130" s="69" t="str">
        <f t="shared" si="179"/>
        <v/>
      </c>
      <c r="X130" s="69" t="str">
        <f t="shared" si="180"/>
        <v/>
      </c>
      <c r="Y130" s="27" t="s">
        <v>264</v>
      </c>
    </row>
    <row r="131" spans="1:25" x14ac:dyDescent="0.25">
      <c r="A131" s="71" t="s">
        <v>478</v>
      </c>
      <c r="D131" s="106">
        <v>0</v>
      </c>
      <c r="E131" s="69">
        <v>0</v>
      </c>
      <c r="F131" s="69">
        <v>0</v>
      </c>
      <c r="G131" s="69">
        <v>0</v>
      </c>
      <c r="H131" s="69">
        <v>0</v>
      </c>
      <c r="I131" s="69">
        <v>0</v>
      </c>
      <c r="J131" s="69">
        <v>0</v>
      </c>
      <c r="K131" s="69">
        <v>0</v>
      </c>
      <c r="L131" s="27" t="s">
        <v>264</v>
      </c>
      <c r="N131" s="71" t="s">
        <v>478</v>
      </c>
      <c r="O131" s="69" t="str">
        <f t="shared" si="171"/>
        <v/>
      </c>
      <c r="P131" s="69" t="str">
        <f t="shared" si="172"/>
        <v/>
      </c>
      <c r="Q131" s="69" t="str">
        <f t="shared" si="173"/>
        <v/>
      </c>
      <c r="R131" s="69" t="str">
        <f t="shared" si="174"/>
        <v/>
      </c>
      <c r="S131" s="69" t="str">
        <f t="shared" si="175"/>
        <v/>
      </c>
      <c r="T131" s="69" t="str">
        <f t="shared" si="176"/>
        <v/>
      </c>
      <c r="U131" s="69" t="str">
        <f t="shared" si="177"/>
        <v/>
      </c>
      <c r="V131" s="69" t="str">
        <f t="shared" si="178"/>
        <v/>
      </c>
      <c r="W131" s="69" t="str">
        <f t="shared" si="179"/>
        <v/>
      </c>
      <c r="X131" s="69" t="str">
        <f t="shared" si="180"/>
        <v/>
      </c>
      <c r="Y131" s="27" t="s">
        <v>264</v>
      </c>
    </row>
    <row r="132" spans="1:25" x14ac:dyDescent="0.25">
      <c r="A132" s="71" t="s">
        <v>479</v>
      </c>
      <c r="B132" s="108">
        <v>0</v>
      </c>
      <c r="C132" s="106">
        <v>0</v>
      </c>
      <c r="D132" s="106">
        <v>0</v>
      </c>
      <c r="E132" s="69">
        <v>0</v>
      </c>
      <c r="F132" s="69">
        <v>0</v>
      </c>
      <c r="G132" s="69">
        <v>0</v>
      </c>
      <c r="H132" s="69">
        <v>0</v>
      </c>
      <c r="I132" s="69">
        <v>0</v>
      </c>
      <c r="J132" s="69">
        <v>0</v>
      </c>
      <c r="K132" s="69">
        <v>0</v>
      </c>
      <c r="L132" s="27" t="s">
        <v>264</v>
      </c>
      <c r="N132" s="71" t="s">
        <v>479</v>
      </c>
      <c r="O132" s="69" t="str">
        <f t="shared" si="171"/>
        <v/>
      </c>
      <c r="P132" s="69" t="str">
        <f t="shared" si="172"/>
        <v/>
      </c>
      <c r="Q132" s="69" t="str">
        <f t="shared" si="173"/>
        <v/>
      </c>
      <c r="R132" s="69" t="str">
        <f t="shared" si="174"/>
        <v/>
      </c>
      <c r="S132" s="69" t="str">
        <f t="shared" si="175"/>
        <v/>
      </c>
      <c r="T132" s="69" t="str">
        <f t="shared" si="176"/>
        <v/>
      </c>
      <c r="U132" s="69" t="str">
        <f t="shared" si="177"/>
        <v/>
      </c>
      <c r="V132" s="69" t="str">
        <f t="shared" si="178"/>
        <v/>
      </c>
      <c r="W132" s="69" t="str">
        <f t="shared" si="179"/>
        <v/>
      </c>
      <c r="X132" s="69" t="str">
        <f t="shared" si="180"/>
        <v/>
      </c>
      <c r="Y132" s="27" t="s">
        <v>264</v>
      </c>
    </row>
    <row r="133" spans="1:25" x14ac:dyDescent="0.25">
      <c r="A133" s="71" t="s">
        <v>480</v>
      </c>
      <c r="B133" s="108">
        <v>27.445238</v>
      </c>
      <c r="C133" s="106">
        <v>24.280428000000001</v>
      </c>
      <c r="D133" s="106">
        <v>28.698505000000001</v>
      </c>
      <c r="E133" s="69">
        <v>28.007959</v>
      </c>
      <c r="F133" s="69">
        <v>29.433202999999999</v>
      </c>
      <c r="G133" s="69">
        <v>31.213614</v>
      </c>
      <c r="H133" s="69">
        <v>31.761375000000001</v>
      </c>
      <c r="I133" s="69">
        <v>32.229205999999998</v>
      </c>
      <c r="J133" s="69">
        <v>32.273955999999998</v>
      </c>
      <c r="K133" s="69">
        <v>32.279815999999997</v>
      </c>
      <c r="L133" s="27">
        <v>6.0000000000000001E-3</v>
      </c>
      <c r="N133" s="71" t="s">
        <v>480</v>
      </c>
      <c r="O133" s="69">
        <f t="shared" si="171"/>
        <v>8.5703435780527073</v>
      </c>
      <c r="P133" s="69">
        <f t="shared" si="172"/>
        <v>9.6874371094870373</v>
      </c>
      <c r="Q133" s="69">
        <f t="shared" si="173"/>
        <v>8.1960756924943698</v>
      </c>
      <c r="R133" s="69">
        <f t="shared" si="174"/>
        <v>8.3981527979753228</v>
      </c>
      <c r="S133" s="69">
        <f t="shared" si="175"/>
        <v>7.9914890418629652</v>
      </c>
      <c r="T133" s="69">
        <f t="shared" si="176"/>
        <v>7.5356579741592284</v>
      </c>
      <c r="U133" s="69">
        <f t="shared" si="177"/>
        <v>7.4056969901784209</v>
      </c>
      <c r="V133" s="69">
        <f t="shared" si="178"/>
        <v>7.2981977663808459</v>
      </c>
      <c r="W133" s="69">
        <f t="shared" si="179"/>
        <v>7.288078326729706</v>
      </c>
      <c r="X133" s="69">
        <f t="shared" si="180"/>
        <v>7.2867552665550557</v>
      </c>
      <c r="Y133" s="27">
        <v>6.0000000000000001E-3</v>
      </c>
    </row>
    <row r="134" spans="1:25" x14ac:dyDescent="0.25">
      <c r="A134" s="71" t="s">
        <v>481</v>
      </c>
      <c r="B134" s="108">
        <v>0</v>
      </c>
      <c r="C134" s="106">
        <v>0</v>
      </c>
      <c r="D134" s="106">
        <v>0</v>
      </c>
      <c r="E134" s="69">
        <v>0</v>
      </c>
      <c r="F134" s="69">
        <v>0</v>
      </c>
      <c r="G134" s="69">
        <v>0</v>
      </c>
      <c r="H134" s="69">
        <v>0</v>
      </c>
      <c r="I134" s="69">
        <v>0</v>
      </c>
      <c r="J134" s="69">
        <v>0</v>
      </c>
      <c r="K134" s="69">
        <v>0</v>
      </c>
      <c r="L134" s="27" t="s">
        <v>264</v>
      </c>
      <c r="N134" s="71" t="s">
        <v>481</v>
      </c>
      <c r="O134" s="69" t="str">
        <f t="shared" si="171"/>
        <v/>
      </c>
      <c r="P134" s="69" t="str">
        <f t="shared" si="172"/>
        <v/>
      </c>
      <c r="Q134" s="69" t="str">
        <f t="shared" si="173"/>
        <v/>
      </c>
      <c r="R134" s="69" t="str">
        <f t="shared" si="174"/>
        <v/>
      </c>
      <c r="S134" s="69" t="str">
        <f t="shared" si="175"/>
        <v/>
      </c>
      <c r="T134" s="69" t="str">
        <f t="shared" si="176"/>
        <v/>
      </c>
      <c r="U134" s="69" t="str">
        <f t="shared" si="177"/>
        <v/>
      </c>
      <c r="V134" s="69" t="str">
        <f t="shared" si="178"/>
        <v/>
      </c>
      <c r="W134" s="69" t="str">
        <f t="shared" si="179"/>
        <v/>
      </c>
      <c r="X134" s="69" t="str">
        <f t="shared" si="180"/>
        <v/>
      </c>
      <c r="Y134" s="27" t="s">
        <v>264</v>
      </c>
    </row>
    <row r="135" spans="1:25" x14ac:dyDescent="0.25">
      <c r="A135" s="71" t="s">
        <v>482</v>
      </c>
      <c r="B135" s="108">
        <v>27.308578000000001</v>
      </c>
      <c r="C135" s="106">
        <v>27.849985</v>
      </c>
      <c r="D135" s="106">
        <v>30.278082000000001</v>
      </c>
      <c r="E135" s="69">
        <v>35.455368</v>
      </c>
      <c r="F135" s="69">
        <v>37.402531000000003</v>
      </c>
      <c r="G135" s="69">
        <v>40.372616000000001</v>
      </c>
      <c r="H135" s="69">
        <v>41.268559000000003</v>
      </c>
      <c r="I135" s="69">
        <v>42.046196000000002</v>
      </c>
      <c r="J135" s="69">
        <v>42.163708</v>
      </c>
      <c r="K135" s="69">
        <v>42.278579999999998</v>
      </c>
      <c r="L135" s="27">
        <v>8.0000000000000002E-3</v>
      </c>
      <c r="N135" s="71" t="s">
        <v>482</v>
      </c>
      <c r="O135" s="69">
        <f t="shared" si="171"/>
        <v>8.6132320489711383</v>
      </c>
      <c r="P135" s="69">
        <f t="shared" si="172"/>
        <v>8.4457897999380656</v>
      </c>
      <c r="Q135" s="69">
        <f t="shared" si="173"/>
        <v>7.7684946900344656</v>
      </c>
      <c r="R135" s="69">
        <f t="shared" si="174"/>
        <v>6.6341186824355667</v>
      </c>
      <c r="S135" s="69">
        <f t="shared" si="175"/>
        <v>6.2887487277646565</v>
      </c>
      <c r="T135" s="69">
        <f t="shared" si="176"/>
        <v>5.8261054780653332</v>
      </c>
      <c r="U135" s="69">
        <f t="shared" si="177"/>
        <v>5.6996203633237625</v>
      </c>
      <c r="V135" s="69">
        <f t="shared" si="178"/>
        <v>5.5942068871445141</v>
      </c>
      <c r="W135" s="69">
        <f t="shared" si="179"/>
        <v>5.5786156009198278</v>
      </c>
      <c r="X135" s="69">
        <f t="shared" si="180"/>
        <v>5.5634583574336736</v>
      </c>
      <c r="Y135" s="27">
        <v>8.0000000000000002E-3</v>
      </c>
    </row>
    <row r="136" spans="1:25" x14ac:dyDescent="0.25">
      <c r="A136" s="71" t="s">
        <v>483</v>
      </c>
      <c r="B136" s="108">
        <v>0</v>
      </c>
      <c r="C136" s="106">
        <v>0</v>
      </c>
      <c r="D136" s="106">
        <v>0</v>
      </c>
      <c r="E136" s="69">
        <v>0</v>
      </c>
      <c r="F136" s="69">
        <v>0</v>
      </c>
      <c r="G136" s="69">
        <v>0</v>
      </c>
      <c r="H136" s="69">
        <v>0</v>
      </c>
      <c r="I136" s="69">
        <v>0</v>
      </c>
      <c r="J136" s="69">
        <v>0</v>
      </c>
      <c r="K136" s="69">
        <v>0</v>
      </c>
      <c r="L136" s="27" t="s">
        <v>264</v>
      </c>
      <c r="N136" s="71" t="s">
        <v>483</v>
      </c>
      <c r="O136" s="69" t="str">
        <f t="shared" si="171"/>
        <v/>
      </c>
      <c r="P136" s="69" t="str">
        <f t="shared" si="172"/>
        <v/>
      </c>
      <c r="Q136" s="69" t="str">
        <f t="shared" si="173"/>
        <v/>
      </c>
      <c r="R136" s="69" t="str">
        <f t="shared" si="174"/>
        <v/>
      </c>
      <c r="S136" s="69" t="str">
        <f t="shared" si="175"/>
        <v/>
      </c>
      <c r="T136" s="69" t="str">
        <f t="shared" si="176"/>
        <v/>
      </c>
      <c r="U136" s="69" t="str">
        <f t="shared" si="177"/>
        <v/>
      </c>
      <c r="V136" s="69" t="str">
        <f t="shared" si="178"/>
        <v/>
      </c>
      <c r="W136" s="69" t="str">
        <f t="shared" si="179"/>
        <v/>
      </c>
      <c r="X136" s="69" t="str">
        <f t="shared" si="180"/>
        <v/>
      </c>
      <c r="Y136" s="27" t="s">
        <v>264</v>
      </c>
    </row>
    <row r="137" spans="1:25" x14ac:dyDescent="0.25">
      <c r="A137" s="71" t="s">
        <v>484</v>
      </c>
      <c r="B137" s="108">
        <v>0</v>
      </c>
      <c r="C137" s="106">
        <v>0</v>
      </c>
      <c r="D137" s="106">
        <v>0</v>
      </c>
      <c r="E137" s="69">
        <v>0</v>
      </c>
      <c r="F137" s="69">
        <v>0</v>
      </c>
      <c r="G137" s="69">
        <v>0</v>
      </c>
      <c r="H137" s="69">
        <v>0</v>
      </c>
      <c r="I137" s="69">
        <v>0</v>
      </c>
      <c r="J137" s="69">
        <v>0</v>
      </c>
      <c r="K137" s="69">
        <v>0</v>
      </c>
      <c r="L137" s="27" t="s">
        <v>264</v>
      </c>
      <c r="N137" s="71" t="s">
        <v>484</v>
      </c>
      <c r="O137" s="69" t="str">
        <f t="shared" si="171"/>
        <v/>
      </c>
      <c r="P137" s="69" t="str">
        <f t="shared" si="172"/>
        <v/>
      </c>
      <c r="Q137" s="69" t="str">
        <f t="shared" si="173"/>
        <v/>
      </c>
      <c r="R137" s="69" t="str">
        <f t="shared" si="174"/>
        <v/>
      </c>
      <c r="S137" s="69" t="str">
        <f t="shared" si="175"/>
        <v/>
      </c>
      <c r="T137" s="69" t="str">
        <f t="shared" si="176"/>
        <v/>
      </c>
      <c r="U137" s="69" t="str">
        <f t="shared" si="177"/>
        <v/>
      </c>
      <c r="V137" s="69" t="str">
        <f t="shared" si="178"/>
        <v/>
      </c>
      <c r="W137" s="69" t="str">
        <f t="shared" si="179"/>
        <v/>
      </c>
      <c r="X137" s="69" t="str">
        <f t="shared" si="180"/>
        <v/>
      </c>
      <c r="Y137" s="27" t="s">
        <v>264</v>
      </c>
    </row>
    <row r="138" spans="1:25" x14ac:dyDescent="0.25">
      <c r="A138" s="71" t="s">
        <v>485</v>
      </c>
      <c r="D138" s="106">
        <v>0</v>
      </c>
      <c r="E138" s="69">
        <v>0</v>
      </c>
      <c r="F138" s="69">
        <v>0</v>
      </c>
      <c r="G138" s="69">
        <v>0</v>
      </c>
      <c r="H138" s="69">
        <v>0</v>
      </c>
      <c r="I138" s="69">
        <v>0</v>
      </c>
      <c r="J138" s="69">
        <v>0</v>
      </c>
      <c r="K138" s="69">
        <v>0</v>
      </c>
      <c r="L138" s="27" t="s">
        <v>264</v>
      </c>
      <c r="N138" s="71" t="s">
        <v>485</v>
      </c>
      <c r="O138" s="69" t="str">
        <f t="shared" si="171"/>
        <v/>
      </c>
      <c r="P138" s="69" t="str">
        <f t="shared" si="172"/>
        <v/>
      </c>
      <c r="Q138" s="69" t="str">
        <f t="shared" si="173"/>
        <v/>
      </c>
      <c r="R138" s="69" t="str">
        <f t="shared" si="174"/>
        <v/>
      </c>
      <c r="S138" s="69" t="str">
        <f t="shared" si="175"/>
        <v/>
      </c>
      <c r="T138" s="69" t="str">
        <f t="shared" si="176"/>
        <v/>
      </c>
      <c r="U138" s="69" t="str">
        <f t="shared" si="177"/>
        <v/>
      </c>
      <c r="V138" s="69" t="str">
        <f t="shared" si="178"/>
        <v/>
      </c>
      <c r="W138" s="69" t="str">
        <f t="shared" si="179"/>
        <v/>
      </c>
      <c r="X138" s="69" t="str">
        <f t="shared" si="180"/>
        <v/>
      </c>
      <c r="Y138" s="27" t="s">
        <v>264</v>
      </c>
    </row>
    <row r="139" spans="1:25" x14ac:dyDescent="0.25">
      <c r="A139" s="71" t="s">
        <v>486</v>
      </c>
      <c r="D139" s="106">
        <v>0</v>
      </c>
      <c r="E139" s="69">
        <v>0</v>
      </c>
      <c r="F139" s="69">
        <v>0</v>
      </c>
      <c r="G139" s="69">
        <v>0</v>
      </c>
      <c r="H139" s="69">
        <v>0</v>
      </c>
      <c r="I139" s="69">
        <v>0</v>
      </c>
      <c r="J139" s="69">
        <v>0</v>
      </c>
      <c r="K139" s="69">
        <v>0</v>
      </c>
      <c r="L139" s="27" t="s">
        <v>264</v>
      </c>
      <c r="N139" s="71" t="s">
        <v>486</v>
      </c>
      <c r="O139" s="69" t="str">
        <f t="shared" si="171"/>
        <v/>
      </c>
      <c r="P139" s="69" t="str">
        <f t="shared" si="172"/>
        <v/>
      </c>
      <c r="Q139" s="69" t="str">
        <f t="shared" si="173"/>
        <v/>
      </c>
      <c r="R139" s="69" t="str">
        <f t="shared" si="174"/>
        <v/>
      </c>
      <c r="S139" s="69" t="str">
        <f t="shared" si="175"/>
        <v/>
      </c>
      <c r="T139" s="69" t="str">
        <f t="shared" si="176"/>
        <v/>
      </c>
      <c r="U139" s="69" t="str">
        <f t="shared" si="177"/>
        <v/>
      </c>
      <c r="V139" s="69" t="str">
        <f t="shared" si="178"/>
        <v/>
      </c>
      <c r="W139" s="69" t="str">
        <f t="shared" si="179"/>
        <v/>
      </c>
      <c r="X139" s="69" t="str">
        <f t="shared" si="180"/>
        <v/>
      </c>
      <c r="Y139" s="27" t="s">
        <v>264</v>
      </c>
    </row>
    <row r="140" spans="1:25" x14ac:dyDescent="0.25">
      <c r="A140" t="s">
        <v>462</v>
      </c>
      <c r="L140" s="27"/>
      <c r="N140" t="s">
        <v>462</v>
      </c>
      <c r="O140" s="69"/>
      <c r="P140" s="69"/>
      <c r="Q140" s="69"/>
      <c r="R140" s="69"/>
      <c r="S140" s="69"/>
      <c r="T140" s="69"/>
      <c r="U140" s="69"/>
      <c r="V140" s="69"/>
      <c r="W140" s="69"/>
      <c r="X140" s="69"/>
      <c r="Y140" s="27"/>
    </row>
    <row r="141" spans="1:25" x14ac:dyDescent="0.25">
      <c r="A141" s="71" t="s">
        <v>471</v>
      </c>
      <c r="B141" s="108">
        <v>0</v>
      </c>
      <c r="C141" s="106">
        <v>0</v>
      </c>
      <c r="D141" s="106">
        <v>0</v>
      </c>
      <c r="E141" s="69">
        <v>0</v>
      </c>
      <c r="F141" s="69">
        <v>0</v>
      </c>
      <c r="G141" s="69">
        <v>0</v>
      </c>
      <c r="H141" s="69">
        <v>0</v>
      </c>
      <c r="I141" s="69">
        <v>0</v>
      </c>
      <c r="J141" s="69">
        <v>0</v>
      </c>
      <c r="K141" s="69">
        <v>0</v>
      </c>
      <c r="L141" s="27" t="s">
        <v>264</v>
      </c>
      <c r="N141" s="71" t="s">
        <v>471</v>
      </c>
      <c r="O141" s="69" t="str">
        <f t="shared" ref="O141:O156" si="190">IFERROR(L_100km_to_mpg/B141, "")</f>
        <v/>
      </c>
      <c r="P141" s="69" t="str">
        <f t="shared" ref="P141:P156" si="191">IFERROR(L_100km_to_mpg/C141, "")</f>
        <v/>
      </c>
      <c r="Q141" s="69" t="str">
        <f t="shared" ref="Q141:Q156" si="192">IFERROR(L_100km_to_mpg/D141, "")</f>
        <v/>
      </c>
      <c r="R141" s="69" t="str">
        <f t="shared" ref="R141:R156" si="193">IFERROR(L_100km_to_mpg/E141, "")</f>
        <v/>
      </c>
      <c r="S141" s="69" t="str">
        <f t="shared" ref="S141:S156" si="194">IFERROR(L_100km_to_mpg/F141, "")</f>
        <v/>
      </c>
      <c r="T141" s="69" t="str">
        <f t="shared" ref="T141:T156" si="195">IFERROR(L_100km_to_mpg/G141, "")</f>
        <v/>
      </c>
      <c r="U141" s="69" t="str">
        <f t="shared" ref="U141:U156" si="196">IFERROR(L_100km_to_mpg/H141, "")</f>
        <v/>
      </c>
      <c r="V141" s="69" t="str">
        <f t="shared" ref="V141:V156" si="197">IFERROR(L_100km_to_mpg/I141, "")</f>
        <v/>
      </c>
      <c r="W141" s="69" t="str">
        <f t="shared" ref="W141:W156" si="198">IFERROR(L_100km_to_mpg/J141, "")</f>
        <v/>
      </c>
      <c r="X141" s="69" t="str">
        <f t="shared" ref="X141:X156" si="199">IFERROR(L_100km_to_mpg/K141, "")</f>
        <v/>
      </c>
      <c r="Y141" s="27" t="s">
        <v>264</v>
      </c>
    </row>
    <row r="142" spans="1:25" x14ac:dyDescent="0.25">
      <c r="A142" s="71" t="s">
        <v>472</v>
      </c>
      <c r="B142" s="108">
        <v>0</v>
      </c>
      <c r="C142" s="106">
        <v>0</v>
      </c>
      <c r="D142" s="106">
        <v>0</v>
      </c>
      <c r="E142" s="69">
        <v>0</v>
      </c>
      <c r="F142" s="69">
        <v>0</v>
      </c>
      <c r="G142" s="69">
        <v>0</v>
      </c>
      <c r="H142" s="69">
        <v>0</v>
      </c>
      <c r="I142" s="69">
        <v>0</v>
      </c>
      <c r="J142" s="69">
        <v>0</v>
      </c>
      <c r="K142" s="69">
        <v>0</v>
      </c>
      <c r="L142" s="27" t="s">
        <v>264</v>
      </c>
      <c r="N142" s="71" t="s">
        <v>472</v>
      </c>
      <c r="O142" s="69" t="str">
        <f t="shared" si="190"/>
        <v/>
      </c>
      <c r="P142" s="69" t="str">
        <f t="shared" si="191"/>
        <v/>
      </c>
      <c r="Q142" s="69" t="str">
        <f t="shared" si="192"/>
        <v/>
      </c>
      <c r="R142" s="69" t="str">
        <f t="shared" si="193"/>
        <v/>
      </c>
      <c r="S142" s="69" t="str">
        <f t="shared" si="194"/>
        <v/>
      </c>
      <c r="T142" s="69" t="str">
        <f t="shared" si="195"/>
        <v/>
      </c>
      <c r="U142" s="69" t="str">
        <f t="shared" si="196"/>
        <v/>
      </c>
      <c r="V142" s="69" t="str">
        <f t="shared" si="197"/>
        <v/>
      </c>
      <c r="W142" s="69" t="str">
        <f t="shared" si="198"/>
        <v/>
      </c>
      <c r="X142" s="69" t="str">
        <f t="shared" si="199"/>
        <v/>
      </c>
      <c r="Y142" s="27" t="s">
        <v>264</v>
      </c>
    </row>
    <row r="143" spans="1:25" x14ac:dyDescent="0.25">
      <c r="A143" s="71" t="s">
        <v>473</v>
      </c>
      <c r="B143" s="108">
        <v>35.103760000000001</v>
      </c>
      <c r="C143" s="106">
        <v>39.188991999999999</v>
      </c>
      <c r="D143" s="106">
        <v>42.856304000000002</v>
      </c>
      <c r="E143" s="69">
        <v>49.858176999999998</v>
      </c>
      <c r="F143" s="69">
        <v>52.229213999999999</v>
      </c>
      <c r="G143" s="69">
        <v>54.526145999999997</v>
      </c>
      <c r="H143" s="69">
        <v>54.181804999999997</v>
      </c>
      <c r="I143" s="69">
        <v>54.351452000000002</v>
      </c>
      <c r="J143" s="69">
        <v>54.169021999999998</v>
      </c>
      <c r="K143" s="69">
        <v>54.076507999999997</v>
      </c>
      <c r="L143" s="27">
        <v>4.0000000000000001E-3</v>
      </c>
      <c r="N143" s="71" t="s">
        <v>473</v>
      </c>
      <c r="O143" s="69">
        <f t="shared" si="190"/>
        <v>6.7005676668661174</v>
      </c>
      <c r="P143" s="69">
        <f t="shared" si="191"/>
        <v>6.0020711745131932</v>
      </c>
      <c r="Q143" s="69">
        <f t="shared" si="192"/>
        <v>5.4884602097611621</v>
      </c>
      <c r="R143" s="69">
        <f t="shared" si="193"/>
        <v>4.7176839065220566</v>
      </c>
      <c r="S143" s="69">
        <f t="shared" si="194"/>
        <v>4.5035163508573604</v>
      </c>
      <c r="T143" s="69">
        <f t="shared" si="195"/>
        <v>4.3138042296521037</v>
      </c>
      <c r="U143" s="69">
        <f t="shared" si="196"/>
        <v>4.3412196998868557</v>
      </c>
      <c r="V143" s="69">
        <f t="shared" si="197"/>
        <v>4.3276694657840631</v>
      </c>
      <c r="W143" s="69">
        <f t="shared" si="198"/>
        <v>4.3422441564743064</v>
      </c>
      <c r="X143" s="69">
        <f t="shared" si="199"/>
        <v>4.3496728605594903</v>
      </c>
      <c r="Y143" s="27">
        <v>4.0000000000000001E-3</v>
      </c>
    </row>
    <row r="144" spans="1:25" x14ac:dyDescent="0.25">
      <c r="A144" s="71" t="s">
        <v>474</v>
      </c>
      <c r="B144" s="108">
        <v>35.751606000000002</v>
      </c>
      <c r="C144" s="106">
        <v>37.783638000000003</v>
      </c>
      <c r="D144" s="106">
        <v>46.533867000000001</v>
      </c>
      <c r="E144" s="69">
        <v>49.437201999999999</v>
      </c>
      <c r="F144" s="69">
        <v>51.621032999999997</v>
      </c>
      <c r="G144" s="69">
        <v>53.530949</v>
      </c>
      <c r="H144" s="69">
        <v>52.818156999999999</v>
      </c>
      <c r="I144" s="69">
        <v>53.019367000000003</v>
      </c>
      <c r="J144" s="69">
        <v>52.798862</v>
      </c>
      <c r="K144" s="69">
        <v>52.705849000000001</v>
      </c>
      <c r="L144" s="27">
        <v>3.0000000000000001E-3</v>
      </c>
      <c r="N144" s="71" t="s">
        <v>474</v>
      </c>
      <c r="O144" s="69">
        <f t="shared" si="190"/>
        <v>6.5791483392781887</v>
      </c>
      <c r="P144" s="69">
        <f t="shared" si="191"/>
        <v>6.2253168750300887</v>
      </c>
      <c r="Q144" s="69">
        <f t="shared" si="192"/>
        <v>5.0547082029831767</v>
      </c>
      <c r="R144" s="69">
        <f t="shared" si="193"/>
        <v>4.7578566287272519</v>
      </c>
      <c r="S144" s="69">
        <f t="shared" si="194"/>
        <v>4.5565752092064518</v>
      </c>
      <c r="T144" s="69">
        <f t="shared" si="195"/>
        <v>4.3940024160869662</v>
      </c>
      <c r="U144" s="69">
        <f t="shared" si="196"/>
        <v>4.4533003914057083</v>
      </c>
      <c r="V144" s="69">
        <f t="shared" si="197"/>
        <v>4.4363999902418323</v>
      </c>
      <c r="W144" s="69">
        <f t="shared" si="198"/>
        <v>4.4549278210092513</v>
      </c>
      <c r="X144" s="69">
        <f t="shared" si="199"/>
        <v>4.4627896847165509</v>
      </c>
      <c r="Y144" s="27">
        <v>3.0000000000000001E-3</v>
      </c>
    </row>
    <row r="145" spans="1:38" x14ac:dyDescent="0.25">
      <c r="A145" s="71" t="s">
        <v>475</v>
      </c>
      <c r="B145" s="108">
        <v>30.508196000000002</v>
      </c>
      <c r="C145" s="106">
        <v>29.247237999999999</v>
      </c>
      <c r="D145" s="106">
        <v>39.278182999999999</v>
      </c>
      <c r="E145" s="69">
        <v>43.219684999999998</v>
      </c>
      <c r="F145" s="69">
        <v>44.942447999999999</v>
      </c>
      <c r="G145" s="69">
        <v>47.207267999999999</v>
      </c>
      <c r="H145" s="69">
        <v>46.964148999999999</v>
      </c>
      <c r="I145" s="69">
        <v>47.377372999999999</v>
      </c>
      <c r="J145" s="69">
        <v>47.272647999999997</v>
      </c>
      <c r="K145" s="69">
        <v>47.281910000000003</v>
      </c>
      <c r="L145" s="27">
        <v>4.0000000000000001E-3</v>
      </c>
      <c r="N145" s="71" t="s">
        <v>475</v>
      </c>
      <c r="O145" s="69">
        <f t="shared" si="190"/>
        <v>7.7098993084162739</v>
      </c>
      <c r="P145" s="69">
        <f t="shared" si="191"/>
        <v>8.0423019514330942</v>
      </c>
      <c r="Q145" s="69">
        <f t="shared" si="192"/>
        <v>5.9884419613154751</v>
      </c>
      <c r="R145" s="69">
        <f t="shared" si="193"/>
        <v>5.4423145203725607</v>
      </c>
      <c r="S145" s="69">
        <f t="shared" si="194"/>
        <v>5.2336961983341039</v>
      </c>
      <c r="T145" s="69">
        <f t="shared" si="195"/>
        <v>4.9826039338143469</v>
      </c>
      <c r="U145" s="69">
        <f t="shared" si="196"/>
        <v>5.0083973466958414</v>
      </c>
      <c r="V145" s="69">
        <f t="shared" si="197"/>
        <v>4.9647142580368087</v>
      </c>
      <c r="W145" s="69">
        <f t="shared" si="198"/>
        <v>4.97571278937935</v>
      </c>
      <c r="X145" s="69">
        <f t="shared" si="199"/>
        <v>4.9747381026153157</v>
      </c>
      <c r="Y145" s="27">
        <v>4.0000000000000001E-3</v>
      </c>
    </row>
    <row r="146" spans="1:38" x14ac:dyDescent="0.25">
      <c r="A146" s="71" t="s">
        <v>476</v>
      </c>
      <c r="B146" s="108">
        <v>0</v>
      </c>
      <c r="C146" s="106">
        <v>0</v>
      </c>
      <c r="D146" s="106">
        <v>0</v>
      </c>
      <c r="E146" s="69">
        <v>0</v>
      </c>
      <c r="F146" s="69">
        <v>0</v>
      </c>
      <c r="G146" s="69">
        <v>0</v>
      </c>
      <c r="H146" s="69">
        <v>0</v>
      </c>
      <c r="I146" s="69">
        <v>0</v>
      </c>
      <c r="J146" s="69">
        <v>0</v>
      </c>
      <c r="K146" s="69">
        <v>0</v>
      </c>
      <c r="L146" s="27" t="s">
        <v>264</v>
      </c>
      <c r="N146" s="71" t="s">
        <v>476</v>
      </c>
      <c r="O146" s="69" t="str">
        <f t="shared" si="190"/>
        <v/>
      </c>
      <c r="P146" s="69" t="str">
        <f t="shared" si="191"/>
        <v/>
      </c>
      <c r="Q146" s="69" t="str">
        <f t="shared" si="192"/>
        <v/>
      </c>
      <c r="R146" s="69" t="str">
        <f t="shared" si="193"/>
        <v/>
      </c>
      <c r="S146" s="69" t="str">
        <f t="shared" si="194"/>
        <v/>
      </c>
      <c r="T146" s="69" t="str">
        <f t="shared" si="195"/>
        <v/>
      </c>
      <c r="U146" s="69" t="str">
        <f t="shared" si="196"/>
        <v/>
      </c>
      <c r="V146" s="69" t="str">
        <f t="shared" si="197"/>
        <v/>
      </c>
      <c r="W146" s="69" t="str">
        <f t="shared" si="198"/>
        <v/>
      </c>
      <c r="X146" s="69" t="str">
        <f t="shared" si="199"/>
        <v/>
      </c>
      <c r="Y146" s="27" t="s">
        <v>264</v>
      </c>
    </row>
    <row r="147" spans="1:38" x14ac:dyDescent="0.25">
      <c r="A147" s="71" t="s">
        <v>477</v>
      </c>
      <c r="D147" s="106">
        <v>0</v>
      </c>
      <c r="E147" s="69">
        <v>0</v>
      </c>
      <c r="F147" s="69">
        <v>0</v>
      </c>
      <c r="G147" s="69">
        <v>0</v>
      </c>
      <c r="H147" s="69">
        <v>0</v>
      </c>
      <c r="I147" s="69">
        <v>0</v>
      </c>
      <c r="J147" s="69">
        <v>0</v>
      </c>
      <c r="K147" s="69">
        <v>0</v>
      </c>
      <c r="L147" s="27" t="s">
        <v>264</v>
      </c>
      <c r="N147" s="71" t="s">
        <v>477</v>
      </c>
      <c r="O147" s="69" t="str">
        <f t="shared" si="190"/>
        <v/>
      </c>
      <c r="P147" s="69" t="str">
        <f t="shared" si="191"/>
        <v/>
      </c>
      <c r="Q147" s="69" t="str">
        <f t="shared" si="192"/>
        <v/>
      </c>
      <c r="R147" s="69" t="str">
        <f t="shared" si="193"/>
        <v/>
      </c>
      <c r="S147" s="69" t="str">
        <f t="shared" si="194"/>
        <v/>
      </c>
      <c r="T147" s="69" t="str">
        <f t="shared" si="195"/>
        <v/>
      </c>
      <c r="U147" s="69" t="str">
        <f t="shared" si="196"/>
        <v/>
      </c>
      <c r="V147" s="69" t="str">
        <f t="shared" si="197"/>
        <v/>
      </c>
      <c r="W147" s="69" t="str">
        <f t="shared" si="198"/>
        <v/>
      </c>
      <c r="X147" s="69" t="str">
        <f t="shared" si="199"/>
        <v/>
      </c>
      <c r="Y147" s="27" t="s">
        <v>264</v>
      </c>
    </row>
    <row r="148" spans="1:38" x14ac:dyDescent="0.25">
      <c r="A148" s="71" t="s">
        <v>478</v>
      </c>
      <c r="D148" s="106">
        <v>0</v>
      </c>
      <c r="E148" s="69">
        <v>0</v>
      </c>
      <c r="F148" s="69">
        <v>0</v>
      </c>
      <c r="G148" s="69">
        <v>0</v>
      </c>
      <c r="H148" s="69">
        <v>0</v>
      </c>
      <c r="I148" s="69">
        <v>0</v>
      </c>
      <c r="J148" s="69">
        <v>0</v>
      </c>
      <c r="K148" s="69">
        <v>0</v>
      </c>
      <c r="L148" s="27" t="s">
        <v>264</v>
      </c>
      <c r="N148" s="71" t="s">
        <v>478</v>
      </c>
      <c r="O148" s="69" t="str">
        <f t="shared" si="190"/>
        <v/>
      </c>
      <c r="P148" s="69" t="str">
        <f t="shared" si="191"/>
        <v/>
      </c>
      <c r="Q148" s="69" t="str">
        <f t="shared" si="192"/>
        <v/>
      </c>
      <c r="R148" s="69" t="str">
        <f t="shared" si="193"/>
        <v/>
      </c>
      <c r="S148" s="69" t="str">
        <f t="shared" si="194"/>
        <v/>
      </c>
      <c r="T148" s="69" t="str">
        <f t="shared" si="195"/>
        <v/>
      </c>
      <c r="U148" s="69" t="str">
        <f t="shared" si="196"/>
        <v/>
      </c>
      <c r="V148" s="69" t="str">
        <f t="shared" si="197"/>
        <v/>
      </c>
      <c r="W148" s="69" t="str">
        <f t="shared" si="198"/>
        <v/>
      </c>
      <c r="X148" s="69" t="str">
        <f t="shared" si="199"/>
        <v/>
      </c>
      <c r="Y148" s="27" t="s">
        <v>264</v>
      </c>
    </row>
    <row r="149" spans="1:38" x14ac:dyDescent="0.25">
      <c r="A149" s="71" t="s">
        <v>479</v>
      </c>
      <c r="B149" s="108">
        <v>0</v>
      </c>
      <c r="C149" s="106">
        <v>0</v>
      </c>
      <c r="D149" s="106">
        <v>0</v>
      </c>
      <c r="E149" s="69">
        <v>0</v>
      </c>
      <c r="F149" s="69">
        <v>0</v>
      </c>
      <c r="G149" s="69">
        <v>0</v>
      </c>
      <c r="H149" s="69">
        <v>0</v>
      </c>
      <c r="I149" s="69">
        <v>0</v>
      </c>
      <c r="J149" s="69">
        <v>0</v>
      </c>
      <c r="K149" s="69">
        <v>0</v>
      </c>
      <c r="L149" s="27" t="s">
        <v>264</v>
      </c>
      <c r="N149" s="71" t="s">
        <v>479</v>
      </c>
      <c r="O149" s="69" t="str">
        <f t="shared" si="190"/>
        <v/>
      </c>
      <c r="P149" s="69" t="str">
        <f t="shared" si="191"/>
        <v/>
      </c>
      <c r="Q149" s="69" t="str">
        <f t="shared" si="192"/>
        <v/>
      </c>
      <c r="R149" s="69" t="str">
        <f t="shared" si="193"/>
        <v/>
      </c>
      <c r="S149" s="69" t="str">
        <f t="shared" si="194"/>
        <v/>
      </c>
      <c r="T149" s="69" t="str">
        <f t="shared" si="195"/>
        <v/>
      </c>
      <c r="U149" s="69" t="str">
        <f t="shared" si="196"/>
        <v/>
      </c>
      <c r="V149" s="69" t="str">
        <f t="shared" si="197"/>
        <v/>
      </c>
      <c r="W149" s="69" t="str">
        <f t="shared" si="198"/>
        <v/>
      </c>
      <c r="X149" s="69" t="str">
        <f t="shared" si="199"/>
        <v/>
      </c>
      <c r="Y149" s="27" t="s">
        <v>264</v>
      </c>
    </row>
    <row r="150" spans="1:38" x14ac:dyDescent="0.25">
      <c r="A150" s="71" t="s">
        <v>480</v>
      </c>
      <c r="B150" s="108">
        <v>26.389654</v>
      </c>
      <c r="C150" s="106">
        <v>23.346568999999999</v>
      </c>
      <c r="D150" s="106">
        <v>27.652339999999999</v>
      </c>
      <c r="E150" s="69">
        <v>26.966778000000001</v>
      </c>
      <c r="F150" s="69">
        <v>28.339646999999999</v>
      </c>
      <c r="G150" s="69">
        <v>30.060092999999998</v>
      </c>
      <c r="H150" s="69">
        <v>30.616453</v>
      </c>
      <c r="I150" s="69">
        <v>31.069262999999999</v>
      </c>
      <c r="J150" s="69">
        <v>31.116018</v>
      </c>
      <c r="K150" s="69">
        <v>31.116432</v>
      </c>
      <c r="L150" s="27">
        <v>6.0000000000000001E-3</v>
      </c>
      <c r="N150" s="71" t="s">
        <v>480</v>
      </c>
      <c r="O150" s="69">
        <f t="shared" si="190"/>
        <v>8.9131566196899801</v>
      </c>
      <c r="P150" s="69">
        <f t="shared" si="191"/>
        <v>10.074933033690225</v>
      </c>
      <c r="Q150" s="69">
        <f t="shared" si="192"/>
        <v>8.5061560519445418</v>
      </c>
      <c r="R150" s="69">
        <f t="shared" si="193"/>
        <v>8.7224035159642774</v>
      </c>
      <c r="S150" s="69">
        <f t="shared" si="194"/>
        <v>8.2998605889984489</v>
      </c>
      <c r="T150" s="69">
        <f t="shared" si="195"/>
        <v>7.8248300576258414</v>
      </c>
      <c r="U150" s="69">
        <f t="shared" si="196"/>
        <v>7.6826378039751422</v>
      </c>
      <c r="V150" s="69">
        <f t="shared" si="197"/>
        <v>7.5706694182423364</v>
      </c>
      <c r="W150" s="69">
        <f t="shared" si="198"/>
        <v>7.5592937130139255</v>
      </c>
      <c r="X150" s="69">
        <f t="shared" si="199"/>
        <v>7.5591931376138541</v>
      </c>
      <c r="Y150" s="27">
        <v>6.0000000000000001E-3</v>
      </c>
    </row>
    <row r="151" spans="1:38" x14ac:dyDescent="0.25">
      <c r="A151" s="71" t="s">
        <v>481</v>
      </c>
      <c r="B151" s="108">
        <v>0</v>
      </c>
      <c r="C151" s="106">
        <v>0</v>
      </c>
      <c r="D151" s="106">
        <v>0</v>
      </c>
      <c r="E151" s="69">
        <v>0</v>
      </c>
      <c r="F151" s="69">
        <v>0</v>
      </c>
      <c r="G151" s="69">
        <v>0</v>
      </c>
      <c r="H151" s="69">
        <v>0</v>
      </c>
      <c r="I151" s="69">
        <v>0</v>
      </c>
      <c r="J151" s="69">
        <v>0</v>
      </c>
      <c r="K151" s="69">
        <v>0</v>
      </c>
      <c r="L151" s="27" t="s">
        <v>264</v>
      </c>
      <c r="N151" s="71" t="s">
        <v>481</v>
      </c>
      <c r="O151" s="69" t="str">
        <f t="shared" si="190"/>
        <v/>
      </c>
      <c r="P151" s="69" t="str">
        <f t="shared" si="191"/>
        <v/>
      </c>
      <c r="Q151" s="69" t="str">
        <f t="shared" si="192"/>
        <v/>
      </c>
      <c r="R151" s="69" t="str">
        <f t="shared" si="193"/>
        <v/>
      </c>
      <c r="S151" s="69" t="str">
        <f t="shared" si="194"/>
        <v/>
      </c>
      <c r="T151" s="69" t="str">
        <f t="shared" si="195"/>
        <v/>
      </c>
      <c r="U151" s="69" t="str">
        <f t="shared" si="196"/>
        <v/>
      </c>
      <c r="V151" s="69" t="str">
        <f t="shared" si="197"/>
        <v/>
      </c>
      <c r="W151" s="69" t="str">
        <f t="shared" si="198"/>
        <v/>
      </c>
      <c r="X151" s="69" t="str">
        <f t="shared" si="199"/>
        <v/>
      </c>
      <c r="Y151" s="27" t="s">
        <v>264</v>
      </c>
    </row>
    <row r="152" spans="1:38" x14ac:dyDescent="0.25">
      <c r="A152" s="71" t="s">
        <v>482</v>
      </c>
      <c r="B152" s="108">
        <v>26.258247000000001</v>
      </c>
      <c r="C152" s="106">
        <v>26.778831</v>
      </c>
      <c r="D152" s="106">
        <v>29.170290000000001</v>
      </c>
      <c r="E152" s="69">
        <v>34.203280999999997</v>
      </c>
      <c r="F152" s="69">
        <v>36.030875999999999</v>
      </c>
      <c r="G152" s="69">
        <v>38.900402</v>
      </c>
      <c r="H152" s="69">
        <v>39.804192</v>
      </c>
      <c r="I152" s="69">
        <v>40.582355</v>
      </c>
      <c r="J152" s="69">
        <v>40.691380000000002</v>
      </c>
      <c r="K152" s="69">
        <v>40.805892999999998</v>
      </c>
      <c r="L152" s="27">
        <v>8.0000000000000002E-3</v>
      </c>
      <c r="N152" s="71" t="s">
        <v>482</v>
      </c>
      <c r="O152" s="69">
        <f t="shared" si="190"/>
        <v>8.9577616983124635</v>
      </c>
      <c r="P152" s="69">
        <f t="shared" si="191"/>
        <v>8.7836216316323945</v>
      </c>
      <c r="Q152" s="69">
        <f t="shared" si="192"/>
        <v>8.0635166548371</v>
      </c>
      <c r="R152" s="69">
        <f t="shared" si="193"/>
        <v>6.8769753182868092</v>
      </c>
      <c r="S152" s="69">
        <f t="shared" si="194"/>
        <v>6.5281543318965696</v>
      </c>
      <c r="T152" s="69">
        <f t="shared" si="195"/>
        <v>6.0465986763177444</v>
      </c>
      <c r="U152" s="69">
        <f t="shared" si="196"/>
        <v>5.9093052119090403</v>
      </c>
      <c r="V152" s="69">
        <f t="shared" si="197"/>
        <v>5.7959948169944333</v>
      </c>
      <c r="W152" s="69">
        <f t="shared" si="198"/>
        <v>5.7804655246744669</v>
      </c>
      <c r="X152" s="69">
        <f t="shared" si="199"/>
        <v>5.7642438860835163</v>
      </c>
      <c r="Y152" s="27">
        <v>8.0000000000000002E-3</v>
      </c>
    </row>
    <row r="153" spans="1:38" x14ac:dyDescent="0.25">
      <c r="A153" s="71" t="s">
        <v>483</v>
      </c>
      <c r="B153" s="108">
        <v>0</v>
      </c>
      <c r="C153" s="106">
        <v>0</v>
      </c>
      <c r="D153" s="106">
        <v>0</v>
      </c>
      <c r="E153" s="69">
        <v>0</v>
      </c>
      <c r="F153" s="69">
        <v>0</v>
      </c>
      <c r="G153" s="69">
        <v>0</v>
      </c>
      <c r="H153" s="69">
        <v>0</v>
      </c>
      <c r="I153" s="69">
        <v>0</v>
      </c>
      <c r="J153" s="69">
        <v>0</v>
      </c>
      <c r="K153" s="69">
        <v>0</v>
      </c>
      <c r="L153" s="27" t="s">
        <v>264</v>
      </c>
      <c r="N153" s="71" t="s">
        <v>483</v>
      </c>
      <c r="O153" s="69" t="str">
        <f t="shared" si="190"/>
        <v/>
      </c>
      <c r="P153" s="69" t="str">
        <f t="shared" si="191"/>
        <v/>
      </c>
      <c r="Q153" s="69" t="str">
        <f t="shared" si="192"/>
        <v/>
      </c>
      <c r="R153" s="69" t="str">
        <f t="shared" si="193"/>
        <v/>
      </c>
      <c r="S153" s="69" t="str">
        <f t="shared" si="194"/>
        <v/>
      </c>
      <c r="T153" s="69" t="str">
        <f t="shared" si="195"/>
        <v/>
      </c>
      <c r="U153" s="69" t="str">
        <f t="shared" si="196"/>
        <v/>
      </c>
      <c r="V153" s="69" t="str">
        <f t="shared" si="197"/>
        <v/>
      </c>
      <c r="W153" s="69" t="str">
        <f t="shared" si="198"/>
        <v/>
      </c>
      <c r="X153" s="69" t="str">
        <f t="shared" si="199"/>
        <v/>
      </c>
      <c r="Y153" s="27" t="s">
        <v>264</v>
      </c>
    </row>
    <row r="154" spans="1:38" x14ac:dyDescent="0.25">
      <c r="A154" s="71" t="s">
        <v>484</v>
      </c>
      <c r="B154" s="108">
        <v>0</v>
      </c>
      <c r="C154" s="106">
        <v>0</v>
      </c>
      <c r="D154" s="106">
        <v>0</v>
      </c>
      <c r="E154" s="69">
        <v>0</v>
      </c>
      <c r="F154" s="69">
        <v>0</v>
      </c>
      <c r="G154" s="69">
        <v>0</v>
      </c>
      <c r="H154" s="69">
        <v>0</v>
      </c>
      <c r="I154" s="69">
        <v>0</v>
      </c>
      <c r="J154" s="69">
        <v>0</v>
      </c>
      <c r="K154" s="69">
        <v>0</v>
      </c>
      <c r="L154" s="27" t="s">
        <v>264</v>
      </c>
      <c r="N154" s="71" t="s">
        <v>484</v>
      </c>
      <c r="O154" s="69" t="str">
        <f t="shared" si="190"/>
        <v/>
      </c>
      <c r="P154" s="69" t="str">
        <f t="shared" si="191"/>
        <v/>
      </c>
      <c r="Q154" s="69" t="str">
        <f t="shared" si="192"/>
        <v/>
      </c>
      <c r="R154" s="69" t="str">
        <f t="shared" si="193"/>
        <v/>
      </c>
      <c r="S154" s="69" t="str">
        <f t="shared" si="194"/>
        <v/>
      </c>
      <c r="T154" s="69" t="str">
        <f t="shared" si="195"/>
        <v/>
      </c>
      <c r="U154" s="69" t="str">
        <f t="shared" si="196"/>
        <v/>
      </c>
      <c r="V154" s="69" t="str">
        <f t="shared" si="197"/>
        <v/>
      </c>
      <c r="W154" s="69" t="str">
        <f t="shared" si="198"/>
        <v/>
      </c>
      <c r="X154" s="69" t="str">
        <f t="shared" si="199"/>
        <v/>
      </c>
      <c r="Y154" s="27" t="s">
        <v>264</v>
      </c>
    </row>
    <row r="155" spans="1:38" x14ac:dyDescent="0.25">
      <c r="A155" s="71" t="s">
        <v>485</v>
      </c>
      <c r="D155" s="106">
        <v>0</v>
      </c>
      <c r="E155" s="69">
        <v>0</v>
      </c>
      <c r="F155" s="69">
        <v>0</v>
      </c>
      <c r="G155" s="69">
        <v>0</v>
      </c>
      <c r="H155" s="69">
        <v>0</v>
      </c>
      <c r="I155" s="69">
        <v>0</v>
      </c>
      <c r="J155" s="69">
        <v>0</v>
      </c>
      <c r="K155" s="69">
        <v>0</v>
      </c>
      <c r="L155" s="27" t="s">
        <v>264</v>
      </c>
      <c r="N155" s="71" t="s">
        <v>485</v>
      </c>
      <c r="O155" s="69" t="str">
        <f t="shared" si="190"/>
        <v/>
      </c>
      <c r="P155" s="69" t="str">
        <f t="shared" si="191"/>
        <v/>
      </c>
      <c r="Q155" s="69" t="str">
        <f t="shared" si="192"/>
        <v/>
      </c>
      <c r="R155" s="69" t="str">
        <f t="shared" si="193"/>
        <v/>
      </c>
      <c r="S155" s="69" t="str">
        <f t="shared" si="194"/>
        <v/>
      </c>
      <c r="T155" s="69" t="str">
        <f t="shared" si="195"/>
        <v/>
      </c>
      <c r="U155" s="69" t="str">
        <f t="shared" si="196"/>
        <v/>
      </c>
      <c r="V155" s="69" t="str">
        <f t="shared" si="197"/>
        <v/>
      </c>
      <c r="W155" s="69" t="str">
        <f t="shared" si="198"/>
        <v/>
      </c>
      <c r="X155" s="69" t="str">
        <f t="shared" si="199"/>
        <v/>
      </c>
      <c r="Y155" s="27" t="s">
        <v>264</v>
      </c>
    </row>
    <row r="156" spans="1:38" x14ac:dyDescent="0.25">
      <c r="A156" s="71" t="s">
        <v>486</v>
      </c>
      <c r="D156" s="106">
        <v>0</v>
      </c>
      <c r="E156" s="69">
        <v>0</v>
      </c>
      <c r="F156" s="69">
        <v>0</v>
      </c>
      <c r="G156" s="69">
        <v>0</v>
      </c>
      <c r="H156" s="69">
        <v>0</v>
      </c>
      <c r="I156" s="69">
        <v>0</v>
      </c>
      <c r="J156" s="69">
        <v>0</v>
      </c>
      <c r="K156" s="69">
        <v>0</v>
      </c>
      <c r="L156" s="27" t="s">
        <v>264</v>
      </c>
      <c r="N156" s="71" t="s">
        <v>486</v>
      </c>
      <c r="O156" s="69" t="str">
        <f t="shared" si="190"/>
        <v/>
      </c>
      <c r="P156" s="69" t="str">
        <f t="shared" si="191"/>
        <v/>
      </c>
      <c r="Q156" s="69" t="str">
        <f t="shared" si="192"/>
        <v/>
      </c>
      <c r="R156" s="69" t="str">
        <f t="shared" si="193"/>
        <v/>
      </c>
      <c r="S156" s="69" t="str">
        <f t="shared" si="194"/>
        <v/>
      </c>
      <c r="T156" s="69" t="str">
        <f t="shared" si="195"/>
        <v/>
      </c>
      <c r="U156" s="69" t="str">
        <f t="shared" si="196"/>
        <v/>
      </c>
      <c r="V156" s="69" t="str">
        <f t="shared" si="197"/>
        <v/>
      </c>
      <c r="W156" s="69" t="str">
        <f t="shared" si="198"/>
        <v/>
      </c>
      <c r="X156" s="69" t="str">
        <f t="shared" si="199"/>
        <v/>
      </c>
      <c r="Y156" s="27" t="s">
        <v>264</v>
      </c>
    </row>
    <row r="157" spans="1:38" x14ac:dyDescent="0.25">
      <c r="A157" t="s">
        <v>463</v>
      </c>
      <c r="L157" s="27"/>
      <c r="N157" t="s">
        <v>463</v>
      </c>
      <c r="O157" s="69"/>
      <c r="P157" s="69"/>
      <c r="Q157" s="69"/>
      <c r="R157" s="69"/>
      <c r="S157" s="69"/>
      <c r="T157" s="69"/>
      <c r="U157" s="69"/>
      <c r="V157" s="69"/>
      <c r="W157" s="69"/>
      <c r="X157" s="69"/>
      <c r="Y157" s="27"/>
      <c r="AA157" t="s">
        <v>8</v>
      </c>
      <c r="AB157" t="s">
        <v>491</v>
      </c>
      <c r="AC157" s="69">
        <f>AVERAGE(O158:O165)</f>
        <v>1.6465659294067223</v>
      </c>
      <c r="AD157" s="69">
        <f t="shared" ref="AD157" si="200">AVERAGE(P158:P165)</f>
        <v>2.3799219457136127</v>
      </c>
      <c r="AE157" s="69">
        <f t="shared" ref="AE157" si="201">AVERAGE(Q158:Q165)</f>
        <v>2.2000687288768384</v>
      </c>
      <c r="AF157" s="69">
        <f t="shared" ref="AF157" si="202">AVERAGE(R158:R165)</f>
        <v>2.4801384175128525</v>
      </c>
      <c r="AG157" s="69">
        <f t="shared" ref="AG157" si="203">AVERAGE(S158:S165)</f>
        <v>2.4070598753430761</v>
      </c>
      <c r="AH157" s="69">
        <f t="shared" ref="AH157" si="204">AVERAGE(T158:T165)</f>
        <v>2.3704118959376013</v>
      </c>
      <c r="AI157" s="69">
        <f t="shared" ref="AI157" si="205">AVERAGE(U158:U165)</f>
        <v>2.3700882109880168</v>
      </c>
      <c r="AJ157" s="69">
        <f t="shared" ref="AJ157" si="206">AVERAGE(V158:V165)</f>
        <v>2.3700029791090955</v>
      </c>
      <c r="AK157" s="69">
        <f t="shared" ref="AK157" si="207">AVERAGE(W158:W165)</f>
        <v>2.3702548218688224</v>
      </c>
      <c r="AL157" s="69">
        <f t="shared" ref="AL157" si="208">AVERAGE(X158:X165)</f>
        <v>2.3704923183695152</v>
      </c>
    </row>
    <row r="158" spans="1:38" x14ac:dyDescent="0.25">
      <c r="A158" s="71" t="s">
        <v>471</v>
      </c>
      <c r="B158" s="108">
        <v>0</v>
      </c>
      <c r="C158" s="106">
        <v>109.897339</v>
      </c>
      <c r="D158" s="106">
        <v>116.613266</v>
      </c>
      <c r="E158" s="69">
        <v>96.155524999999997</v>
      </c>
      <c r="F158" s="69">
        <v>99.696494999999999</v>
      </c>
      <c r="G158" s="69">
        <v>101.230194</v>
      </c>
      <c r="H158" s="69">
        <v>101.034691</v>
      </c>
      <c r="I158" s="69">
        <v>100.860687</v>
      </c>
      <c r="J158" s="69">
        <v>100.806358</v>
      </c>
      <c r="K158" s="69">
        <v>100.80487100000001</v>
      </c>
      <c r="L158" s="27">
        <v>2E-3</v>
      </c>
      <c r="N158" s="71" t="s">
        <v>471</v>
      </c>
      <c r="O158" s="69" t="str">
        <f t="shared" ref="O158:O173" si="209">IFERROR(L_100km_to_mpg/B158, "")</f>
        <v/>
      </c>
      <c r="P158" s="69">
        <f t="shared" ref="P158:P173" si="210">IFERROR(L_100km_to_mpg/C158, "")</f>
        <v>2.1403167845713549</v>
      </c>
      <c r="Q158" s="69">
        <f t="shared" ref="Q158:Q173" si="211">IFERROR(L_100km_to_mpg/D158, "")</f>
        <v>2.0170528389233877</v>
      </c>
      <c r="R158" s="69">
        <f t="shared" ref="R158:R173" si="212">IFERROR(L_100km_to_mpg/E158, "")</f>
        <v>2.4461945295543668</v>
      </c>
      <c r="S158" s="69">
        <f t="shared" ref="S158:S173" si="213">IFERROR(L_100km_to_mpg/F158, "")</f>
        <v>2.3593118217589106</v>
      </c>
      <c r="T158" s="69">
        <f t="shared" ref="T158:T173" si="214">IFERROR(L_100km_to_mpg/G158, "")</f>
        <v>2.3235668128960429</v>
      </c>
      <c r="U158" s="69">
        <f t="shared" ref="U158:U173" si="215">IFERROR(L_100km_to_mpg/H158, "")</f>
        <v>2.3280629347540454</v>
      </c>
      <c r="V158" s="69">
        <f t="shared" ref="V158:V173" si="216">IFERROR(L_100km_to_mpg/I158, "")</f>
        <v>2.3320792891429356</v>
      </c>
      <c r="W158" s="69">
        <f t="shared" ref="W158:W173" si="217">IFERROR(L_100km_to_mpg/J158, "")</f>
        <v>2.3333361497042491</v>
      </c>
      <c r="X158" s="69">
        <f>IFERROR(L_100km_to_mpg/K158, "")</f>
        <v>2.3333705693788165</v>
      </c>
      <c r="Y158" s="27">
        <v>2E-3</v>
      </c>
      <c r="AA158" t="s">
        <v>240</v>
      </c>
      <c r="AB158" t="s">
        <v>491</v>
      </c>
      <c r="AC158" s="69">
        <f>AVERAGE(O166:O173)</f>
        <v>2.3184706533101127</v>
      </c>
      <c r="AD158" s="69">
        <f t="shared" ref="AD158" si="218">AVERAGE(P166:P173)</f>
        <v>2.737634143643394</v>
      </c>
      <c r="AE158" s="69" t="e">
        <f t="shared" ref="AE158" si="219">AVERAGE(Q166:Q173)</f>
        <v>#DIV/0!</v>
      </c>
      <c r="AF158" s="69" t="e">
        <f t="shared" ref="AF158" si="220">AVERAGE(R166:R173)</f>
        <v>#DIV/0!</v>
      </c>
      <c r="AG158" s="69" t="e">
        <f t="shared" ref="AG158" si="221">AVERAGE(S166:S173)</f>
        <v>#DIV/0!</v>
      </c>
      <c r="AH158" s="69" t="e">
        <f t="shared" ref="AH158" si="222">AVERAGE(T166:T173)</f>
        <v>#DIV/0!</v>
      </c>
      <c r="AI158" s="69" t="e">
        <f t="shared" ref="AI158" si="223">AVERAGE(U166:U173)</f>
        <v>#DIV/0!</v>
      </c>
      <c r="AJ158" s="69" t="e">
        <f t="shared" ref="AJ158" si="224">AVERAGE(V166:V173)</f>
        <v>#DIV/0!</v>
      </c>
      <c r="AK158" s="69" t="e">
        <f t="shared" ref="AK158" si="225">AVERAGE(W166:W173)</f>
        <v>#DIV/0!</v>
      </c>
      <c r="AL158" s="69" t="e">
        <f t="shared" ref="AL158" si="226">AVERAGE(X166:X173)</f>
        <v>#DIV/0!</v>
      </c>
    </row>
    <row r="159" spans="1:38" x14ac:dyDescent="0.25">
      <c r="A159" s="71" t="s">
        <v>472</v>
      </c>
      <c r="B159" s="108">
        <v>142.85192900000001</v>
      </c>
      <c r="C159" s="106">
        <v>99.528694000000002</v>
      </c>
      <c r="D159" s="106">
        <v>104.242447</v>
      </c>
      <c r="E159" s="69">
        <v>96.764488</v>
      </c>
      <c r="F159" s="69">
        <v>99.947059999999993</v>
      </c>
      <c r="G159" s="69">
        <v>101.521027</v>
      </c>
      <c r="H159" s="69">
        <v>101.50949900000001</v>
      </c>
      <c r="I159" s="69">
        <v>101.509399</v>
      </c>
      <c r="J159" s="69">
        <v>101.50762899999999</v>
      </c>
      <c r="K159" s="69">
        <v>101.509331</v>
      </c>
      <c r="L159" s="27">
        <v>2E-3</v>
      </c>
      <c r="N159" s="71" t="s">
        <v>472</v>
      </c>
      <c r="O159" s="69">
        <f t="shared" si="209"/>
        <v>1.6465659294067223</v>
      </c>
      <c r="P159" s="69">
        <f t="shared" si="210"/>
        <v>2.3632895177086133</v>
      </c>
      <c r="Q159" s="69">
        <f t="shared" si="211"/>
        <v>2.2564236163933118</v>
      </c>
      <c r="R159" s="69">
        <f t="shared" si="212"/>
        <v>2.4308000187158343</v>
      </c>
      <c r="S159" s="69">
        <f t="shared" si="213"/>
        <v>2.3533970808288722</v>
      </c>
      <c r="T159" s="69">
        <f t="shared" si="214"/>
        <v>2.3169103602687957</v>
      </c>
      <c r="U159" s="69">
        <f t="shared" si="215"/>
        <v>2.3171734818770817</v>
      </c>
      <c r="V159" s="69">
        <f t="shared" si="216"/>
        <v>2.3171757645952384</v>
      </c>
      <c r="W159" s="69">
        <f t="shared" si="217"/>
        <v>2.3172161694509499</v>
      </c>
      <c r="X159" s="69">
        <f t="shared" ref="X159:X173" si="227">IFERROR(L_100km_to_mpg/K159, "")</f>
        <v>2.3171773168461542</v>
      </c>
      <c r="Y159" s="27">
        <v>2E-3</v>
      </c>
    </row>
    <row r="160" spans="1:38" x14ac:dyDescent="0.25">
      <c r="A160" s="71" t="s">
        <v>473</v>
      </c>
      <c r="B160" s="108">
        <v>0</v>
      </c>
      <c r="C160" s="106">
        <v>104.755493</v>
      </c>
      <c r="D160" s="106">
        <v>112.449654</v>
      </c>
      <c r="E160" s="69">
        <v>94.030945000000003</v>
      </c>
      <c r="F160" s="69">
        <v>96.642189000000002</v>
      </c>
      <c r="G160" s="69">
        <v>98.165267999999998</v>
      </c>
      <c r="H160" s="69">
        <v>98.226768000000007</v>
      </c>
      <c r="I160" s="69">
        <v>98.333786000000003</v>
      </c>
      <c r="J160" s="69">
        <v>98.363975999999994</v>
      </c>
      <c r="K160" s="69">
        <v>98.332901000000007</v>
      </c>
      <c r="L160" s="27">
        <v>2E-3</v>
      </c>
      <c r="N160" s="71" t="s">
        <v>473</v>
      </c>
      <c r="O160" s="69" t="str">
        <f t="shared" si="209"/>
        <v/>
      </c>
      <c r="P160" s="69">
        <f t="shared" si="210"/>
        <v>2.2453726530734586</v>
      </c>
      <c r="Q160" s="69">
        <f t="shared" si="211"/>
        <v>2.0917371541350245</v>
      </c>
      <c r="R160" s="69">
        <f t="shared" si="212"/>
        <v>2.5014650149631925</v>
      </c>
      <c r="S160" s="69">
        <f t="shared" si="213"/>
        <v>2.4338761536271507</v>
      </c>
      <c r="T160" s="69">
        <f t="shared" si="214"/>
        <v>2.3961134526870356</v>
      </c>
      <c r="U160" s="69">
        <f t="shared" si="215"/>
        <v>2.3946132406741523</v>
      </c>
      <c r="V160" s="69">
        <f t="shared" si="216"/>
        <v>2.3920071504358442</v>
      </c>
      <c r="W160" s="69">
        <f t="shared" si="217"/>
        <v>2.3912729924767189</v>
      </c>
      <c r="X160" s="69">
        <f t="shared" si="227"/>
        <v>2.392028678594849</v>
      </c>
      <c r="Y160" s="27">
        <v>2E-3</v>
      </c>
    </row>
    <row r="161" spans="1:38" x14ac:dyDescent="0.25">
      <c r="A161" s="71" t="s">
        <v>474</v>
      </c>
      <c r="B161" s="108">
        <v>0</v>
      </c>
      <c r="C161" s="106">
        <v>95.250373999999994</v>
      </c>
      <c r="D161" s="106">
        <v>110.291832</v>
      </c>
      <c r="E161" s="69">
        <v>95.880591999999993</v>
      </c>
      <c r="F161" s="69">
        <v>99.228294000000005</v>
      </c>
      <c r="G161" s="69">
        <v>100.773651</v>
      </c>
      <c r="H161" s="69">
        <v>100.70549800000001</v>
      </c>
      <c r="I161" s="69">
        <v>100.554298</v>
      </c>
      <c r="J161" s="69">
        <v>100.493309</v>
      </c>
      <c r="K161" s="69">
        <v>100.436409</v>
      </c>
      <c r="L161" s="27">
        <v>2E-3</v>
      </c>
      <c r="N161" s="71" t="s">
        <v>474</v>
      </c>
      <c r="O161" s="69" t="str">
        <f t="shared" si="209"/>
        <v/>
      </c>
      <c r="P161" s="69">
        <f t="shared" si="210"/>
        <v>2.4694403744958331</v>
      </c>
      <c r="Q161" s="69">
        <f t="shared" si="211"/>
        <v>2.132661276688451</v>
      </c>
      <c r="R161" s="69">
        <f t="shared" si="212"/>
        <v>2.453208875070652</v>
      </c>
      <c r="S161" s="69">
        <f t="shared" si="213"/>
        <v>2.3704440513854661</v>
      </c>
      <c r="T161" s="69">
        <f t="shared" si="214"/>
        <v>2.3340934550582886</v>
      </c>
      <c r="U161" s="69">
        <f t="shared" si="215"/>
        <v>2.3356730656495848</v>
      </c>
      <c r="V161" s="69">
        <f t="shared" si="216"/>
        <v>2.339185135989196</v>
      </c>
      <c r="W161" s="69">
        <f t="shared" si="217"/>
        <v>2.3406047783880632</v>
      </c>
      <c r="X161" s="69">
        <f t="shared" si="227"/>
        <v>2.3419307956483006</v>
      </c>
      <c r="Y161" s="27">
        <v>2E-3</v>
      </c>
    </row>
    <row r="162" spans="1:38" x14ac:dyDescent="0.25">
      <c r="A162" s="71" t="s">
        <v>475</v>
      </c>
      <c r="B162" s="108">
        <v>0</v>
      </c>
      <c r="C162" s="106">
        <v>0</v>
      </c>
      <c r="D162" s="106">
        <v>0</v>
      </c>
      <c r="E162" s="69">
        <v>0</v>
      </c>
      <c r="F162" s="69">
        <v>0</v>
      </c>
      <c r="G162" s="69">
        <v>0</v>
      </c>
      <c r="H162" s="69">
        <v>0</v>
      </c>
      <c r="I162" s="69">
        <v>0</v>
      </c>
      <c r="J162" s="69">
        <v>0</v>
      </c>
      <c r="K162" s="69">
        <v>0</v>
      </c>
      <c r="L162" s="27" t="s">
        <v>264</v>
      </c>
      <c r="N162" s="71" t="s">
        <v>475</v>
      </c>
      <c r="O162" s="69" t="str">
        <f t="shared" si="209"/>
        <v/>
      </c>
      <c r="P162" s="69" t="str">
        <f t="shared" si="210"/>
        <v/>
      </c>
      <c r="Q162" s="69" t="str">
        <f t="shared" si="211"/>
        <v/>
      </c>
      <c r="R162" s="69" t="str">
        <f t="shared" si="212"/>
        <v/>
      </c>
      <c r="S162" s="69" t="str">
        <f t="shared" si="213"/>
        <v/>
      </c>
      <c r="T162" s="69" t="str">
        <f t="shared" si="214"/>
        <v/>
      </c>
      <c r="U162" s="69" t="str">
        <f t="shared" si="215"/>
        <v/>
      </c>
      <c r="V162" s="69" t="str">
        <f t="shared" si="216"/>
        <v/>
      </c>
      <c r="W162" s="69" t="str">
        <f t="shared" si="217"/>
        <v/>
      </c>
      <c r="X162" s="69" t="str">
        <f t="shared" si="227"/>
        <v/>
      </c>
      <c r="Y162" s="27" t="s">
        <v>264</v>
      </c>
    </row>
    <row r="163" spans="1:38" x14ac:dyDescent="0.25">
      <c r="A163" s="71" t="s">
        <v>476</v>
      </c>
      <c r="B163" s="108">
        <v>0</v>
      </c>
      <c r="C163" s="106">
        <v>99.723206000000005</v>
      </c>
      <c r="D163" s="106">
        <v>111.40428900000001</v>
      </c>
      <c r="E163" s="69">
        <v>95.456260999999998</v>
      </c>
      <c r="F163" s="69">
        <v>98.660483999999997</v>
      </c>
      <c r="G163" s="69">
        <v>100.197433</v>
      </c>
      <c r="H163" s="69">
        <v>100.181145</v>
      </c>
      <c r="I163" s="69">
        <v>100.21663700000001</v>
      </c>
      <c r="J163" s="69">
        <v>100.232086</v>
      </c>
      <c r="K163" s="69">
        <v>100.250938</v>
      </c>
      <c r="L163" s="27">
        <v>2E-3</v>
      </c>
      <c r="N163" s="71" t="s">
        <v>476</v>
      </c>
      <c r="O163" s="69" t="str">
        <f t="shared" si="209"/>
        <v/>
      </c>
      <c r="P163" s="69">
        <f t="shared" si="210"/>
        <v>2.3586798767924502</v>
      </c>
      <c r="Q163" s="69">
        <f t="shared" si="211"/>
        <v>2.11136502331098</v>
      </c>
      <c r="R163" s="69">
        <f t="shared" si="212"/>
        <v>2.4641141060556326</v>
      </c>
      <c r="S163" s="69">
        <f t="shared" si="213"/>
        <v>2.3840864113481155</v>
      </c>
      <c r="T163" s="69">
        <f t="shared" si="214"/>
        <v>2.3475164203201508</v>
      </c>
      <c r="U163" s="69">
        <f t="shared" si="215"/>
        <v>2.3478980924147765</v>
      </c>
      <c r="V163" s="69">
        <f t="shared" si="216"/>
        <v>2.3470665777921496</v>
      </c>
      <c r="W163" s="69">
        <f t="shared" si="217"/>
        <v>2.3467048190678996</v>
      </c>
      <c r="X163" s="69">
        <f t="shared" si="227"/>
        <v>2.3462635256482898</v>
      </c>
      <c r="Y163" s="27">
        <v>2E-3</v>
      </c>
    </row>
    <row r="164" spans="1:38" x14ac:dyDescent="0.25">
      <c r="A164" s="71" t="s">
        <v>477</v>
      </c>
      <c r="C164" s="106">
        <v>98.911356076514863</v>
      </c>
      <c r="D164" s="106">
        <v>105.597176</v>
      </c>
      <c r="E164" s="69">
        <v>96.368865999999997</v>
      </c>
      <c r="F164" s="69">
        <v>99.878281000000001</v>
      </c>
      <c r="G164" s="69">
        <v>101.39812499999999</v>
      </c>
      <c r="H164" s="69">
        <v>101.251312</v>
      </c>
      <c r="I164" s="69">
        <v>101.073723</v>
      </c>
      <c r="J164" s="69">
        <v>101.015106</v>
      </c>
      <c r="K164" s="69">
        <v>100.96221199999999</v>
      </c>
      <c r="L164" s="27">
        <v>2E-3</v>
      </c>
      <c r="N164" s="71" t="s">
        <v>477</v>
      </c>
      <c r="O164" s="69" t="str">
        <f t="shared" si="209"/>
        <v/>
      </c>
      <c r="P164" s="69">
        <f t="shared" si="210"/>
        <v>2.3780395757537969</v>
      </c>
      <c r="Q164" s="69">
        <f t="shared" si="211"/>
        <v>2.2274754700014716</v>
      </c>
      <c r="R164" s="69">
        <f t="shared" si="212"/>
        <v>2.4407791541453663</v>
      </c>
      <c r="S164" s="69">
        <f t="shared" si="213"/>
        <v>2.3550176964041674</v>
      </c>
      <c r="T164" s="69">
        <f t="shared" si="214"/>
        <v>2.319718626369355</v>
      </c>
      <c r="U164" s="69">
        <f t="shared" si="215"/>
        <v>2.3230821862478992</v>
      </c>
      <c r="V164" s="69">
        <f t="shared" si="216"/>
        <v>2.3271638983895757</v>
      </c>
      <c r="W164" s="69">
        <f t="shared" si="217"/>
        <v>2.3285143040034839</v>
      </c>
      <c r="X164" s="69">
        <f t="shared" si="227"/>
        <v>2.329734210274911</v>
      </c>
      <c r="Y164" s="27">
        <v>2E-3</v>
      </c>
    </row>
    <row r="165" spans="1:38" x14ac:dyDescent="0.25">
      <c r="A165" s="71" t="s">
        <v>478</v>
      </c>
      <c r="C165" s="106">
        <v>86.97771279108656</v>
      </c>
      <c r="D165" s="106">
        <v>91.745948999999996</v>
      </c>
      <c r="E165" s="69">
        <v>89.625998999999993</v>
      </c>
      <c r="F165" s="69">
        <v>90.701576000000003</v>
      </c>
      <c r="G165" s="69">
        <v>92.062004000000002</v>
      </c>
      <c r="H165" s="69">
        <v>92.454612999999995</v>
      </c>
      <c r="I165" s="69">
        <v>92.774474999999995</v>
      </c>
      <c r="J165" s="69">
        <v>92.818718000000004</v>
      </c>
      <c r="K165" s="69">
        <v>92.862449999999995</v>
      </c>
      <c r="L165" s="27">
        <v>1E-3</v>
      </c>
      <c r="N165" s="71" t="s">
        <v>478</v>
      </c>
      <c r="O165" s="69" t="str">
        <f t="shared" si="209"/>
        <v/>
      </c>
      <c r="P165" s="69">
        <f t="shared" si="210"/>
        <v>2.7043148375997865</v>
      </c>
      <c r="Q165" s="69">
        <f t="shared" si="211"/>
        <v>2.5637657226852397</v>
      </c>
      <c r="R165" s="69">
        <f t="shared" si="212"/>
        <v>2.6244072240849237</v>
      </c>
      <c r="S165" s="69">
        <f t="shared" si="213"/>
        <v>2.5932859120488505</v>
      </c>
      <c r="T165" s="69">
        <f t="shared" si="214"/>
        <v>2.5549641439635415</v>
      </c>
      <c r="U165" s="69">
        <f t="shared" si="215"/>
        <v>2.5441144752985787</v>
      </c>
      <c r="V165" s="69">
        <f t="shared" si="216"/>
        <v>2.5353430374187313</v>
      </c>
      <c r="W165" s="69">
        <f t="shared" si="217"/>
        <v>2.5341345399903945</v>
      </c>
      <c r="X165" s="69">
        <f t="shared" si="227"/>
        <v>2.5329411321952864</v>
      </c>
      <c r="Y165" s="27">
        <v>1E-3</v>
      </c>
    </row>
    <row r="166" spans="1:38" x14ac:dyDescent="0.25">
      <c r="A166" s="71" t="s">
        <v>479</v>
      </c>
      <c r="B166" s="108">
        <v>0</v>
      </c>
      <c r="C166" s="106">
        <v>0</v>
      </c>
      <c r="D166" s="106">
        <v>0</v>
      </c>
      <c r="E166" s="69">
        <v>0</v>
      </c>
      <c r="F166" s="69">
        <v>0</v>
      </c>
      <c r="G166" s="69">
        <v>0</v>
      </c>
      <c r="H166" s="69">
        <v>0</v>
      </c>
      <c r="I166" s="69">
        <v>0</v>
      </c>
      <c r="J166" s="69">
        <v>0</v>
      </c>
      <c r="K166" s="69">
        <v>0</v>
      </c>
      <c r="L166" s="27" t="s">
        <v>264</v>
      </c>
      <c r="N166" s="71" t="s">
        <v>479</v>
      </c>
      <c r="O166" s="69" t="str">
        <f t="shared" si="209"/>
        <v/>
      </c>
      <c r="P166" s="69" t="str">
        <f t="shared" si="210"/>
        <v/>
      </c>
      <c r="Q166" s="69" t="str">
        <f t="shared" si="211"/>
        <v/>
      </c>
      <c r="R166" s="69" t="str">
        <f t="shared" si="212"/>
        <v/>
      </c>
      <c r="S166" s="69" t="str">
        <f t="shared" si="213"/>
        <v/>
      </c>
      <c r="T166" s="69" t="str">
        <f t="shared" si="214"/>
        <v/>
      </c>
      <c r="U166" s="69" t="str">
        <f t="shared" si="215"/>
        <v/>
      </c>
      <c r="V166" s="69" t="str">
        <f t="shared" si="216"/>
        <v/>
      </c>
      <c r="W166" s="69" t="str">
        <f t="shared" si="217"/>
        <v/>
      </c>
      <c r="X166" s="69" t="str">
        <f t="shared" si="227"/>
        <v/>
      </c>
      <c r="Y166" s="27" t="s">
        <v>264</v>
      </c>
    </row>
    <row r="167" spans="1:38" x14ac:dyDescent="0.25">
      <c r="A167" s="71" t="s">
        <v>480</v>
      </c>
      <c r="B167" s="108">
        <v>0</v>
      </c>
      <c r="C167" s="106">
        <v>0</v>
      </c>
      <c r="D167" s="106">
        <v>0</v>
      </c>
      <c r="E167" s="69">
        <v>0</v>
      </c>
      <c r="F167" s="69">
        <v>0</v>
      </c>
      <c r="G167" s="69">
        <v>0</v>
      </c>
      <c r="H167" s="69">
        <v>0</v>
      </c>
      <c r="I167" s="69">
        <v>0</v>
      </c>
      <c r="J167" s="69">
        <v>0</v>
      </c>
      <c r="K167" s="69">
        <v>0</v>
      </c>
      <c r="L167" s="27" t="s">
        <v>264</v>
      </c>
      <c r="N167" s="71" t="s">
        <v>480</v>
      </c>
      <c r="O167" s="69" t="str">
        <f t="shared" si="209"/>
        <v/>
      </c>
      <c r="P167" s="69" t="str">
        <f t="shared" si="210"/>
        <v/>
      </c>
      <c r="Q167" s="69" t="str">
        <f t="shared" si="211"/>
        <v/>
      </c>
      <c r="R167" s="69" t="str">
        <f t="shared" si="212"/>
        <v/>
      </c>
      <c r="S167" s="69" t="str">
        <f t="shared" si="213"/>
        <v/>
      </c>
      <c r="T167" s="69" t="str">
        <f t="shared" si="214"/>
        <v/>
      </c>
      <c r="U167" s="69" t="str">
        <f t="shared" si="215"/>
        <v/>
      </c>
      <c r="V167" s="69" t="str">
        <f t="shared" si="216"/>
        <v/>
      </c>
      <c r="W167" s="69" t="str">
        <f t="shared" si="217"/>
        <v/>
      </c>
      <c r="X167" s="69" t="str">
        <f t="shared" si="227"/>
        <v/>
      </c>
      <c r="Y167" s="27" t="s">
        <v>264</v>
      </c>
    </row>
    <row r="168" spans="1:38" x14ac:dyDescent="0.25">
      <c r="A168" s="71" t="s">
        <v>481</v>
      </c>
      <c r="B168" s="108">
        <v>0</v>
      </c>
      <c r="C168" s="106">
        <v>0</v>
      </c>
      <c r="D168" s="106">
        <v>0</v>
      </c>
      <c r="E168" s="69">
        <v>0</v>
      </c>
      <c r="F168" s="69">
        <v>0</v>
      </c>
      <c r="G168" s="69">
        <v>0</v>
      </c>
      <c r="H168" s="69">
        <v>0</v>
      </c>
      <c r="I168" s="69">
        <v>0</v>
      </c>
      <c r="J168" s="69">
        <v>0</v>
      </c>
      <c r="K168" s="69">
        <v>0</v>
      </c>
      <c r="L168" s="27" t="s">
        <v>264</v>
      </c>
      <c r="N168" s="71" t="s">
        <v>481</v>
      </c>
      <c r="O168" s="69" t="str">
        <f t="shared" si="209"/>
        <v/>
      </c>
      <c r="P168" s="69" t="str">
        <f t="shared" si="210"/>
        <v/>
      </c>
      <c r="Q168" s="69" t="str">
        <f t="shared" si="211"/>
        <v/>
      </c>
      <c r="R168" s="69" t="str">
        <f t="shared" si="212"/>
        <v/>
      </c>
      <c r="S168" s="69" t="str">
        <f t="shared" si="213"/>
        <v/>
      </c>
      <c r="T168" s="69" t="str">
        <f t="shared" si="214"/>
        <v/>
      </c>
      <c r="U168" s="69" t="str">
        <f t="shared" si="215"/>
        <v/>
      </c>
      <c r="V168" s="69" t="str">
        <f t="shared" si="216"/>
        <v/>
      </c>
      <c r="W168" s="69" t="str">
        <f t="shared" si="217"/>
        <v/>
      </c>
      <c r="X168" s="69" t="str">
        <f t="shared" si="227"/>
        <v/>
      </c>
      <c r="Y168" s="27" t="s">
        <v>264</v>
      </c>
    </row>
    <row r="169" spans="1:38" x14ac:dyDescent="0.25">
      <c r="A169" s="71" t="s">
        <v>482</v>
      </c>
      <c r="B169" s="108">
        <v>0</v>
      </c>
      <c r="C169" s="106">
        <v>0</v>
      </c>
      <c r="D169" s="106">
        <v>0</v>
      </c>
      <c r="E169" s="69">
        <v>0</v>
      </c>
      <c r="F169" s="69">
        <v>0</v>
      </c>
      <c r="G169" s="69">
        <v>0</v>
      </c>
      <c r="H169" s="69">
        <v>0</v>
      </c>
      <c r="I169" s="69">
        <v>0</v>
      </c>
      <c r="J169" s="69">
        <v>0</v>
      </c>
      <c r="K169" s="69">
        <v>0</v>
      </c>
      <c r="L169" s="27" t="s">
        <v>264</v>
      </c>
      <c r="N169" s="71" t="s">
        <v>482</v>
      </c>
      <c r="O169" s="69" t="str">
        <f t="shared" si="209"/>
        <v/>
      </c>
      <c r="P169" s="69" t="str">
        <f t="shared" si="210"/>
        <v/>
      </c>
      <c r="Q169" s="69" t="str">
        <f t="shared" si="211"/>
        <v/>
      </c>
      <c r="R169" s="69" t="str">
        <f t="shared" si="212"/>
        <v/>
      </c>
      <c r="S169" s="69" t="str">
        <f t="shared" si="213"/>
        <v/>
      </c>
      <c r="T169" s="69" t="str">
        <f t="shared" si="214"/>
        <v/>
      </c>
      <c r="U169" s="69" t="str">
        <f t="shared" si="215"/>
        <v/>
      </c>
      <c r="V169" s="69" t="str">
        <f t="shared" si="216"/>
        <v/>
      </c>
      <c r="W169" s="69" t="str">
        <f t="shared" si="217"/>
        <v/>
      </c>
      <c r="X169" s="69" t="str">
        <f t="shared" si="227"/>
        <v/>
      </c>
      <c r="Y169" s="27" t="s">
        <v>264</v>
      </c>
    </row>
    <row r="170" spans="1:38" x14ac:dyDescent="0.25">
      <c r="A170" s="71" t="s">
        <v>483</v>
      </c>
      <c r="B170" s="108">
        <v>101.45270499999999</v>
      </c>
      <c r="C170" s="106">
        <v>85.919121000000004</v>
      </c>
      <c r="D170" s="106">
        <v>0</v>
      </c>
      <c r="E170" s="69">
        <v>0</v>
      </c>
      <c r="F170" s="69">
        <v>0</v>
      </c>
      <c r="G170" s="69">
        <v>0</v>
      </c>
      <c r="H170" s="69">
        <v>0</v>
      </c>
      <c r="I170" s="69">
        <v>0</v>
      </c>
      <c r="J170" s="69">
        <v>0</v>
      </c>
      <c r="K170" s="69">
        <v>0</v>
      </c>
      <c r="L170" s="27" t="s">
        <v>264</v>
      </c>
      <c r="N170" s="71" t="s">
        <v>483</v>
      </c>
      <c r="O170" s="69">
        <f t="shared" si="209"/>
        <v>2.3184706533101127</v>
      </c>
      <c r="P170" s="69">
        <f t="shared" si="210"/>
        <v>2.737634143643394</v>
      </c>
      <c r="Q170" s="69" t="str">
        <f t="shared" si="211"/>
        <v/>
      </c>
      <c r="R170" s="69" t="str">
        <f t="shared" si="212"/>
        <v/>
      </c>
      <c r="S170" s="69" t="str">
        <f t="shared" si="213"/>
        <v/>
      </c>
      <c r="T170" s="69" t="str">
        <f t="shared" si="214"/>
        <v/>
      </c>
      <c r="U170" s="69" t="str">
        <f t="shared" si="215"/>
        <v/>
      </c>
      <c r="V170" s="69" t="str">
        <f t="shared" si="216"/>
        <v/>
      </c>
      <c r="W170" s="69" t="str">
        <f t="shared" si="217"/>
        <v/>
      </c>
      <c r="X170" s="69" t="str">
        <f t="shared" si="227"/>
        <v/>
      </c>
      <c r="Y170" s="27" t="s">
        <v>264</v>
      </c>
    </row>
    <row r="171" spans="1:38" x14ac:dyDescent="0.25">
      <c r="A171" s="71" t="s">
        <v>484</v>
      </c>
      <c r="B171" s="108">
        <v>0</v>
      </c>
      <c r="C171" s="106">
        <v>0</v>
      </c>
      <c r="D171" s="106">
        <v>0</v>
      </c>
      <c r="E171" s="69">
        <v>0</v>
      </c>
      <c r="F171" s="69">
        <v>0</v>
      </c>
      <c r="G171" s="69">
        <v>0</v>
      </c>
      <c r="H171" s="69">
        <v>0</v>
      </c>
      <c r="I171" s="69">
        <v>0</v>
      </c>
      <c r="J171" s="69">
        <v>0</v>
      </c>
      <c r="K171" s="69">
        <v>0</v>
      </c>
      <c r="L171" s="27" t="s">
        <v>264</v>
      </c>
      <c r="N171" s="71" t="s">
        <v>484</v>
      </c>
      <c r="O171" s="69" t="str">
        <f t="shared" si="209"/>
        <v/>
      </c>
      <c r="P171" s="69" t="str">
        <f t="shared" si="210"/>
        <v/>
      </c>
      <c r="Q171" s="69" t="str">
        <f t="shared" si="211"/>
        <v/>
      </c>
      <c r="R171" s="69" t="str">
        <f t="shared" si="212"/>
        <v/>
      </c>
      <c r="S171" s="69" t="str">
        <f t="shared" si="213"/>
        <v/>
      </c>
      <c r="T171" s="69" t="str">
        <f t="shared" si="214"/>
        <v/>
      </c>
      <c r="U171" s="69" t="str">
        <f t="shared" si="215"/>
        <v/>
      </c>
      <c r="V171" s="69" t="str">
        <f t="shared" si="216"/>
        <v/>
      </c>
      <c r="W171" s="69" t="str">
        <f t="shared" si="217"/>
        <v/>
      </c>
      <c r="X171" s="69" t="str">
        <f t="shared" si="227"/>
        <v/>
      </c>
      <c r="Y171" s="27" t="s">
        <v>264</v>
      </c>
    </row>
    <row r="172" spans="1:38" x14ac:dyDescent="0.25">
      <c r="A172" s="71" t="s">
        <v>485</v>
      </c>
      <c r="D172" s="106">
        <v>0</v>
      </c>
      <c r="E172" s="69">
        <v>0</v>
      </c>
      <c r="F172" s="69">
        <v>0</v>
      </c>
      <c r="G172" s="69">
        <v>0</v>
      </c>
      <c r="H172" s="69">
        <v>0</v>
      </c>
      <c r="I172" s="69">
        <v>0</v>
      </c>
      <c r="J172" s="69">
        <v>0</v>
      </c>
      <c r="K172" s="69">
        <v>0</v>
      </c>
      <c r="L172" s="27" t="s">
        <v>264</v>
      </c>
      <c r="N172" s="71" t="s">
        <v>485</v>
      </c>
      <c r="O172" s="69" t="str">
        <f t="shared" si="209"/>
        <v/>
      </c>
      <c r="P172" s="69" t="str">
        <f t="shared" si="210"/>
        <v/>
      </c>
      <c r="Q172" s="69" t="str">
        <f t="shared" si="211"/>
        <v/>
      </c>
      <c r="R172" s="69" t="str">
        <f t="shared" si="212"/>
        <v/>
      </c>
      <c r="S172" s="69" t="str">
        <f t="shared" si="213"/>
        <v/>
      </c>
      <c r="T172" s="69" t="str">
        <f t="shared" si="214"/>
        <v/>
      </c>
      <c r="U172" s="69" t="str">
        <f t="shared" si="215"/>
        <v/>
      </c>
      <c r="V172" s="69" t="str">
        <f t="shared" si="216"/>
        <v/>
      </c>
      <c r="W172" s="69" t="str">
        <f t="shared" si="217"/>
        <v/>
      </c>
      <c r="X172" s="69" t="str">
        <f t="shared" si="227"/>
        <v/>
      </c>
      <c r="Y172" s="27" t="s">
        <v>264</v>
      </c>
    </row>
    <row r="173" spans="1:38" x14ac:dyDescent="0.25">
      <c r="A173" s="71" t="s">
        <v>486</v>
      </c>
      <c r="D173" s="106">
        <v>0</v>
      </c>
      <c r="E173" s="69">
        <v>0</v>
      </c>
      <c r="F173" s="69">
        <v>0</v>
      </c>
      <c r="G173" s="69">
        <v>0</v>
      </c>
      <c r="H173" s="69">
        <v>0</v>
      </c>
      <c r="I173" s="69">
        <v>0</v>
      </c>
      <c r="J173" s="69">
        <v>0</v>
      </c>
      <c r="K173" s="69">
        <v>0</v>
      </c>
      <c r="L173" s="27" t="s">
        <v>264</v>
      </c>
      <c r="N173" s="71" t="s">
        <v>486</v>
      </c>
      <c r="O173" s="69" t="str">
        <f t="shared" si="209"/>
        <v/>
      </c>
      <c r="P173" s="69" t="str">
        <f t="shared" si="210"/>
        <v/>
      </c>
      <c r="Q173" s="69" t="str">
        <f t="shared" si="211"/>
        <v/>
      </c>
      <c r="R173" s="69" t="str">
        <f t="shared" si="212"/>
        <v/>
      </c>
      <c r="S173" s="69" t="str">
        <f t="shared" si="213"/>
        <v/>
      </c>
      <c r="T173" s="69" t="str">
        <f t="shared" si="214"/>
        <v/>
      </c>
      <c r="U173" s="69" t="str">
        <f t="shared" si="215"/>
        <v/>
      </c>
      <c r="V173" s="69" t="str">
        <f t="shared" si="216"/>
        <v/>
      </c>
      <c r="W173" s="69" t="str">
        <f t="shared" si="217"/>
        <v/>
      </c>
      <c r="X173" s="69" t="str">
        <f t="shared" si="227"/>
        <v/>
      </c>
      <c r="Y173" s="27" t="s">
        <v>264</v>
      </c>
    </row>
    <row r="174" spans="1:38" x14ac:dyDescent="0.25">
      <c r="A174" t="s">
        <v>464</v>
      </c>
      <c r="L174" s="27"/>
      <c r="N174" t="s">
        <v>464</v>
      </c>
      <c r="O174" s="69"/>
      <c r="P174" s="69"/>
      <c r="Q174" s="69"/>
      <c r="R174" s="69"/>
      <c r="S174" s="69"/>
      <c r="T174" s="69"/>
      <c r="U174" s="69"/>
      <c r="V174" s="69"/>
      <c r="W174" s="69"/>
      <c r="X174" s="69"/>
      <c r="Y174" s="27"/>
      <c r="AA174" t="s">
        <v>8</v>
      </c>
      <c r="AB174" t="s">
        <v>492</v>
      </c>
      <c r="AC174" s="69">
        <f>AVERAGE(O175:O182)</f>
        <v>3.409376964544268</v>
      </c>
      <c r="AD174" s="69">
        <f t="shared" ref="AD174" si="228">AVERAGE(P175:P182)</f>
        <v>2.2973613393061814</v>
      </c>
      <c r="AE174" s="69">
        <f t="shared" ref="AE174" si="229">AVERAGE(Q175:Q182)</f>
        <v>1.9884387119282876</v>
      </c>
      <c r="AF174" s="69">
        <f t="shared" ref="AF174" si="230">AVERAGE(R175:R182)</f>
        <v>2.3525747972145128</v>
      </c>
      <c r="AG174" s="69">
        <f t="shared" ref="AG174" si="231">AVERAGE(S175:S182)</f>
        <v>2.305636660104029</v>
      </c>
      <c r="AH174" s="69">
        <f t="shared" ref="AH174" si="232">AVERAGE(T175:T182)</f>
        <v>2.2682429324625688</v>
      </c>
      <c r="AI174" s="69">
        <f t="shared" ref="AI174" si="233">AVERAGE(U175:U182)</f>
        <v>2.2603247041755514</v>
      </c>
      <c r="AJ174" s="69">
        <f t="shared" ref="AJ174" si="234">AVERAGE(V175:V182)</f>
        <v>2.2513161929989627</v>
      </c>
      <c r="AK174" s="69">
        <f t="shared" ref="AK174" si="235">AVERAGE(W175:W182)</f>
        <v>2.2484677792939642</v>
      </c>
      <c r="AL174" s="69">
        <f t="shared" ref="AL174" si="236">AVERAGE(X175:X182)</f>
        <v>2.2462105208272551</v>
      </c>
    </row>
    <row r="175" spans="1:38" x14ac:dyDescent="0.25">
      <c r="A175" s="71" t="s">
        <v>471</v>
      </c>
      <c r="B175" s="108">
        <v>0</v>
      </c>
      <c r="C175" s="106">
        <v>0</v>
      </c>
      <c r="D175" s="106">
        <v>0</v>
      </c>
      <c r="E175" s="69">
        <v>0</v>
      </c>
      <c r="F175" s="69">
        <v>0</v>
      </c>
      <c r="G175" s="69">
        <v>0</v>
      </c>
      <c r="H175" s="69">
        <v>0</v>
      </c>
      <c r="I175" s="69">
        <v>0</v>
      </c>
      <c r="J175" s="69">
        <v>0</v>
      </c>
      <c r="K175" s="69">
        <v>0</v>
      </c>
      <c r="L175" s="27" t="s">
        <v>264</v>
      </c>
      <c r="N175" s="71" t="s">
        <v>471</v>
      </c>
      <c r="O175" s="69" t="str">
        <f t="shared" ref="O175:O190" si="237">IFERROR(L_100km_to_mpg/B175, "")</f>
        <v/>
      </c>
      <c r="P175" s="69" t="str">
        <f t="shared" ref="P175:P190" si="238">IFERROR(L_100km_to_mpg/C175, "")</f>
        <v/>
      </c>
      <c r="Q175" s="69" t="str">
        <f t="shared" ref="Q175:Q190" si="239">IFERROR(L_100km_to_mpg/D175, "")</f>
        <v/>
      </c>
      <c r="R175" s="69" t="str">
        <f t="shared" ref="R175:R190" si="240">IFERROR(L_100km_to_mpg/E175, "")</f>
        <v/>
      </c>
      <c r="S175" s="69" t="str">
        <f t="shared" ref="S175:S190" si="241">IFERROR(L_100km_to_mpg/F175, "")</f>
        <v/>
      </c>
      <c r="T175" s="69" t="str">
        <f t="shared" ref="T175:T190" si="242">IFERROR(L_100km_to_mpg/G175, "")</f>
        <v/>
      </c>
      <c r="U175" s="69" t="str">
        <f t="shared" ref="U175:U190" si="243">IFERROR(L_100km_to_mpg/H175, "")</f>
        <v/>
      </c>
      <c r="V175" s="69" t="str">
        <f t="shared" ref="V175:V190" si="244">IFERROR(L_100km_to_mpg/I175, "")</f>
        <v/>
      </c>
      <c r="W175" s="69" t="str">
        <f t="shared" ref="W175:W190" si="245">IFERROR(L_100km_to_mpg/J175, "")</f>
        <v/>
      </c>
      <c r="X175" s="69" t="str">
        <f t="shared" ref="X175:X190" si="246">IFERROR(L_100km_to_mpg/K175, "")</f>
        <v/>
      </c>
      <c r="Y175" s="27" t="s">
        <v>264</v>
      </c>
      <c r="AA175" t="s">
        <v>240</v>
      </c>
      <c r="AB175" t="s">
        <v>492</v>
      </c>
      <c r="AC175" s="69" t="e">
        <f>AVERAGE(O183:O190)</f>
        <v>#DIV/0!</v>
      </c>
      <c r="AD175" s="69" t="e">
        <f t="shared" ref="AD175" si="247">AVERAGE(P183:P190)</f>
        <v>#DIV/0!</v>
      </c>
      <c r="AE175" s="69">
        <f t="shared" ref="AE175" si="248">AVERAGE(Q183:Q190)</f>
        <v>2.5542233602537219</v>
      </c>
      <c r="AF175" s="69">
        <f t="shared" ref="AF175" si="249">AVERAGE(R183:R190)</f>
        <v>3.2488725373551759</v>
      </c>
      <c r="AG175" s="69">
        <f t="shared" ref="AG175" si="250">AVERAGE(S183:S190)</f>
        <v>3.1842401759121381</v>
      </c>
      <c r="AH175" s="69">
        <f t="shared" ref="AH175" si="251">AVERAGE(T183:T190)</f>
        <v>3.1245613969924348</v>
      </c>
      <c r="AI175" s="69">
        <f t="shared" ref="AI175" si="252">AVERAGE(U183:U190)</f>
        <v>3.1135868369726416</v>
      </c>
      <c r="AJ175" s="69">
        <f t="shared" ref="AJ175" si="253">AVERAGE(V183:V190)</f>
        <v>3.1061293028163313</v>
      </c>
      <c r="AK175" s="69">
        <f t="shared" ref="AK175" si="254">AVERAGE(W183:W190)</f>
        <v>3.1036514704382934</v>
      </c>
      <c r="AL175" s="69">
        <f t="shared" ref="AL175" si="255">AVERAGE(X183:X190)</f>
        <v>3.1024603316045249</v>
      </c>
    </row>
    <row r="176" spans="1:38" x14ac:dyDescent="0.25">
      <c r="A176" s="71" t="s">
        <v>472</v>
      </c>
      <c r="B176" s="108">
        <v>0</v>
      </c>
      <c r="C176" s="106">
        <v>0</v>
      </c>
      <c r="D176" s="106">
        <v>117.829323</v>
      </c>
      <c r="E176" s="69">
        <v>99.372566000000006</v>
      </c>
      <c r="F176" s="69">
        <v>102.24896200000001</v>
      </c>
      <c r="G176" s="69">
        <v>104.178589</v>
      </c>
      <c r="H176" s="69">
        <v>104.41841100000001</v>
      </c>
      <c r="I176" s="69">
        <v>104.44297</v>
      </c>
      <c r="J176" s="69">
        <v>104.456017</v>
      </c>
      <c r="K176" s="69">
        <v>104.44465599999999</v>
      </c>
      <c r="L176" s="27">
        <v>2E-3</v>
      </c>
      <c r="N176" s="71" t="s">
        <v>472</v>
      </c>
      <c r="O176" s="69" t="str">
        <f t="shared" si="237"/>
        <v/>
      </c>
      <c r="P176" s="69" t="str">
        <f t="shared" si="238"/>
        <v/>
      </c>
      <c r="Q176" s="69">
        <f t="shared" si="239"/>
        <v>1.9962358541381768</v>
      </c>
      <c r="R176" s="69">
        <f t="shared" si="240"/>
        <v>2.3670025713276654</v>
      </c>
      <c r="S176" s="69">
        <f t="shared" si="241"/>
        <v>2.3004157170947921</v>
      </c>
      <c r="T176" s="69">
        <f t="shared" si="242"/>
        <v>2.2578067288032488</v>
      </c>
      <c r="U176" s="69">
        <f t="shared" si="243"/>
        <v>2.2526211325072563</v>
      </c>
      <c r="V176" s="69">
        <f t="shared" si="244"/>
        <v>2.2520914451343939</v>
      </c>
      <c r="W176" s="69">
        <f t="shared" si="245"/>
        <v>2.2518101493514551</v>
      </c>
      <c r="X176" s="69">
        <f t="shared" si="246"/>
        <v>2.2520550907020858</v>
      </c>
      <c r="Y176" s="27">
        <v>2E-3</v>
      </c>
    </row>
    <row r="177" spans="1:38" x14ac:dyDescent="0.25">
      <c r="A177" s="71" t="s">
        <v>473</v>
      </c>
      <c r="B177" s="108">
        <v>0</v>
      </c>
      <c r="C177" s="106">
        <v>0</v>
      </c>
      <c r="D177" s="106">
        <v>127.106262</v>
      </c>
      <c r="E177" s="69">
        <v>106.51557200000001</v>
      </c>
      <c r="F177" s="69">
        <v>108.97110000000001</v>
      </c>
      <c r="G177" s="69">
        <v>110.983238</v>
      </c>
      <c r="H177" s="69">
        <v>111.530373</v>
      </c>
      <c r="I177" s="69">
        <v>112.53022799999999</v>
      </c>
      <c r="J177" s="69">
        <v>112.858154</v>
      </c>
      <c r="K177" s="69">
        <v>113.078712</v>
      </c>
      <c r="L177" s="27">
        <v>2E-3</v>
      </c>
      <c r="N177" s="71" t="s">
        <v>473</v>
      </c>
      <c r="O177" s="69" t="str">
        <f t="shared" si="237"/>
        <v/>
      </c>
      <c r="P177" s="69" t="str">
        <f t="shared" si="238"/>
        <v/>
      </c>
      <c r="Q177" s="69">
        <f t="shared" si="239"/>
        <v>1.8505391909127824</v>
      </c>
      <c r="R177" s="69">
        <f t="shared" si="240"/>
        <v>2.2082697846417059</v>
      </c>
      <c r="S177" s="69">
        <f t="shared" si="241"/>
        <v>2.1585091757486903</v>
      </c>
      <c r="T177" s="69">
        <f t="shared" si="242"/>
        <v>2.1193751730457544</v>
      </c>
      <c r="U177" s="69">
        <f t="shared" si="243"/>
        <v>2.1089781457238392</v>
      </c>
      <c r="V177" s="69">
        <f t="shared" si="244"/>
        <v>2.0902394265248283</v>
      </c>
      <c r="W177" s="69">
        <f t="shared" si="245"/>
        <v>2.0841659278019748</v>
      </c>
      <c r="X177" s="69">
        <f t="shared" si="246"/>
        <v>2.0801007995335863</v>
      </c>
      <c r="Y177" s="27">
        <v>2E-3</v>
      </c>
    </row>
    <row r="178" spans="1:38" x14ac:dyDescent="0.25">
      <c r="A178" s="71" t="s">
        <v>474</v>
      </c>
      <c r="B178" s="108">
        <v>0</v>
      </c>
      <c r="C178" s="106">
        <v>0</v>
      </c>
      <c r="D178" s="106">
        <v>124.66720599999999</v>
      </c>
      <c r="E178" s="69">
        <v>103.57473</v>
      </c>
      <c r="F178" s="69">
        <v>105.361473</v>
      </c>
      <c r="G178" s="69">
        <v>107.075653</v>
      </c>
      <c r="H178" s="69">
        <v>107.542107</v>
      </c>
      <c r="I178" s="69">
        <v>108.240112</v>
      </c>
      <c r="J178" s="69">
        <v>108.488739</v>
      </c>
      <c r="K178" s="69">
        <v>108.72133599999999</v>
      </c>
      <c r="L178" s="27">
        <v>2E-3</v>
      </c>
      <c r="N178" s="71" t="s">
        <v>474</v>
      </c>
      <c r="O178" s="69" t="str">
        <f t="shared" si="237"/>
        <v/>
      </c>
      <c r="P178" s="69" t="str">
        <f t="shared" si="238"/>
        <v/>
      </c>
      <c r="Q178" s="69">
        <f t="shared" si="239"/>
        <v>1.8867441309419268</v>
      </c>
      <c r="R178" s="69">
        <f t="shared" si="240"/>
        <v>2.2709701414759</v>
      </c>
      <c r="S178" s="69">
        <f t="shared" si="241"/>
        <v>2.2324585310365594</v>
      </c>
      <c r="T178" s="69">
        <f t="shared" si="242"/>
        <v>2.196718980004055</v>
      </c>
      <c r="U178" s="69">
        <f t="shared" si="243"/>
        <v>2.1871909134291756</v>
      </c>
      <c r="V178" s="69">
        <f t="shared" si="244"/>
        <v>2.1730864362134819</v>
      </c>
      <c r="W178" s="69">
        <f t="shared" si="245"/>
        <v>2.1681063067884692</v>
      </c>
      <c r="X178" s="69">
        <f t="shared" si="246"/>
        <v>2.1634678885975807</v>
      </c>
      <c r="Y178" s="27">
        <v>2E-3</v>
      </c>
    </row>
    <row r="179" spans="1:38" x14ac:dyDescent="0.25">
      <c r="A179" s="71" t="s">
        <v>475</v>
      </c>
      <c r="B179" s="108">
        <v>0</v>
      </c>
      <c r="C179" s="106">
        <v>90.244033999999999</v>
      </c>
      <c r="D179" s="106">
        <v>113.144852</v>
      </c>
      <c r="E179" s="69">
        <v>96.450478000000004</v>
      </c>
      <c r="F179" s="69">
        <v>97.678177000000005</v>
      </c>
      <c r="G179" s="69">
        <v>99.141281000000006</v>
      </c>
      <c r="H179" s="69">
        <v>99.519668999999993</v>
      </c>
      <c r="I179" s="69">
        <v>99.999679999999998</v>
      </c>
      <c r="J179" s="69">
        <v>100.161034</v>
      </c>
      <c r="K179" s="69">
        <v>100.297867</v>
      </c>
      <c r="L179" s="27">
        <v>1E-3</v>
      </c>
      <c r="N179" s="71" t="s">
        <v>475</v>
      </c>
      <c r="O179" s="69" t="str">
        <f t="shared" si="237"/>
        <v/>
      </c>
      <c r="P179" s="69">
        <f t="shared" si="238"/>
        <v>2.6064340080523012</v>
      </c>
      <c r="Q179" s="69">
        <f t="shared" si="239"/>
        <v>2.0788848549771237</v>
      </c>
      <c r="R179" s="69">
        <f t="shared" si="240"/>
        <v>2.4387138780320834</v>
      </c>
      <c r="S179" s="69">
        <f t="shared" si="241"/>
        <v>2.4080621328695369</v>
      </c>
      <c r="T179" s="69">
        <f t="shared" si="242"/>
        <v>2.3725245111713669</v>
      </c>
      <c r="U179" s="69">
        <f t="shared" si="243"/>
        <v>2.3635038340152454</v>
      </c>
      <c r="V179" s="69">
        <f t="shared" si="244"/>
        <v>2.3521587193221833</v>
      </c>
      <c r="W179" s="69">
        <f t="shared" si="245"/>
        <v>2.3483695190429859</v>
      </c>
      <c r="X179" s="69">
        <f t="shared" si="246"/>
        <v>2.3451657176461005</v>
      </c>
      <c r="Y179" s="27">
        <v>1E-3</v>
      </c>
    </row>
    <row r="180" spans="1:38" x14ac:dyDescent="0.25">
      <c r="A180" s="71" t="s">
        <v>476</v>
      </c>
      <c r="B180" s="108">
        <v>68.990645999999998</v>
      </c>
      <c r="C180" s="106">
        <v>112.721062</v>
      </c>
      <c r="D180" s="106">
        <v>125.92466</v>
      </c>
      <c r="E180" s="69">
        <v>106.06279000000001</v>
      </c>
      <c r="F180" s="69">
        <v>108.75670599999999</v>
      </c>
      <c r="G180" s="69">
        <v>110.394127</v>
      </c>
      <c r="H180" s="69">
        <v>110.51844</v>
      </c>
      <c r="I180" s="69">
        <v>110.423141</v>
      </c>
      <c r="J180" s="69">
        <v>110.37391700000001</v>
      </c>
      <c r="K180" s="69">
        <v>110.318016</v>
      </c>
      <c r="L180" s="27">
        <v>2E-3</v>
      </c>
      <c r="N180" s="71" t="s">
        <v>476</v>
      </c>
      <c r="O180" s="69">
        <f t="shared" si="237"/>
        <v>3.409376964544268</v>
      </c>
      <c r="P180" s="69">
        <f t="shared" si="238"/>
        <v>2.0867007023179762</v>
      </c>
      <c r="Q180" s="69">
        <f t="shared" si="239"/>
        <v>1.8679035483711304</v>
      </c>
      <c r="R180" s="69">
        <f t="shared" si="240"/>
        <v>2.2176968873007028</v>
      </c>
      <c r="S180" s="69">
        <f t="shared" si="241"/>
        <v>2.1627642827048121</v>
      </c>
      <c r="T180" s="69">
        <f t="shared" si="242"/>
        <v>2.1306850793016205</v>
      </c>
      <c r="U180" s="69">
        <f t="shared" si="243"/>
        <v>2.1282884488907747</v>
      </c>
      <c r="V180" s="69">
        <f t="shared" si="244"/>
        <v>2.1301252356281744</v>
      </c>
      <c r="W180" s="69">
        <f t="shared" si="245"/>
        <v>2.1310752180828025</v>
      </c>
      <c r="X180" s="69">
        <f t="shared" si="246"/>
        <v>2.1321550891690086</v>
      </c>
      <c r="Y180" s="27">
        <v>2E-3</v>
      </c>
    </row>
    <row r="181" spans="1:38" x14ac:dyDescent="0.25">
      <c r="A181" s="71" t="s">
        <v>477</v>
      </c>
      <c r="C181" s="106">
        <v>111.80333533667554</v>
      </c>
      <c r="D181" s="106">
        <v>119.360641</v>
      </c>
      <c r="E181" s="69">
        <v>103.006676</v>
      </c>
      <c r="F181" s="69">
        <v>104.613319</v>
      </c>
      <c r="G181" s="69">
        <v>106.475021</v>
      </c>
      <c r="H181" s="69">
        <v>107.12329099999999</v>
      </c>
      <c r="I181" s="69">
        <v>107.907127</v>
      </c>
      <c r="J181" s="69">
        <v>108.16435199999999</v>
      </c>
      <c r="K181" s="69">
        <v>108.396271</v>
      </c>
      <c r="L181" s="27">
        <v>2E-3</v>
      </c>
      <c r="N181" s="71" t="s">
        <v>477</v>
      </c>
      <c r="O181" s="69" t="str">
        <f t="shared" si="237"/>
        <v/>
      </c>
      <c r="P181" s="69">
        <f t="shared" si="238"/>
        <v>2.1038291794526551</v>
      </c>
      <c r="Q181" s="69">
        <f t="shared" si="239"/>
        <v>1.970625469759568</v>
      </c>
      <c r="R181" s="69">
        <f t="shared" si="240"/>
        <v>2.28349392850448</v>
      </c>
      <c r="S181" s="69">
        <f t="shared" si="241"/>
        <v>2.2484242110837545</v>
      </c>
      <c r="T181" s="69">
        <f t="shared" si="242"/>
        <v>2.2091108039455389</v>
      </c>
      <c r="U181" s="69">
        <f t="shared" si="243"/>
        <v>2.1957420934857961</v>
      </c>
      <c r="V181" s="69">
        <f t="shared" si="244"/>
        <v>2.1797922508068268</v>
      </c>
      <c r="W181" s="69">
        <f t="shared" si="245"/>
        <v>2.1746084998635054</v>
      </c>
      <c r="X181" s="69">
        <f t="shared" si="246"/>
        <v>2.1699558210948799</v>
      </c>
      <c r="Y181" s="27">
        <v>2E-3</v>
      </c>
    </row>
    <row r="182" spans="1:38" x14ac:dyDescent="0.25">
      <c r="A182" s="71" t="s">
        <v>478</v>
      </c>
      <c r="C182" s="106">
        <v>98.314291018048706</v>
      </c>
      <c r="D182" s="106">
        <v>103.704063</v>
      </c>
      <c r="E182" s="69">
        <v>87.705428999999995</v>
      </c>
      <c r="F182" s="69">
        <v>89.475464000000002</v>
      </c>
      <c r="G182" s="69">
        <v>90.764809</v>
      </c>
      <c r="H182" s="69">
        <v>90.958939000000001</v>
      </c>
      <c r="I182" s="69">
        <v>91.107917999999998</v>
      </c>
      <c r="J182" s="69">
        <v>91.128426000000005</v>
      </c>
      <c r="K182" s="69">
        <v>91.148398999999998</v>
      </c>
      <c r="L182" s="27">
        <v>2E-3</v>
      </c>
      <c r="N182" s="71" t="s">
        <v>478</v>
      </c>
      <c r="O182" s="69" t="str">
        <f t="shared" si="237"/>
        <v/>
      </c>
      <c r="P182" s="69">
        <f t="shared" si="238"/>
        <v>2.3924814674017933</v>
      </c>
      <c r="Q182" s="69">
        <f t="shared" si="239"/>
        <v>2.2681379343973065</v>
      </c>
      <c r="R182" s="69">
        <f t="shared" si="240"/>
        <v>2.6818763892190547</v>
      </c>
      <c r="S182" s="69">
        <f t="shared" si="241"/>
        <v>2.6288225701900596</v>
      </c>
      <c r="T182" s="69">
        <f t="shared" si="242"/>
        <v>2.5914792509663975</v>
      </c>
      <c r="U182" s="69">
        <f t="shared" si="243"/>
        <v>2.585948361176774</v>
      </c>
      <c r="V182" s="69">
        <f t="shared" si="244"/>
        <v>2.5817198373628529</v>
      </c>
      <c r="W182" s="69">
        <f t="shared" si="245"/>
        <v>2.581138834126556</v>
      </c>
      <c r="X182" s="69">
        <f t="shared" si="246"/>
        <v>2.5805732390475464</v>
      </c>
      <c r="Y182" s="27">
        <v>2E-3</v>
      </c>
    </row>
    <row r="183" spans="1:38" x14ac:dyDescent="0.25">
      <c r="A183" s="71" t="s">
        <v>479</v>
      </c>
      <c r="B183" s="108">
        <v>0</v>
      </c>
      <c r="C183" s="106">
        <v>0</v>
      </c>
      <c r="D183" s="106">
        <v>96.914574000000002</v>
      </c>
      <c r="E183" s="69">
        <v>76.605286000000007</v>
      </c>
      <c r="F183" s="69">
        <v>78.480689999999996</v>
      </c>
      <c r="G183" s="69">
        <v>80.154715999999993</v>
      </c>
      <c r="H183" s="69">
        <v>80.391281000000006</v>
      </c>
      <c r="I183" s="69">
        <v>80.419464000000005</v>
      </c>
      <c r="J183" s="69">
        <v>80.458129999999997</v>
      </c>
      <c r="K183" s="69">
        <v>80.495330999999993</v>
      </c>
      <c r="L183" s="27">
        <v>2E-3</v>
      </c>
      <c r="N183" s="71" t="s">
        <v>479</v>
      </c>
      <c r="O183" s="69" t="str">
        <f t="shared" si="237"/>
        <v/>
      </c>
      <c r="P183" s="69" t="str">
        <f t="shared" si="238"/>
        <v/>
      </c>
      <c r="Q183" s="69">
        <f t="shared" si="239"/>
        <v>2.4270355792043015</v>
      </c>
      <c r="R183" s="69">
        <f t="shared" si="240"/>
        <v>3.0704815754023569</v>
      </c>
      <c r="S183" s="69">
        <f t="shared" si="241"/>
        <v>2.997108196187217</v>
      </c>
      <c r="T183" s="69">
        <f t="shared" si="242"/>
        <v>2.9345137875783647</v>
      </c>
      <c r="U183" s="69">
        <f t="shared" si="243"/>
        <v>2.9258784822875024</v>
      </c>
      <c r="V183" s="69">
        <f t="shared" si="244"/>
        <v>2.9248531082155451</v>
      </c>
      <c r="W183" s="69">
        <f t="shared" si="245"/>
        <v>2.9234475029612068</v>
      </c>
      <c r="X183" s="69">
        <f t="shared" si="246"/>
        <v>2.9220964286913507</v>
      </c>
      <c r="Y183" s="27">
        <v>2E-3</v>
      </c>
    </row>
    <row r="184" spans="1:38" x14ac:dyDescent="0.25">
      <c r="A184" s="71" t="s">
        <v>480</v>
      </c>
      <c r="B184" s="108">
        <v>0</v>
      </c>
      <c r="C184" s="106">
        <v>0</v>
      </c>
      <c r="D184" s="106">
        <v>0</v>
      </c>
      <c r="E184" s="69">
        <v>65.419960000000003</v>
      </c>
      <c r="F184" s="69">
        <v>66.408112000000003</v>
      </c>
      <c r="G184" s="69">
        <v>67.128151000000003</v>
      </c>
      <c r="H184" s="69">
        <v>67.218429999999998</v>
      </c>
      <c r="I184" s="69">
        <v>67.370461000000006</v>
      </c>
      <c r="J184" s="69">
        <v>67.423775000000006</v>
      </c>
      <c r="K184" s="69">
        <v>67.4589</v>
      </c>
      <c r="L184" s="27">
        <v>1E-3</v>
      </c>
      <c r="N184" s="71" t="s">
        <v>480</v>
      </c>
      <c r="O184" s="69" t="str">
        <f t="shared" si="237"/>
        <v/>
      </c>
      <c r="P184" s="69" t="str">
        <f t="shared" si="238"/>
        <v/>
      </c>
      <c r="Q184" s="69" t="str">
        <f t="shared" si="239"/>
        <v/>
      </c>
      <c r="R184" s="69">
        <f t="shared" si="240"/>
        <v>3.5954641250381094</v>
      </c>
      <c r="S184" s="69">
        <f t="shared" si="241"/>
        <v>3.5419636571120727</v>
      </c>
      <c r="T184" s="69">
        <f t="shared" si="242"/>
        <v>3.5039713702441788</v>
      </c>
      <c r="U184" s="69">
        <f t="shared" si="243"/>
        <v>3.4992652943757858</v>
      </c>
      <c r="V184" s="69">
        <f t="shared" si="244"/>
        <v>3.4913687059589531</v>
      </c>
      <c r="W184" s="69">
        <f t="shared" si="245"/>
        <v>3.4886079760652398</v>
      </c>
      <c r="X184" s="69">
        <f t="shared" si="246"/>
        <v>3.4867915018096669</v>
      </c>
      <c r="Y184" s="27">
        <v>1E-3</v>
      </c>
    </row>
    <row r="185" spans="1:38" x14ac:dyDescent="0.25">
      <c r="A185" s="71" t="s">
        <v>481</v>
      </c>
      <c r="B185" s="108">
        <v>0</v>
      </c>
      <c r="C185" s="106">
        <v>0</v>
      </c>
      <c r="D185" s="106">
        <v>0</v>
      </c>
      <c r="E185" s="69">
        <v>87.357201000000003</v>
      </c>
      <c r="F185" s="69">
        <v>89.250197999999997</v>
      </c>
      <c r="G185" s="69">
        <v>91.568282999999994</v>
      </c>
      <c r="H185" s="69">
        <v>91.773972000000001</v>
      </c>
      <c r="I185" s="69">
        <v>92.004683999999997</v>
      </c>
      <c r="J185" s="69">
        <v>92.027068999999997</v>
      </c>
      <c r="K185" s="69">
        <v>92.035972999999998</v>
      </c>
      <c r="L185" s="27">
        <v>2E-3</v>
      </c>
      <c r="N185" s="71" t="s">
        <v>481</v>
      </c>
      <c r="O185" s="69" t="str">
        <f t="shared" si="237"/>
        <v/>
      </c>
      <c r="P185" s="69" t="str">
        <f t="shared" si="238"/>
        <v/>
      </c>
      <c r="Q185" s="69" t="str">
        <f t="shared" si="239"/>
        <v/>
      </c>
      <c r="R185" s="69">
        <f t="shared" si="240"/>
        <v>2.6925670299512929</v>
      </c>
      <c r="S185" s="69">
        <f t="shared" si="241"/>
        <v>2.6354576741827302</v>
      </c>
      <c r="T185" s="69">
        <f t="shared" si="242"/>
        <v>2.5687400870171189</v>
      </c>
      <c r="U185" s="69">
        <f t="shared" si="243"/>
        <v>2.5629828819158895</v>
      </c>
      <c r="V185" s="69">
        <f t="shared" si="244"/>
        <v>2.5565559166686356</v>
      </c>
      <c r="W185" s="69">
        <f t="shared" si="245"/>
        <v>2.5559340506805466</v>
      </c>
      <c r="X185" s="69">
        <f t="shared" si="246"/>
        <v>2.5556867774020073</v>
      </c>
      <c r="Y185" s="27">
        <v>2E-3</v>
      </c>
    </row>
    <row r="186" spans="1:38" x14ac:dyDescent="0.25">
      <c r="A186" s="71" t="s">
        <v>482</v>
      </c>
      <c r="B186" s="108">
        <v>0</v>
      </c>
      <c r="C186" s="106">
        <v>0</v>
      </c>
      <c r="D186" s="106">
        <v>0</v>
      </c>
      <c r="E186" s="69">
        <v>0</v>
      </c>
      <c r="F186" s="69">
        <v>0</v>
      </c>
      <c r="G186" s="69">
        <v>0</v>
      </c>
      <c r="H186" s="69">
        <v>0</v>
      </c>
      <c r="I186" s="69">
        <v>0</v>
      </c>
      <c r="J186" s="69">
        <v>0</v>
      </c>
      <c r="K186" s="69">
        <v>0</v>
      </c>
      <c r="L186" s="27" t="s">
        <v>264</v>
      </c>
      <c r="N186" s="71" t="s">
        <v>482</v>
      </c>
      <c r="O186" s="69" t="str">
        <f t="shared" si="237"/>
        <v/>
      </c>
      <c r="P186" s="69" t="str">
        <f t="shared" si="238"/>
        <v/>
      </c>
      <c r="Q186" s="69" t="str">
        <f t="shared" si="239"/>
        <v/>
      </c>
      <c r="R186" s="69" t="str">
        <f t="shared" si="240"/>
        <v/>
      </c>
      <c r="S186" s="69" t="str">
        <f t="shared" si="241"/>
        <v/>
      </c>
      <c r="T186" s="69" t="str">
        <f t="shared" si="242"/>
        <v/>
      </c>
      <c r="U186" s="69" t="str">
        <f t="shared" si="243"/>
        <v/>
      </c>
      <c r="V186" s="69" t="str">
        <f t="shared" si="244"/>
        <v/>
      </c>
      <c r="W186" s="69" t="str">
        <f t="shared" si="245"/>
        <v/>
      </c>
      <c r="X186" s="69" t="str">
        <f t="shared" si="246"/>
        <v/>
      </c>
      <c r="Y186" s="27" t="s">
        <v>264</v>
      </c>
    </row>
    <row r="187" spans="1:38" x14ac:dyDescent="0.25">
      <c r="A187" s="71" t="s">
        <v>483</v>
      </c>
      <c r="B187" s="108">
        <v>0</v>
      </c>
      <c r="C187" s="106">
        <v>0</v>
      </c>
      <c r="D187" s="106">
        <v>94.417877000000004</v>
      </c>
      <c r="E187" s="69">
        <v>73.300528999999997</v>
      </c>
      <c r="F187" s="69">
        <v>75.135711999999998</v>
      </c>
      <c r="G187" s="69">
        <v>76.658173000000005</v>
      </c>
      <c r="H187" s="69">
        <v>76.949104000000005</v>
      </c>
      <c r="I187" s="69">
        <v>77.072700999999995</v>
      </c>
      <c r="J187" s="69">
        <v>77.130081000000004</v>
      </c>
      <c r="K187" s="69">
        <v>77.164687999999998</v>
      </c>
      <c r="L187" s="27">
        <v>2E-3</v>
      </c>
      <c r="N187" s="71" t="s">
        <v>483</v>
      </c>
      <c r="O187" s="69" t="str">
        <f t="shared" si="237"/>
        <v/>
      </c>
      <c r="P187" s="69" t="str">
        <f t="shared" si="238"/>
        <v/>
      </c>
      <c r="Q187" s="69">
        <f t="shared" si="239"/>
        <v>2.4912138115690543</v>
      </c>
      <c r="R187" s="69">
        <f t="shared" si="240"/>
        <v>3.2089143482365339</v>
      </c>
      <c r="S187" s="69">
        <f t="shared" si="241"/>
        <v>3.1305369042277547</v>
      </c>
      <c r="T187" s="69">
        <f t="shared" si="242"/>
        <v>3.0683632290770628</v>
      </c>
      <c r="U187" s="69">
        <f t="shared" si="243"/>
        <v>3.0567622885047254</v>
      </c>
      <c r="V187" s="69">
        <f t="shared" si="244"/>
        <v>3.0518603369230326</v>
      </c>
      <c r="W187" s="69">
        <f t="shared" si="245"/>
        <v>3.0495899419764401</v>
      </c>
      <c r="X187" s="69">
        <f t="shared" si="246"/>
        <v>3.0482222547368836</v>
      </c>
      <c r="Y187" s="27">
        <v>2E-3</v>
      </c>
    </row>
    <row r="188" spans="1:38" x14ac:dyDescent="0.25">
      <c r="A188" s="71" t="s">
        <v>484</v>
      </c>
      <c r="B188" s="108">
        <v>0</v>
      </c>
      <c r="C188" s="106">
        <v>0</v>
      </c>
      <c r="D188" s="106">
        <v>73.473915000000005</v>
      </c>
      <c r="E188" s="69">
        <v>54.700462000000002</v>
      </c>
      <c r="F188" s="69">
        <v>55.845393999999999</v>
      </c>
      <c r="G188" s="69">
        <v>57.203487000000003</v>
      </c>
      <c r="H188" s="69">
        <v>57.622833</v>
      </c>
      <c r="I188" s="69">
        <v>57.850543999999999</v>
      </c>
      <c r="J188" s="69">
        <v>57.916049999999998</v>
      </c>
      <c r="K188" s="69">
        <v>57.959800999999999</v>
      </c>
      <c r="L188" s="27">
        <v>2E-3</v>
      </c>
      <c r="N188" s="71" t="s">
        <v>484</v>
      </c>
      <c r="O188" s="69" t="str">
        <f t="shared" si="237"/>
        <v/>
      </c>
      <c r="P188" s="69" t="str">
        <f t="shared" si="238"/>
        <v/>
      </c>
      <c r="Q188" s="69">
        <f t="shared" si="239"/>
        <v>3.2013418536555203</v>
      </c>
      <c r="R188" s="69">
        <f t="shared" si="240"/>
        <v>4.3000572690122461</v>
      </c>
      <c r="S188" s="69">
        <f t="shared" si="241"/>
        <v>4.2118982854956339</v>
      </c>
      <c r="T188" s="69">
        <f t="shared" si="242"/>
        <v>4.1119017664330171</v>
      </c>
      <c r="U188" s="69">
        <f t="shared" si="243"/>
        <v>4.0819776986915608</v>
      </c>
      <c r="V188" s="69">
        <f t="shared" si="244"/>
        <v>4.0659102400390248</v>
      </c>
      <c r="W188" s="69">
        <f t="shared" si="245"/>
        <v>4.0613114886361927</v>
      </c>
      <c r="X188" s="69">
        <f t="shared" si="246"/>
        <v>4.0582458045607881</v>
      </c>
      <c r="Y188" s="27">
        <v>2E-3</v>
      </c>
    </row>
    <row r="189" spans="1:38" x14ac:dyDescent="0.25">
      <c r="A189" s="71" t="s">
        <v>485</v>
      </c>
      <c r="D189" s="106">
        <v>112.049339</v>
      </c>
      <c r="E189" s="69">
        <v>87.700744999999998</v>
      </c>
      <c r="F189" s="69">
        <v>88.690078999999997</v>
      </c>
      <c r="G189" s="69">
        <v>90.194344000000001</v>
      </c>
      <c r="H189" s="69">
        <v>90.728813000000002</v>
      </c>
      <c r="I189" s="69">
        <v>91.288628000000003</v>
      </c>
      <c r="J189" s="69">
        <v>91.445510999999996</v>
      </c>
      <c r="K189" s="69">
        <v>91.424530000000004</v>
      </c>
      <c r="L189" s="27">
        <v>2E-3</v>
      </c>
      <c r="N189" s="71" t="s">
        <v>485</v>
      </c>
      <c r="O189" s="69" t="str">
        <f t="shared" si="237"/>
        <v/>
      </c>
      <c r="P189" s="69" t="str">
        <f t="shared" si="238"/>
        <v/>
      </c>
      <c r="Q189" s="69">
        <f t="shared" si="239"/>
        <v>2.0992102348897226</v>
      </c>
      <c r="R189" s="69">
        <f t="shared" si="240"/>
        <v>2.6820196252771642</v>
      </c>
      <c r="S189" s="69">
        <f t="shared" si="241"/>
        <v>2.6521018122154132</v>
      </c>
      <c r="T189" s="69">
        <f t="shared" si="242"/>
        <v>2.6078699484906518</v>
      </c>
      <c r="U189" s="69">
        <f t="shared" si="243"/>
        <v>2.5925074016060159</v>
      </c>
      <c r="V189" s="69">
        <f t="shared" si="244"/>
        <v>2.5766092052717466</v>
      </c>
      <c r="W189" s="69">
        <f t="shared" si="245"/>
        <v>2.5721888004040805</v>
      </c>
      <c r="X189" s="69">
        <f t="shared" si="246"/>
        <v>2.5727790915789028</v>
      </c>
      <c r="Y189" s="27">
        <v>2E-3</v>
      </c>
    </row>
    <row r="190" spans="1:38" x14ac:dyDescent="0.25">
      <c r="A190" s="71" t="s">
        <v>486</v>
      </c>
      <c r="D190" s="106">
        <v>92.157546999999994</v>
      </c>
      <c r="E190" s="69">
        <v>73.675010999999998</v>
      </c>
      <c r="F190" s="69">
        <v>75.374611000000002</v>
      </c>
      <c r="G190" s="69">
        <v>76.453697000000005</v>
      </c>
      <c r="H190" s="69">
        <v>76.474472000000006</v>
      </c>
      <c r="I190" s="69">
        <v>76.474129000000005</v>
      </c>
      <c r="J190" s="69">
        <v>76.505645999999999</v>
      </c>
      <c r="K190" s="69">
        <v>76.532532000000003</v>
      </c>
      <c r="L190" s="27">
        <v>2E-3</v>
      </c>
      <c r="N190" s="71" t="s">
        <v>486</v>
      </c>
      <c r="O190" s="69" t="str">
        <f t="shared" si="237"/>
        <v/>
      </c>
      <c r="P190" s="69" t="str">
        <f t="shared" si="238"/>
        <v/>
      </c>
      <c r="Q190" s="69">
        <f t="shared" si="239"/>
        <v>2.5523153219500099</v>
      </c>
      <c r="R190" s="69">
        <f t="shared" si="240"/>
        <v>3.1926037885685306</v>
      </c>
      <c r="S190" s="69">
        <f t="shared" si="241"/>
        <v>3.1206147019641421</v>
      </c>
      <c r="T190" s="69">
        <f t="shared" si="242"/>
        <v>3.0765695901066512</v>
      </c>
      <c r="U190" s="69">
        <f t="shared" si="243"/>
        <v>3.0757338114270096</v>
      </c>
      <c r="V190" s="69">
        <f t="shared" si="244"/>
        <v>3.0757476066373783</v>
      </c>
      <c r="W190" s="69">
        <f t="shared" si="245"/>
        <v>3.0744805323443467</v>
      </c>
      <c r="X190" s="69">
        <f t="shared" si="246"/>
        <v>3.0734004624520739</v>
      </c>
      <c r="Y190" s="27">
        <v>2E-3</v>
      </c>
    </row>
    <row r="191" spans="1:38" x14ac:dyDescent="0.25">
      <c r="A191" t="s">
        <v>465</v>
      </c>
      <c r="L191" s="27"/>
      <c r="N191" t="s">
        <v>465</v>
      </c>
      <c r="O191" s="69"/>
      <c r="P191" s="69"/>
      <c r="Q191" s="69"/>
      <c r="R191" s="69"/>
      <c r="S191" s="69"/>
      <c r="T191" s="69"/>
      <c r="U191" s="69"/>
      <c r="V191" s="69"/>
      <c r="W191" s="69"/>
      <c r="X191" s="69"/>
      <c r="Y191" s="27"/>
      <c r="AA191" t="s">
        <v>8</v>
      </c>
      <c r="AB191" t="s">
        <v>493</v>
      </c>
      <c r="AC191" s="69" t="e">
        <f>AVERAGE(O192:O199)</f>
        <v>#DIV/0!</v>
      </c>
      <c r="AD191" s="69" t="e">
        <f t="shared" ref="AD191" si="256">AVERAGE(P192:P199)</f>
        <v>#DIV/0!</v>
      </c>
      <c r="AE191" s="69">
        <f t="shared" ref="AE191" si="257">AVERAGE(Q192:Q199)</f>
        <v>2.0482477469581921</v>
      </c>
      <c r="AF191" s="69">
        <f t="shared" ref="AF191" si="258">AVERAGE(R192:R199)</f>
        <v>2.0596778750511002</v>
      </c>
      <c r="AG191" s="69">
        <f t="shared" ref="AG191" si="259">AVERAGE(S192:S199)</f>
        <v>2.0213521162140577</v>
      </c>
      <c r="AH191" s="69">
        <f t="shared" ref="AH191" si="260">AVERAGE(T192:T199)</f>
        <v>1.9985313452906834</v>
      </c>
      <c r="AI191" s="69">
        <f t="shared" ref="AI191" si="261">AVERAGE(U192:U199)</f>
        <v>1.9962631402483175</v>
      </c>
      <c r="AJ191" s="69">
        <f t="shared" ref="AJ191" si="262">AVERAGE(V192:V199)</f>
        <v>1.993715065459033</v>
      </c>
      <c r="AK191" s="69">
        <f t="shared" ref="AK191" si="263">AVERAGE(W192:W199)</f>
        <v>1.9929167625813977</v>
      </c>
      <c r="AL191" s="69">
        <f t="shared" ref="AL191" si="264">AVERAGE(X192:X199)</f>
        <v>1.9922864749818046</v>
      </c>
    </row>
    <row r="192" spans="1:38" x14ac:dyDescent="0.25">
      <c r="A192" s="71" t="s">
        <v>471</v>
      </c>
      <c r="D192" s="106">
        <v>0</v>
      </c>
      <c r="E192" s="69">
        <v>0</v>
      </c>
      <c r="F192" s="69">
        <v>0</v>
      </c>
      <c r="G192" s="69">
        <v>0</v>
      </c>
      <c r="H192" s="69">
        <v>0</v>
      </c>
      <c r="I192" s="69">
        <v>0</v>
      </c>
      <c r="J192" s="69">
        <v>0</v>
      </c>
      <c r="K192" s="69">
        <v>0</v>
      </c>
      <c r="L192" s="27" t="s">
        <v>264</v>
      </c>
      <c r="N192" s="71" t="s">
        <v>471</v>
      </c>
      <c r="O192" s="69" t="str">
        <f t="shared" ref="O192:O207" si="265">IFERROR(L_100km_to_mpg/B192, "")</f>
        <v/>
      </c>
      <c r="P192" s="69" t="str">
        <f t="shared" ref="P192:P207" si="266">IFERROR(L_100km_to_mpg/C192, "")</f>
        <v/>
      </c>
      <c r="Q192" s="69" t="str">
        <f t="shared" ref="Q192:Q207" si="267">IFERROR(L_100km_to_mpg/D192, "")</f>
        <v/>
      </c>
      <c r="R192" s="69" t="str">
        <f t="shared" ref="R192:R207" si="268">IFERROR(L_100km_to_mpg/E192, "")</f>
        <v/>
      </c>
      <c r="S192" s="69" t="str">
        <f t="shared" ref="S192:S207" si="269">IFERROR(L_100km_to_mpg/F192, "")</f>
        <v/>
      </c>
      <c r="T192" s="69" t="str">
        <f t="shared" ref="T192:T207" si="270">IFERROR(L_100km_to_mpg/G192, "")</f>
        <v/>
      </c>
      <c r="U192" s="69" t="str">
        <f t="shared" ref="U192:U207" si="271">IFERROR(L_100km_to_mpg/H192, "")</f>
        <v/>
      </c>
      <c r="V192" s="69" t="str">
        <f t="shared" ref="V192:V207" si="272">IFERROR(L_100km_to_mpg/I192, "")</f>
        <v/>
      </c>
      <c r="W192" s="69" t="str">
        <f t="shared" ref="W192:W207" si="273">IFERROR(L_100km_to_mpg/J192, "")</f>
        <v/>
      </c>
      <c r="X192" s="69" t="str">
        <f t="shared" ref="X192:X207" si="274">IFERROR(L_100km_to_mpg/K192, "")</f>
        <v/>
      </c>
      <c r="Y192" s="27" t="s">
        <v>264</v>
      </c>
      <c r="AA192" t="s">
        <v>240</v>
      </c>
      <c r="AB192" t="s">
        <v>493</v>
      </c>
      <c r="AC192" s="69" t="e">
        <f>AVERAGE(O200:O207)</f>
        <v>#DIV/0!</v>
      </c>
      <c r="AD192" s="69" t="e">
        <f t="shared" ref="AD192" si="275">AVERAGE(P200:P207)</f>
        <v>#DIV/0!</v>
      </c>
      <c r="AE192" s="69">
        <f t="shared" ref="AE192" si="276">AVERAGE(Q200:Q207)</f>
        <v>2.6638035818588071</v>
      </c>
      <c r="AF192" s="69">
        <f t="shared" ref="AF192" si="277">AVERAGE(R200:R207)</f>
        <v>2.4723245043829105</v>
      </c>
      <c r="AG192" s="69">
        <f t="shared" ref="AG192" si="278">AVERAGE(S200:S207)</f>
        <v>2.421035437328908</v>
      </c>
      <c r="AH192" s="69">
        <f t="shared" ref="AH192" si="279">AVERAGE(T200:T207)</f>
        <v>2.3606298077150409</v>
      </c>
      <c r="AI192" s="69">
        <f t="shared" ref="AI192" si="280">AVERAGE(U200:U207)</f>
        <v>2.3580673473577862</v>
      </c>
      <c r="AJ192" s="69">
        <f t="shared" ref="AJ192" si="281">AVERAGE(V200:V207)</f>
        <v>2.3561347157143637</v>
      </c>
      <c r="AK192" s="69">
        <f t="shared" ref="AK192" si="282">AVERAGE(W200:W207)</f>
        <v>2.3555131467536996</v>
      </c>
      <c r="AL192" s="69">
        <f t="shared" ref="AL192" si="283">AVERAGE(X200:X207)</f>
        <v>2.3552756264355166</v>
      </c>
    </row>
    <row r="193" spans="1:25" x14ac:dyDescent="0.25">
      <c r="A193" s="71" t="s">
        <v>472</v>
      </c>
      <c r="D193" s="106">
        <v>114.388695</v>
      </c>
      <c r="E193" s="69">
        <v>114.024742</v>
      </c>
      <c r="F193" s="69">
        <v>116.511002</v>
      </c>
      <c r="G193" s="69">
        <v>117.93042800000001</v>
      </c>
      <c r="H193" s="69">
        <v>118.020645</v>
      </c>
      <c r="I193" s="69">
        <v>118.030197</v>
      </c>
      <c r="J193" s="69">
        <v>118.034943</v>
      </c>
      <c r="K193" s="69">
        <v>118.03079200000001</v>
      </c>
      <c r="L193" s="27">
        <v>2E-3</v>
      </c>
      <c r="N193" s="71" t="s">
        <v>472</v>
      </c>
      <c r="O193" s="69" t="str">
        <f t="shared" si="265"/>
        <v/>
      </c>
      <c r="P193" s="69" t="str">
        <f t="shared" si="266"/>
        <v/>
      </c>
      <c r="Q193" s="69">
        <f t="shared" si="267"/>
        <v>2.0562794185336948</v>
      </c>
      <c r="R193" s="69">
        <f t="shared" si="268"/>
        <v>2.0628428103913459</v>
      </c>
      <c r="S193" s="69">
        <f t="shared" si="269"/>
        <v>2.0188232459062374</v>
      </c>
      <c r="T193" s="69">
        <f t="shared" si="270"/>
        <v>1.9945244262272002</v>
      </c>
      <c r="U193" s="69">
        <f t="shared" si="271"/>
        <v>1.9929997776357529</v>
      </c>
      <c r="V193" s="69">
        <f t="shared" si="272"/>
        <v>1.9928384872680347</v>
      </c>
      <c r="W193" s="69">
        <f t="shared" si="273"/>
        <v>1.992758358356882</v>
      </c>
      <c r="X193" s="69">
        <f t="shared" si="274"/>
        <v>1.9928284412547883</v>
      </c>
      <c r="Y193" s="27">
        <v>2E-3</v>
      </c>
    </row>
    <row r="194" spans="1:25" x14ac:dyDescent="0.25">
      <c r="A194" s="71" t="s">
        <v>473</v>
      </c>
      <c r="D194" s="106">
        <v>123.39473</v>
      </c>
      <c r="E194" s="69">
        <v>116.54312899999999</v>
      </c>
      <c r="F194" s="69">
        <v>118.810669</v>
      </c>
      <c r="G194" s="69">
        <v>120.20011100000001</v>
      </c>
      <c r="H194" s="69">
        <v>120.376442</v>
      </c>
      <c r="I194" s="69">
        <v>120.694473</v>
      </c>
      <c r="J194" s="69">
        <v>120.79755400000001</v>
      </c>
      <c r="K194" s="69">
        <v>120.86524199999999</v>
      </c>
      <c r="L194" s="27">
        <v>2E-3</v>
      </c>
      <c r="N194" s="71" t="s">
        <v>473</v>
      </c>
      <c r="O194" s="69" t="str">
        <f t="shared" si="265"/>
        <v/>
      </c>
      <c r="P194" s="69" t="str">
        <f t="shared" si="266"/>
        <v/>
      </c>
      <c r="Q194" s="69">
        <f t="shared" si="267"/>
        <v>1.9062006881608975</v>
      </c>
      <c r="R194" s="69">
        <f t="shared" si="268"/>
        <v>2.0182667245996817</v>
      </c>
      <c r="S194" s="69">
        <f t="shared" si="269"/>
        <v>1.9797474521537131</v>
      </c>
      <c r="T194" s="69">
        <f t="shared" si="270"/>
        <v>1.9568627456710761</v>
      </c>
      <c r="U194" s="69">
        <f t="shared" si="271"/>
        <v>1.9539962747979223</v>
      </c>
      <c r="V194" s="69">
        <f t="shared" si="272"/>
        <v>1.9488474773938333</v>
      </c>
      <c r="W194" s="69">
        <f t="shared" si="273"/>
        <v>1.9471844540943943</v>
      </c>
      <c r="X194" s="69">
        <f t="shared" si="274"/>
        <v>1.9460939749860273</v>
      </c>
      <c r="Y194" s="27">
        <v>2E-3</v>
      </c>
    </row>
    <row r="195" spans="1:25" x14ac:dyDescent="0.25">
      <c r="A195" s="71" t="s">
        <v>474</v>
      </c>
      <c r="D195" s="106">
        <v>121.02692399999999</v>
      </c>
      <c r="E195" s="69">
        <v>115.583</v>
      </c>
      <c r="F195" s="69">
        <v>117.643585</v>
      </c>
      <c r="G195" s="69">
        <v>118.960838</v>
      </c>
      <c r="H195" s="69">
        <v>119.121094</v>
      </c>
      <c r="I195" s="69">
        <v>119.357758</v>
      </c>
      <c r="J195" s="69">
        <v>119.441444</v>
      </c>
      <c r="K195" s="69">
        <v>119.519768</v>
      </c>
      <c r="L195" s="27">
        <v>1E-3</v>
      </c>
      <c r="N195" s="71" t="s">
        <v>474</v>
      </c>
      <c r="O195" s="69" t="str">
        <f t="shared" si="265"/>
        <v/>
      </c>
      <c r="P195" s="69" t="str">
        <f t="shared" si="266"/>
        <v/>
      </c>
      <c r="Q195" s="69">
        <f t="shared" si="267"/>
        <v>1.943494153758945</v>
      </c>
      <c r="R195" s="69">
        <f t="shared" si="268"/>
        <v>2.0350321348418725</v>
      </c>
      <c r="S195" s="69">
        <f t="shared" si="269"/>
        <v>1.9993875504680356</v>
      </c>
      <c r="T195" s="69">
        <f t="shared" si="270"/>
        <v>1.977248338158379</v>
      </c>
      <c r="U195" s="69">
        <f t="shared" si="271"/>
        <v>1.9745883062610905</v>
      </c>
      <c r="V195" s="69">
        <f t="shared" si="272"/>
        <v>1.9706730687872684</v>
      </c>
      <c r="W195" s="69">
        <f t="shared" si="273"/>
        <v>1.9692923273887089</v>
      </c>
      <c r="X195" s="69">
        <f t="shared" si="274"/>
        <v>1.9680018057048785</v>
      </c>
      <c r="Y195" s="27">
        <v>1E-3</v>
      </c>
    </row>
    <row r="196" spans="1:25" x14ac:dyDescent="0.25">
      <c r="A196" s="71" t="s">
        <v>475</v>
      </c>
      <c r="D196" s="106">
        <v>109.841003</v>
      </c>
      <c r="E196" s="69">
        <v>112.790451</v>
      </c>
      <c r="F196" s="69">
        <v>114.667259</v>
      </c>
      <c r="G196" s="69">
        <v>115.950912</v>
      </c>
      <c r="H196" s="69">
        <v>116.102867</v>
      </c>
      <c r="I196" s="69">
        <v>116.29087800000001</v>
      </c>
      <c r="J196" s="69">
        <v>116.353195</v>
      </c>
      <c r="K196" s="69">
        <v>116.405266</v>
      </c>
      <c r="L196" s="27">
        <v>1E-3</v>
      </c>
      <c r="N196" s="71" t="s">
        <v>475</v>
      </c>
      <c r="O196" s="69" t="str">
        <f t="shared" si="265"/>
        <v/>
      </c>
      <c r="P196" s="69" t="str">
        <f t="shared" si="266"/>
        <v/>
      </c>
      <c r="Q196" s="69">
        <f t="shared" si="267"/>
        <v>2.1414145247875069</v>
      </c>
      <c r="R196" s="69">
        <f t="shared" si="268"/>
        <v>2.0854169582266158</v>
      </c>
      <c r="S196" s="69">
        <f t="shared" si="269"/>
        <v>2.051284048234101</v>
      </c>
      <c r="T196" s="69">
        <f t="shared" si="270"/>
        <v>2.0285749821564849</v>
      </c>
      <c r="U196" s="69">
        <f t="shared" si="271"/>
        <v>2.025919990773597</v>
      </c>
      <c r="V196" s="69">
        <f t="shared" si="272"/>
        <v>2.0226446242965688</v>
      </c>
      <c r="W196" s="69">
        <f t="shared" si="273"/>
        <v>2.0215613266264683</v>
      </c>
      <c r="X196" s="69">
        <f t="shared" si="274"/>
        <v>2.02065703145619</v>
      </c>
      <c r="Y196" s="27">
        <v>1E-3</v>
      </c>
    </row>
    <row r="197" spans="1:25" x14ac:dyDescent="0.25">
      <c r="A197" s="71" t="s">
        <v>476</v>
      </c>
      <c r="D197" s="106">
        <v>122.247635</v>
      </c>
      <c r="E197" s="69">
        <v>116.436508</v>
      </c>
      <c r="F197" s="69">
        <v>118.787369</v>
      </c>
      <c r="G197" s="69">
        <v>120.054802</v>
      </c>
      <c r="H197" s="69">
        <v>120.098106</v>
      </c>
      <c r="I197" s="69">
        <v>120.069138</v>
      </c>
      <c r="J197" s="69">
        <v>120.053673</v>
      </c>
      <c r="K197" s="69">
        <v>120.03632399999999</v>
      </c>
      <c r="L197" s="27">
        <v>1E-3</v>
      </c>
      <c r="N197" s="71" t="s">
        <v>476</v>
      </c>
      <c r="O197" s="69" t="str">
        <f t="shared" si="265"/>
        <v/>
      </c>
      <c r="P197" s="69" t="str">
        <f t="shared" si="266"/>
        <v/>
      </c>
      <c r="Q197" s="69">
        <f t="shared" si="267"/>
        <v>1.924087277773743</v>
      </c>
      <c r="R197" s="69">
        <f t="shared" si="268"/>
        <v>2.0201148529929132</v>
      </c>
      <c r="S197" s="69">
        <f t="shared" si="269"/>
        <v>1.9801357772426809</v>
      </c>
      <c r="T197" s="69">
        <f t="shared" si="270"/>
        <v>1.9592312454226375</v>
      </c>
      <c r="U197" s="69">
        <f t="shared" si="271"/>
        <v>1.9585248017269159</v>
      </c>
      <c r="V197" s="69">
        <f t="shared" si="272"/>
        <v>1.9589973173741628</v>
      </c>
      <c r="W197" s="69">
        <f t="shared" si="273"/>
        <v>1.9592496702822924</v>
      </c>
      <c r="X197" s="69">
        <f t="shared" si="274"/>
        <v>1.9595328430869656</v>
      </c>
      <c r="Y197" s="27">
        <v>1E-3</v>
      </c>
    </row>
    <row r="198" spans="1:25" x14ac:dyDescent="0.25">
      <c r="A198" s="71" t="s">
        <v>477</v>
      </c>
      <c r="D198" s="106">
        <v>115.87532</v>
      </c>
      <c r="E198" s="69">
        <v>115.41130800000001</v>
      </c>
      <c r="F198" s="69">
        <v>117.410965</v>
      </c>
      <c r="G198" s="69">
        <v>118.786247</v>
      </c>
      <c r="H198" s="69">
        <v>119.012367</v>
      </c>
      <c r="I198" s="69">
        <v>119.282501</v>
      </c>
      <c r="J198" s="69">
        <v>119.3703</v>
      </c>
      <c r="K198" s="69">
        <v>119.449127</v>
      </c>
      <c r="L198" s="27">
        <v>1E-3</v>
      </c>
      <c r="N198" s="71" t="s">
        <v>477</v>
      </c>
      <c r="O198" s="69" t="str">
        <f t="shared" si="265"/>
        <v/>
      </c>
      <c r="P198" s="69" t="str">
        <f t="shared" si="266"/>
        <v/>
      </c>
      <c r="Q198" s="69">
        <f t="shared" si="267"/>
        <v>2.0298983359133604</v>
      </c>
      <c r="R198" s="69">
        <f t="shared" si="268"/>
        <v>2.0380595568800599</v>
      </c>
      <c r="S198" s="69">
        <f t="shared" si="269"/>
        <v>2.0033488289737518</v>
      </c>
      <c r="T198" s="69">
        <f t="shared" si="270"/>
        <v>1.9801544806902447</v>
      </c>
      <c r="U198" s="69">
        <f t="shared" si="271"/>
        <v>1.9763922453657958</v>
      </c>
      <c r="V198" s="69">
        <f t="shared" si="272"/>
        <v>1.9719163940185003</v>
      </c>
      <c r="W198" s="69">
        <f t="shared" si="273"/>
        <v>1.9704660140874919</v>
      </c>
      <c r="X198" s="69">
        <f t="shared" si="274"/>
        <v>1.9691656619761493</v>
      </c>
      <c r="Y198" s="27">
        <v>1E-3</v>
      </c>
    </row>
    <row r="199" spans="1:25" x14ac:dyDescent="0.25">
      <c r="A199" s="71" t="s">
        <v>478</v>
      </c>
      <c r="D199" s="106">
        <v>100.67589599999999</v>
      </c>
      <c r="E199" s="69">
        <v>108.996201</v>
      </c>
      <c r="F199" s="69">
        <v>111.12151299999999</v>
      </c>
      <c r="G199" s="69">
        <v>112.375191</v>
      </c>
      <c r="H199" s="69">
        <v>112.466675</v>
      </c>
      <c r="I199" s="69">
        <v>112.538376</v>
      </c>
      <c r="J199" s="69">
        <v>112.548225</v>
      </c>
      <c r="K199" s="69">
        <v>112.55789900000001</v>
      </c>
      <c r="L199" s="27">
        <v>1E-3</v>
      </c>
      <c r="N199" s="71" t="s">
        <v>478</v>
      </c>
      <c r="O199" s="69" t="str">
        <f t="shared" si="265"/>
        <v/>
      </c>
      <c r="P199" s="69" t="str">
        <f t="shared" si="266"/>
        <v/>
      </c>
      <c r="Q199" s="69">
        <f t="shared" si="267"/>
        <v>2.3363598297791972</v>
      </c>
      <c r="R199" s="69">
        <f t="shared" si="268"/>
        <v>2.1580120874252136</v>
      </c>
      <c r="S199" s="69">
        <f t="shared" si="269"/>
        <v>2.1167379105198845</v>
      </c>
      <c r="T199" s="69">
        <f t="shared" si="270"/>
        <v>2.0931231987087626</v>
      </c>
      <c r="U199" s="69">
        <f t="shared" si="271"/>
        <v>2.0914205851771484</v>
      </c>
      <c r="V199" s="69">
        <f t="shared" si="272"/>
        <v>2.0900880890748605</v>
      </c>
      <c r="W199" s="69">
        <f t="shared" si="273"/>
        <v>2.089905187233545</v>
      </c>
      <c r="X199" s="69">
        <f t="shared" si="274"/>
        <v>2.0897255664076329</v>
      </c>
      <c r="Y199" s="27">
        <v>1E-3</v>
      </c>
    </row>
    <row r="200" spans="1:25" x14ac:dyDescent="0.25">
      <c r="A200" s="71" t="s">
        <v>479</v>
      </c>
      <c r="D200" s="106">
        <v>0</v>
      </c>
      <c r="E200" s="69">
        <v>0</v>
      </c>
      <c r="F200" s="69">
        <v>0</v>
      </c>
      <c r="G200" s="69">
        <v>0</v>
      </c>
      <c r="H200" s="69">
        <v>0</v>
      </c>
      <c r="I200" s="69">
        <v>0</v>
      </c>
      <c r="J200" s="69">
        <v>0</v>
      </c>
      <c r="K200" s="69">
        <v>0</v>
      </c>
      <c r="L200" s="27" t="s">
        <v>264</v>
      </c>
      <c r="N200" s="71" t="s">
        <v>479</v>
      </c>
      <c r="O200" s="69" t="str">
        <f t="shared" si="265"/>
        <v/>
      </c>
      <c r="P200" s="69" t="str">
        <f t="shared" si="266"/>
        <v/>
      </c>
      <c r="Q200" s="69" t="str">
        <f t="shared" si="267"/>
        <v/>
      </c>
      <c r="R200" s="69" t="str">
        <f t="shared" si="268"/>
        <v/>
      </c>
      <c r="S200" s="69" t="str">
        <f t="shared" si="269"/>
        <v/>
      </c>
      <c r="T200" s="69" t="str">
        <f t="shared" si="270"/>
        <v/>
      </c>
      <c r="U200" s="69" t="str">
        <f t="shared" si="271"/>
        <v/>
      </c>
      <c r="V200" s="69" t="str">
        <f t="shared" si="272"/>
        <v/>
      </c>
      <c r="W200" s="69" t="str">
        <f t="shared" si="273"/>
        <v/>
      </c>
      <c r="X200" s="69" t="str">
        <f t="shared" si="274"/>
        <v/>
      </c>
      <c r="Y200" s="27" t="s">
        <v>264</v>
      </c>
    </row>
    <row r="201" spans="1:25" x14ac:dyDescent="0.25">
      <c r="A201" s="71" t="s">
        <v>480</v>
      </c>
      <c r="D201" s="106">
        <v>0</v>
      </c>
      <c r="E201" s="69">
        <v>92.945457000000005</v>
      </c>
      <c r="F201" s="69">
        <v>94.914055000000005</v>
      </c>
      <c r="G201" s="69">
        <v>95.925658999999996</v>
      </c>
      <c r="H201" s="69">
        <v>95.950157000000004</v>
      </c>
      <c r="I201" s="69">
        <v>95.994140999999999</v>
      </c>
      <c r="J201" s="69">
        <v>96.010323</v>
      </c>
      <c r="K201" s="69">
        <v>96.020660000000007</v>
      </c>
      <c r="L201" s="27">
        <v>2E-3</v>
      </c>
      <c r="N201" s="71" t="s">
        <v>480</v>
      </c>
      <c r="O201" s="69" t="str">
        <f t="shared" si="265"/>
        <v/>
      </c>
      <c r="P201" s="69" t="str">
        <f t="shared" si="266"/>
        <v/>
      </c>
      <c r="Q201" s="69" t="str">
        <f t="shared" si="267"/>
        <v/>
      </c>
      <c r="R201" s="69">
        <f t="shared" si="268"/>
        <v>2.5306790329884348</v>
      </c>
      <c r="S201" s="69">
        <f t="shared" si="269"/>
        <v>2.478190603503645</v>
      </c>
      <c r="T201" s="69">
        <f t="shared" si="270"/>
        <v>2.452056328760047</v>
      </c>
      <c r="U201" s="69">
        <f t="shared" si="271"/>
        <v>2.4514302695870329</v>
      </c>
      <c r="V201" s="69">
        <f t="shared" si="272"/>
        <v>2.4503070373995861</v>
      </c>
      <c r="W201" s="69">
        <f t="shared" si="273"/>
        <v>2.4498940519284385</v>
      </c>
      <c r="X201" s="69">
        <f t="shared" si="274"/>
        <v>2.4496303112416444</v>
      </c>
      <c r="Y201" s="27">
        <v>2E-3</v>
      </c>
    </row>
    <row r="202" spans="1:25" x14ac:dyDescent="0.25">
      <c r="A202" s="71" t="s">
        <v>481</v>
      </c>
      <c r="D202" s="106">
        <v>0</v>
      </c>
      <c r="E202" s="69">
        <v>0</v>
      </c>
      <c r="F202" s="69">
        <v>0</v>
      </c>
      <c r="G202" s="69">
        <v>106.471214</v>
      </c>
      <c r="H202" s="69">
        <v>106.550217</v>
      </c>
      <c r="I202" s="69">
        <v>106.638046</v>
      </c>
      <c r="J202" s="69">
        <v>106.646652</v>
      </c>
      <c r="K202" s="69">
        <v>106.650238</v>
      </c>
      <c r="L202" s="27" t="s">
        <v>264</v>
      </c>
      <c r="N202" s="71" t="s">
        <v>481</v>
      </c>
      <c r="O202" s="69" t="str">
        <f t="shared" si="265"/>
        <v/>
      </c>
      <c r="P202" s="69" t="str">
        <f t="shared" si="266"/>
        <v/>
      </c>
      <c r="Q202" s="69" t="str">
        <f t="shared" si="267"/>
        <v/>
      </c>
      <c r="R202" s="69" t="str">
        <f t="shared" si="268"/>
        <v/>
      </c>
      <c r="S202" s="69" t="str">
        <f t="shared" si="269"/>
        <v/>
      </c>
      <c r="T202" s="69">
        <f t="shared" si="270"/>
        <v>2.2091897932283193</v>
      </c>
      <c r="U202" s="69">
        <f t="shared" si="271"/>
        <v>2.207551761639567</v>
      </c>
      <c r="V202" s="69">
        <f t="shared" si="272"/>
        <v>2.2057335825660958</v>
      </c>
      <c r="W202" s="69">
        <f t="shared" si="273"/>
        <v>2.2055555878249993</v>
      </c>
      <c r="X202" s="69">
        <f t="shared" si="274"/>
        <v>2.2054814283811361</v>
      </c>
      <c r="Y202" s="27" t="s">
        <v>264</v>
      </c>
    </row>
    <row r="203" spans="1:25" x14ac:dyDescent="0.25">
      <c r="A203" s="71" t="s">
        <v>482</v>
      </c>
      <c r="D203" s="106">
        <v>0</v>
      </c>
      <c r="E203" s="69">
        <v>0</v>
      </c>
      <c r="F203" s="69">
        <v>0</v>
      </c>
      <c r="G203" s="69">
        <v>0</v>
      </c>
      <c r="H203" s="69">
        <v>0</v>
      </c>
      <c r="I203" s="69">
        <v>0</v>
      </c>
      <c r="J203" s="69">
        <v>0</v>
      </c>
      <c r="K203" s="69">
        <v>0</v>
      </c>
      <c r="L203" s="27" t="s">
        <v>264</v>
      </c>
      <c r="N203" s="71" t="s">
        <v>482</v>
      </c>
      <c r="O203" s="69" t="str">
        <f t="shared" si="265"/>
        <v/>
      </c>
      <c r="P203" s="69" t="str">
        <f t="shared" si="266"/>
        <v/>
      </c>
      <c r="Q203" s="69" t="str">
        <f t="shared" si="267"/>
        <v/>
      </c>
      <c r="R203" s="69" t="str">
        <f t="shared" si="268"/>
        <v/>
      </c>
      <c r="S203" s="69" t="str">
        <f t="shared" si="269"/>
        <v/>
      </c>
      <c r="T203" s="69" t="str">
        <f t="shared" si="270"/>
        <v/>
      </c>
      <c r="U203" s="69" t="str">
        <f t="shared" si="271"/>
        <v/>
      </c>
      <c r="V203" s="69" t="str">
        <f t="shared" si="272"/>
        <v/>
      </c>
      <c r="W203" s="69" t="str">
        <f t="shared" si="273"/>
        <v/>
      </c>
      <c r="X203" s="69" t="str">
        <f t="shared" si="274"/>
        <v/>
      </c>
      <c r="Y203" s="27" t="s">
        <v>264</v>
      </c>
    </row>
    <row r="204" spans="1:25" x14ac:dyDescent="0.25">
      <c r="A204" s="71" t="s">
        <v>483</v>
      </c>
      <c r="D204" s="106">
        <v>91.660881000000003</v>
      </c>
      <c r="E204" s="69">
        <v>96.007514999999998</v>
      </c>
      <c r="F204" s="69">
        <v>98.183494999999994</v>
      </c>
      <c r="G204" s="69">
        <v>99.505463000000006</v>
      </c>
      <c r="H204" s="69">
        <v>99.667350999999996</v>
      </c>
      <c r="I204" s="69">
        <v>99.734343999999993</v>
      </c>
      <c r="J204" s="69">
        <v>99.765701000000007</v>
      </c>
      <c r="K204" s="69">
        <v>99.784583999999995</v>
      </c>
      <c r="L204" s="27">
        <v>2E-3</v>
      </c>
      <c r="N204" s="71" t="s">
        <v>483</v>
      </c>
      <c r="O204" s="69" t="str">
        <f t="shared" si="265"/>
        <v/>
      </c>
      <c r="P204" s="69" t="str">
        <f t="shared" si="266"/>
        <v/>
      </c>
      <c r="Q204" s="69">
        <f t="shared" si="267"/>
        <v>2.5661450847437099</v>
      </c>
      <c r="R204" s="69">
        <f t="shared" si="268"/>
        <v>2.449965705720309</v>
      </c>
      <c r="S204" s="69">
        <f t="shared" si="269"/>
        <v>2.3956686329146071</v>
      </c>
      <c r="T204" s="69">
        <f t="shared" si="270"/>
        <v>2.3638412620765168</v>
      </c>
      <c r="U204" s="69">
        <f t="shared" si="271"/>
        <v>2.3600017145176073</v>
      </c>
      <c r="V204" s="69">
        <f t="shared" si="272"/>
        <v>2.3584164672645578</v>
      </c>
      <c r="W204" s="69">
        <f t="shared" si="273"/>
        <v>2.3576752018354297</v>
      </c>
      <c r="X204" s="69">
        <f t="shared" si="274"/>
        <v>2.3572290409250809</v>
      </c>
      <c r="Y204" s="27">
        <v>2E-3</v>
      </c>
    </row>
    <row r="205" spans="1:25" x14ac:dyDescent="0.25">
      <c r="A205" s="71" t="s">
        <v>484</v>
      </c>
      <c r="D205" s="106">
        <v>71.328461000000004</v>
      </c>
      <c r="E205" s="69">
        <v>88.629333000000003</v>
      </c>
      <c r="F205" s="69">
        <v>90.790108000000004</v>
      </c>
      <c r="G205" s="69">
        <v>92.172707000000003</v>
      </c>
      <c r="H205" s="69">
        <v>92.334541000000002</v>
      </c>
      <c r="I205" s="69">
        <v>92.422066000000001</v>
      </c>
      <c r="J205" s="69">
        <v>92.447143999999994</v>
      </c>
      <c r="K205" s="69">
        <v>92.463859999999997</v>
      </c>
      <c r="L205" s="27">
        <v>2E-3</v>
      </c>
      <c r="N205" s="71" t="s">
        <v>484</v>
      </c>
      <c r="O205" s="69" t="str">
        <f t="shared" si="265"/>
        <v/>
      </c>
      <c r="P205" s="69" t="str">
        <f t="shared" si="266"/>
        <v/>
      </c>
      <c r="Q205" s="69">
        <f t="shared" si="267"/>
        <v>3.2976334543574146</v>
      </c>
      <c r="R205" s="69">
        <f t="shared" si="268"/>
        <v>2.6539195464940275</v>
      </c>
      <c r="S205" s="69">
        <f t="shared" si="269"/>
        <v>2.5907571256708728</v>
      </c>
      <c r="T205" s="69">
        <f t="shared" si="270"/>
        <v>2.5518955328221851</v>
      </c>
      <c r="U205" s="69">
        <f t="shared" si="271"/>
        <v>2.5474228462502255</v>
      </c>
      <c r="V205" s="69">
        <f t="shared" si="272"/>
        <v>2.5450104008866035</v>
      </c>
      <c r="W205" s="69">
        <f t="shared" si="273"/>
        <v>2.5443200196798741</v>
      </c>
      <c r="X205" s="69">
        <f t="shared" si="274"/>
        <v>2.5438600469570289</v>
      </c>
      <c r="Y205" s="27">
        <v>2E-3</v>
      </c>
    </row>
    <row r="206" spans="1:25" x14ac:dyDescent="0.25">
      <c r="A206" s="71" t="s">
        <v>485</v>
      </c>
      <c r="D206" s="106">
        <v>108.777473</v>
      </c>
      <c r="E206" s="69">
        <v>103.040245</v>
      </c>
      <c r="F206" s="69">
        <v>104.689201</v>
      </c>
      <c r="G206" s="69">
        <v>105.929016</v>
      </c>
      <c r="H206" s="69">
        <v>106.14548499999999</v>
      </c>
      <c r="I206" s="69">
        <v>106.369247</v>
      </c>
      <c r="J206" s="69">
        <v>106.431465</v>
      </c>
      <c r="K206" s="69">
        <v>106.423187</v>
      </c>
      <c r="L206" s="27">
        <v>1E-3</v>
      </c>
      <c r="N206" s="71" t="s">
        <v>485</v>
      </c>
      <c r="O206" s="69" t="str">
        <f t="shared" si="265"/>
        <v/>
      </c>
      <c r="P206" s="69" t="str">
        <f t="shared" si="266"/>
        <v/>
      </c>
      <c r="Q206" s="69">
        <f t="shared" si="267"/>
        <v>2.1623513835574038</v>
      </c>
      <c r="R206" s="69">
        <f t="shared" si="268"/>
        <v>2.2827499996863181</v>
      </c>
      <c r="S206" s="69">
        <f t="shared" si="269"/>
        <v>2.2467944830472835</v>
      </c>
      <c r="T206" s="69">
        <f t="shared" si="270"/>
        <v>2.2204975381006857</v>
      </c>
      <c r="U206" s="69">
        <f t="shared" si="271"/>
        <v>2.2159691412350524</v>
      </c>
      <c r="V206" s="69">
        <f t="shared" si="272"/>
        <v>2.2113075524679435</v>
      </c>
      <c r="W206" s="69">
        <f t="shared" si="273"/>
        <v>2.2100148601865826</v>
      </c>
      <c r="X206" s="69">
        <f t="shared" si="274"/>
        <v>2.2101867635426871</v>
      </c>
      <c r="Y206" s="27">
        <v>1E-3</v>
      </c>
    </row>
    <row r="207" spans="1:25" x14ac:dyDescent="0.25">
      <c r="A207" s="71" t="s">
        <v>486</v>
      </c>
      <c r="D207" s="106">
        <v>89.466553000000005</v>
      </c>
      <c r="E207" s="69">
        <v>96.229729000000006</v>
      </c>
      <c r="F207" s="69">
        <v>98.261520000000004</v>
      </c>
      <c r="G207" s="69">
        <v>99.402137999999994</v>
      </c>
      <c r="H207" s="69">
        <v>99.413482999999999</v>
      </c>
      <c r="I207" s="69">
        <v>99.413276999999994</v>
      </c>
      <c r="J207" s="69">
        <v>99.430678999999998</v>
      </c>
      <c r="K207" s="69">
        <v>99.445518000000007</v>
      </c>
      <c r="L207" s="27">
        <v>2E-3</v>
      </c>
      <c r="N207" s="71" t="s">
        <v>486</v>
      </c>
      <c r="O207" s="69" t="str">
        <f t="shared" si="265"/>
        <v/>
      </c>
      <c r="P207" s="69" t="str">
        <f t="shared" si="266"/>
        <v/>
      </c>
      <c r="Q207" s="69">
        <f t="shared" si="267"/>
        <v>2.6290844047767004</v>
      </c>
      <c r="R207" s="69">
        <f t="shared" si="268"/>
        <v>2.4443082370254636</v>
      </c>
      <c r="S207" s="69">
        <f t="shared" si="269"/>
        <v>2.3937663415081318</v>
      </c>
      <c r="T207" s="69">
        <f t="shared" si="270"/>
        <v>2.3662983913024904</v>
      </c>
      <c r="U207" s="69">
        <f t="shared" si="271"/>
        <v>2.3660283509172308</v>
      </c>
      <c r="V207" s="69">
        <f t="shared" si="272"/>
        <v>2.3660332537013962</v>
      </c>
      <c r="W207" s="69">
        <f t="shared" si="273"/>
        <v>2.3656191590668727</v>
      </c>
      <c r="X207" s="69">
        <f t="shared" si="274"/>
        <v>2.365266167565522</v>
      </c>
      <c r="Y207" s="27">
        <v>2E-3</v>
      </c>
    </row>
    <row r="208" spans="1:25" x14ac:dyDescent="0.25">
      <c r="A208" t="s">
        <v>466</v>
      </c>
      <c r="L208" s="27"/>
      <c r="N208" t="s">
        <v>466</v>
      </c>
      <c r="O208" s="69"/>
      <c r="P208" s="69"/>
      <c r="Q208" s="69"/>
      <c r="R208" s="69"/>
      <c r="S208" s="69"/>
      <c r="T208" s="69"/>
      <c r="U208" s="69"/>
      <c r="V208" s="69"/>
      <c r="W208" s="69"/>
      <c r="X208" s="69"/>
      <c r="Y208" s="27"/>
    </row>
    <row r="209" spans="1:25" x14ac:dyDescent="0.25">
      <c r="A209" s="71" t="s">
        <v>471</v>
      </c>
      <c r="B209" s="108">
        <v>0</v>
      </c>
      <c r="C209" s="106">
        <v>0</v>
      </c>
      <c r="D209" s="106">
        <v>0</v>
      </c>
      <c r="E209" s="69">
        <v>0</v>
      </c>
      <c r="F209" s="69">
        <v>0</v>
      </c>
      <c r="G209" s="69">
        <v>0</v>
      </c>
      <c r="H209" s="69">
        <v>0</v>
      </c>
      <c r="I209" s="69">
        <v>0</v>
      </c>
      <c r="J209" s="69">
        <v>0</v>
      </c>
      <c r="K209" s="69">
        <v>0</v>
      </c>
      <c r="L209" s="27" t="s">
        <v>264</v>
      </c>
      <c r="N209" s="71" t="s">
        <v>471</v>
      </c>
      <c r="O209" s="69" t="str">
        <f t="shared" ref="O209:O224" si="284">IFERROR(L_100km_to_mpg/B209, "")</f>
        <v/>
      </c>
      <c r="P209" s="69" t="str">
        <f t="shared" ref="P209:P224" si="285">IFERROR(L_100km_to_mpg/C209, "")</f>
        <v/>
      </c>
      <c r="Q209" s="69" t="str">
        <f t="shared" ref="Q209:Q224" si="286">IFERROR(L_100km_to_mpg/D209, "")</f>
        <v/>
      </c>
      <c r="R209" s="69" t="str">
        <f t="shared" ref="R209:R224" si="287">IFERROR(L_100km_to_mpg/E209, "")</f>
        <v/>
      </c>
      <c r="S209" s="69" t="str">
        <f t="shared" ref="S209:S224" si="288">IFERROR(L_100km_to_mpg/F209, "")</f>
        <v/>
      </c>
      <c r="T209" s="69" t="str">
        <f t="shared" ref="T209:T224" si="289">IFERROR(L_100km_to_mpg/G209, "")</f>
        <v/>
      </c>
      <c r="U209" s="69" t="str">
        <f t="shared" ref="U209:U224" si="290">IFERROR(L_100km_to_mpg/H209, "")</f>
        <v/>
      </c>
      <c r="V209" s="69" t="str">
        <f t="shared" ref="V209:V224" si="291">IFERROR(L_100km_to_mpg/I209, "")</f>
        <v/>
      </c>
      <c r="W209" s="69" t="str">
        <f t="shared" ref="W209:W224" si="292">IFERROR(L_100km_to_mpg/J209, "")</f>
        <v/>
      </c>
      <c r="X209" s="69" t="str">
        <f t="shared" ref="X209:X224" si="293">IFERROR(L_100km_to_mpg/K209, "")</f>
        <v/>
      </c>
      <c r="Y209" s="27" t="s">
        <v>264</v>
      </c>
    </row>
    <row r="210" spans="1:25" x14ac:dyDescent="0.25">
      <c r="A210" s="71" t="s">
        <v>472</v>
      </c>
      <c r="B210" s="108">
        <v>0</v>
      </c>
      <c r="C210" s="106">
        <v>0</v>
      </c>
      <c r="D210" s="106">
        <v>0</v>
      </c>
      <c r="E210" s="69">
        <v>0</v>
      </c>
      <c r="F210" s="69">
        <v>0</v>
      </c>
      <c r="G210" s="69">
        <v>0</v>
      </c>
      <c r="H210" s="69">
        <v>0</v>
      </c>
      <c r="I210" s="69">
        <v>0</v>
      </c>
      <c r="J210" s="69">
        <v>0</v>
      </c>
      <c r="K210" s="69">
        <v>0</v>
      </c>
      <c r="L210" s="27" t="s">
        <v>264</v>
      </c>
      <c r="N210" s="71" t="s">
        <v>472</v>
      </c>
      <c r="O210" s="69" t="str">
        <f t="shared" si="284"/>
        <v/>
      </c>
      <c r="P210" s="69" t="str">
        <f t="shared" si="285"/>
        <v/>
      </c>
      <c r="Q210" s="69" t="str">
        <f t="shared" si="286"/>
        <v/>
      </c>
      <c r="R210" s="69" t="str">
        <f t="shared" si="287"/>
        <v/>
      </c>
      <c r="S210" s="69" t="str">
        <f t="shared" si="288"/>
        <v/>
      </c>
      <c r="T210" s="69" t="str">
        <f t="shared" si="289"/>
        <v/>
      </c>
      <c r="U210" s="69" t="str">
        <f t="shared" si="290"/>
        <v/>
      </c>
      <c r="V210" s="69" t="str">
        <f t="shared" si="291"/>
        <v/>
      </c>
      <c r="W210" s="69" t="str">
        <f t="shared" si="292"/>
        <v/>
      </c>
      <c r="X210" s="69" t="str">
        <f t="shared" si="293"/>
        <v/>
      </c>
      <c r="Y210" s="27" t="s">
        <v>264</v>
      </c>
    </row>
    <row r="211" spans="1:25" x14ac:dyDescent="0.25">
      <c r="A211" s="71" t="s">
        <v>473</v>
      </c>
      <c r="B211" s="108">
        <v>0</v>
      </c>
      <c r="C211" s="106">
        <v>0</v>
      </c>
      <c r="D211" s="106">
        <v>0</v>
      </c>
      <c r="E211" s="69">
        <v>0</v>
      </c>
      <c r="F211" s="69">
        <v>0</v>
      </c>
      <c r="G211" s="69">
        <v>0</v>
      </c>
      <c r="H211" s="69">
        <v>0</v>
      </c>
      <c r="I211" s="69">
        <v>0</v>
      </c>
      <c r="J211" s="69">
        <v>0</v>
      </c>
      <c r="K211" s="69">
        <v>0</v>
      </c>
      <c r="L211" s="27" t="s">
        <v>264</v>
      </c>
      <c r="N211" s="71" t="s">
        <v>473</v>
      </c>
      <c r="O211" s="69" t="str">
        <f t="shared" si="284"/>
        <v/>
      </c>
      <c r="P211" s="69" t="str">
        <f t="shared" si="285"/>
        <v/>
      </c>
      <c r="Q211" s="69" t="str">
        <f t="shared" si="286"/>
        <v/>
      </c>
      <c r="R211" s="69" t="str">
        <f t="shared" si="287"/>
        <v/>
      </c>
      <c r="S211" s="69" t="str">
        <f t="shared" si="288"/>
        <v/>
      </c>
      <c r="T211" s="69" t="str">
        <f t="shared" si="289"/>
        <v/>
      </c>
      <c r="U211" s="69" t="str">
        <f t="shared" si="290"/>
        <v/>
      </c>
      <c r="V211" s="69" t="str">
        <f t="shared" si="291"/>
        <v/>
      </c>
      <c r="W211" s="69" t="str">
        <f t="shared" si="292"/>
        <v/>
      </c>
      <c r="X211" s="69" t="str">
        <f t="shared" si="293"/>
        <v/>
      </c>
      <c r="Y211" s="27" t="s">
        <v>264</v>
      </c>
    </row>
    <row r="212" spans="1:25" x14ac:dyDescent="0.25">
      <c r="A212" s="71" t="s">
        <v>474</v>
      </c>
      <c r="B212" s="108">
        <v>0</v>
      </c>
      <c r="C212" s="106">
        <v>0</v>
      </c>
      <c r="D212" s="106">
        <v>0</v>
      </c>
      <c r="E212" s="69">
        <v>0</v>
      </c>
      <c r="F212" s="69">
        <v>0</v>
      </c>
      <c r="G212" s="69">
        <v>0</v>
      </c>
      <c r="H212" s="69">
        <v>0</v>
      </c>
      <c r="I212" s="69">
        <v>0</v>
      </c>
      <c r="J212" s="69">
        <v>0</v>
      </c>
      <c r="K212" s="69">
        <v>0</v>
      </c>
      <c r="L212" s="27" t="s">
        <v>264</v>
      </c>
      <c r="N212" s="71" t="s">
        <v>474</v>
      </c>
      <c r="O212" s="69" t="str">
        <f t="shared" si="284"/>
        <v/>
      </c>
      <c r="P212" s="69" t="str">
        <f t="shared" si="285"/>
        <v/>
      </c>
      <c r="Q212" s="69" t="str">
        <f t="shared" si="286"/>
        <v/>
      </c>
      <c r="R212" s="69" t="str">
        <f t="shared" si="287"/>
        <v/>
      </c>
      <c r="S212" s="69" t="str">
        <f t="shared" si="288"/>
        <v/>
      </c>
      <c r="T212" s="69" t="str">
        <f t="shared" si="289"/>
        <v/>
      </c>
      <c r="U212" s="69" t="str">
        <f t="shared" si="290"/>
        <v/>
      </c>
      <c r="V212" s="69" t="str">
        <f t="shared" si="291"/>
        <v/>
      </c>
      <c r="W212" s="69" t="str">
        <f t="shared" si="292"/>
        <v/>
      </c>
      <c r="X212" s="69" t="str">
        <f t="shared" si="293"/>
        <v/>
      </c>
      <c r="Y212" s="27" t="s">
        <v>264</v>
      </c>
    </row>
    <row r="213" spans="1:25" x14ac:dyDescent="0.25">
      <c r="A213" s="71" t="s">
        <v>475</v>
      </c>
      <c r="B213" s="108">
        <v>0</v>
      </c>
      <c r="C213" s="106">
        <v>0</v>
      </c>
      <c r="D213" s="106">
        <v>0</v>
      </c>
      <c r="E213" s="69">
        <v>0</v>
      </c>
      <c r="F213" s="69">
        <v>0</v>
      </c>
      <c r="G213" s="69">
        <v>0</v>
      </c>
      <c r="H213" s="69">
        <v>0</v>
      </c>
      <c r="I213" s="69">
        <v>0</v>
      </c>
      <c r="J213" s="69">
        <v>0</v>
      </c>
      <c r="K213" s="69">
        <v>0</v>
      </c>
      <c r="L213" s="27" t="s">
        <v>264</v>
      </c>
      <c r="N213" s="71" t="s">
        <v>475</v>
      </c>
      <c r="O213" s="69" t="str">
        <f t="shared" si="284"/>
        <v/>
      </c>
      <c r="P213" s="69" t="str">
        <f t="shared" si="285"/>
        <v/>
      </c>
      <c r="Q213" s="69" t="str">
        <f t="shared" si="286"/>
        <v/>
      </c>
      <c r="R213" s="69" t="str">
        <f t="shared" si="287"/>
        <v/>
      </c>
      <c r="S213" s="69" t="str">
        <f t="shared" si="288"/>
        <v/>
      </c>
      <c r="T213" s="69" t="str">
        <f t="shared" si="289"/>
        <v/>
      </c>
      <c r="U213" s="69" t="str">
        <f t="shared" si="290"/>
        <v/>
      </c>
      <c r="V213" s="69" t="str">
        <f t="shared" si="291"/>
        <v/>
      </c>
      <c r="W213" s="69" t="str">
        <f t="shared" si="292"/>
        <v/>
      </c>
      <c r="X213" s="69" t="str">
        <f t="shared" si="293"/>
        <v/>
      </c>
      <c r="Y213" s="27" t="s">
        <v>264</v>
      </c>
    </row>
    <row r="214" spans="1:25" x14ac:dyDescent="0.25">
      <c r="A214" s="71" t="s">
        <v>476</v>
      </c>
      <c r="B214" s="108">
        <v>0</v>
      </c>
      <c r="C214" s="106">
        <v>0</v>
      </c>
      <c r="D214" s="106">
        <v>0</v>
      </c>
      <c r="E214" s="69">
        <v>0</v>
      </c>
      <c r="F214" s="69">
        <v>0</v>
      </c>
      <c r="G214" s="69">
        <v>0</v>
      </c>
      <c r="H214" s="69">
        <v>0</v>
      </c>
      <c r="I214" s="69">
        <v>0</v>
      </c>
      <c r="J214" s="69">
        <v>0</v>
      </c>
      <c r="K214" s="69">
        <v>0</v>
      </c>
      <c r="L214" s="27" t="s">
        <v>264</v>
      </c>
      <c r="N214" s="71" t="s">
        <v>476</v>
      </c>
      <c r="O214" s="69" t="str">
        <f t="shared" si="284"/>
        <v/>
      </c>
      <c r="P214" s="69" t="str">
        <f t="shared" si="285"/>
        <v/>
      </c>
      <c r="Q214" s="69" t="str">
        <f t="shared" si="286"/>
        <v/>
      </c>
      <c r="R214" s="69" t="str">
        <f t="shared" si="287"/>
        <v/>
      </c>
      <c r="S214" s="69" t="str">
        <f t="shared" si="288"/>
        <v/>
      </c>
      <c r="T214" s="69" t="str">
        <f t="shared" si="289"/>
        <v/>
      </c>
      <c r="U214" s="69" t="str">
        <f t="shared" si="290"/>
        <v/>
      </c>
      <c r="V214" s="69" t="str">
        <f t="shared" si="291"/>
        <v/>
      </c>
      <c r="W214" s="69" t="str">
        <f t="shared" si="292"/>
        <v/>
      </c>
      <c r="X214" s="69" t="str">
        <f t="shared" si="293"/>
        <v/>
      </c>
      <c r="Y214" s="27" t="s">
        <v>264</v>
      </c>
    </row>
    <row r="215" spans="1:25" x14ac:dyDescent="0.25">
      <c r="A215" s="71" t="s">
        <v>477</v>
      </c>
      <c r="D215" s="106">
        <v>0</v>
      </c>
      <c r="E215" s="69">
        <v>0</v>
      </c>
      <c r="F215" s="69">
        <v>0</v>
      </c>
      <c r="G215" s="69">
        <v>0</v>
      </c>
      <c r="H215" s="69">
        <v>0</v>
      </c>
      <c r="I215" s="69">
        <v>0</v>
      </c>
      <c r="J215" s="69">
        <v>0</v>
      </c>
      <c r="K215" s="69">
        <v>0</v>
      </c>
      <c r="L215" s="27" t="s">
        <v>264</v>
      </c>
      <c r="N215" s="71" t="s">
        <v>477</v>
      </c>
      <c r="O215" s="69" t="str">
        <f t="shared" si="284"/>
        <v/>
      </c>
      <c r="P215" s="69" t="str">
        <f t="shared" si="285"/>
        <v/>
      </c>
      <c r="Q215" s="69" t="str">
        <f t="shared" si="286"/>
        <v/>
      </c>
      <c r="R215" s="69" t="str">
        <f t="shared" si="287"/>
        <v/>
      </c>
      <c r="S215" s="69" t="str">
        <f t="shared" si="288"/>
        <v/>
      </c>
      <c r="T215" s="69" t="str">
        <f t="shared" si="289"/>
        <v/>
      </c>
      <c r="U215" s="69" t="str">
        <f t="shared" si="290"/>
        <v/>
      </c>
      <c r="V215" s="69" t="str">
        <f t="shared" si="291"/>
        <v/>
      </c>
      <c r="W215" s="69" t="str">
        <f t="shared" si="292"/>
        <v/>
      </c>
      <c r="X215" s="69" t="str">
        <f t="shared" si="293"/>
        <v/>
      </c>
      <c r="Y215" s="27" t="s">
        <v>264</v>
      </c>
    </row>
    <row r="216" spans="1:25" x14ac:dyDescent="0.25">
      <c r="A216" s="71" t="s">
        <v>478</v>
      </c>
      <c r="D216" s="106">
        <v>0</v>
      </c>
      <c r="E216" s="69">
        <v>0</v>
      </c>
      <c r="F216" s="69">
        <v>0</v>
      </c>
      <c r="G216" s="69">
        <v>0</v>
      </c>
      <c r="H216" s="69">
        <v>0</v>
      </c>
      <c r="I216" s="69">
        <v>0</v>
      </c>
      <c r="J216" s="69">
        <v>0</v>
      </c>
      <c r="K216" s="69">
        <v>0</v>
      </c>
      <c r="L216" s="27" t="s">
        <v>264</v>
      </c>
      <c r="N216" s="71" t="s">
        <v>478</v>
      </c>
      <c r="O216" s="69" t="str">
        <f t="shared" si="284"/>
        <v/>
      </c>
      <c r="P216" s="69" t="str">
        <f t="shared" si="285"/>
        <v/>
      </c>
      <c r="Q216" s="69" t="str">
        <f t="shared" si="286"/>
        <v/>
      </c>
      <c r="R216" s="69" t="str">
        <f t="shared" si="287"/>
        <v/>
      </c>
      <c r="S216" s="69" t="str">
        <f t="shared" si="288"/>
        <v/>
      </c>
      <c r="T216" s="69" t="str">
        <f t="shared" si="289"/>
        <v/>
      </c>
      <c r="U216" s="69" t="str">
        <f t="shared" si="290"/>
        <v/>
      </c>
      <c r="V216" s="69" t="str">
        <f t="shared" si="291"/>
        <v/>
      </c>
      <c r="W216" s="69" t="str">
        <f t="shared" si="292"/>
        <v/>
      </c>
      <c r="X216" s="69" t="str">
        <f t="shared" si="293"/>
        <v/>
      </c>
      <c r="Y216" s="27" t="s">
        <v>264</v>
      </c>
    </row>
    <row r="217" spans="1:25" x14ac:dyDescent="0.25">
      <c r="A217" s="71" t="s">
        <v>479</v>
      </c>
      <c r="B217" s="108">
        <v>0</v>
      </c>
      <c r="C217" s="106">
        <v>0</v>
      </c>
      <c r="D217" s="106">
        <v>0</v>
      </c>
      <c r="E217" s="69">
        <v>0</v>
      </c>
      <c r="F217" s="69">
        <v>0</v>
      </c>
      <c r="G217" s="69">
        <v>0</v>
      </c>
      <c r="H217" s="69">
        <v>0</v>
      </c>
      <c r="I217" s="69">
        <v>0</v>
      </c>
      <c r="J217" s="69">
        <v>0</v>
      </c>
      <c r="K217" s="69">
        <v>0</v>
      </c>
      <c r="L217" s="27" t="s">
        <v>264</v>
      </c>
      <c r="N217" s="71" t="s">
        <v>479</v>
      </c>
      <c r="O217" s="69" t="str">
        <f t="shared" si="284"/>
        <v/>
      </c>
      <c r="P217" s="69" t="str">
        <f t="shared" si="285"/>
        <v/>
      </c>
      <c r="Q217" s="69" t="str">
        <f t="shared" si="286"/>
        <v/>
      </c>
      <c r="R217" s="69" t="str">
        <f t="shared" si="287"/>
        <v/>
      </c>
      <c r="S217" s="69" t="str">
        <f t="shared" si="288"/>
        <v/>
      </c>
      <c r="T217" s="69" t="str">
        <f t="shared" si="289"/>
        <v/>
      </c>
      <c r="U217" s="69" t="str">
        <f t="shared" si="290"/>
        <v/>
      </c>
      <c r="V217" s="69" t="str">
        <f t="shared" si="291"/>
        <v/>
      </c>
      <c r="W217" s="69" t="str">
        <f t="shared" si="292"/>
        <v/>
      </c>
      <c r="X217" s="69" t="str">
        <f t="shared" si="293"/>
        <v/>
      </c>
      <c r="Y217" s="27" t="s">
        <v>264</v>
      </c>
    </row>
    <row r="218" spans="1:25" x14ac:dyDescent="0.25">
      <c r="A218" s="71" t="s">
        <v>480</v>
      </c>
      <c r="B218" s="108">
        <v>0</v>
      </c>
      <c r="C218" s="106">
        <v>0</v>
      </c>
      <c r="D218" s="106">
        <v>0</v>
      </c>
      <c r="E218" s="69">
        <v>0</v>
      </c>
      <c r="F218" s="69">
        <v>0</v>
      </c>
      <c r="G218" s="69">
        <v>0</v>
      </c>
      <c r="H218" s="69">
        <v>0</v>
      </c>
      <c r="I218" s="69">
        <v>0</v>
      </c>
      <c r="J218" s="69">
        <v>0</v>
      </c>
      <c r="K218" s="69">
        <v>0</v>
      </c>
      <c r="L218" s="27" t="s">
        <v>264</v>
      </c>
      <c r="N218" s="71" t="s">
        <v>480</v>
      </c>
      <c r="O218" s="69" t="str">
        <f t="shared" si="284"/>
        <v/>
      </c>
      <c r="P218" s="69" t="str">
        <f t="shared" si="285"/>
        <v/>
      </c>
      <c r="Q218" s="69" t="str">
        <f t="shared" si="286"/>
        <v/>
      </c>
      <c r="R218" s="69" t="str">
        <f t="shared" si="287"/>
        <v/>
      </c>
      <c r="S218" s="69" t="str">
        <f t="shared" si="288"/>
        <v/>
      </c>
      <c r="T218" s="69" t="str">
        <f t="shared" si="289"/>
        <v/>
      </c>
      <c r="U218" s="69" t="str">
        <f t="shared" si="290"/>
        <v/>
      </c>
      <c r="V218" s="69" t="str">
        <f t="shared" si="291"/>
        <v/>
      </c>
      <c r="W218" s="69" t="str">
        <f t="shared" si="292"/>
        <v/>
      </c>
      <c r="X218" s="69" t="str">
        <f t="shared" si="293"/>
        <v/>
      </c>
      <c r="Y218" s="27" t="s">
        <v>264</v>
      </c>
    </row>
    <row r="219" spans="1:25" x14ac:dyDescent="0.25">
      <c r="A219" s="71" t="s">
        <v>481</v>
      </c>
      <c r="B219" s="108">
        <v>0</v>
      </c>
      <c r="C219" s="106">
        <v>0</v>
      </c>
      <c r="D219" s="106">
        <v>0</v>
      </c>
      <c r="E219" s="69">
        <v>0</v>
      </c>
      <c r="F219" s="69">
        <v>0</v>
      </c>
      <c r="G219" s="69">
        <v>0</v>
      </c>
      <c r="H219" s="69">
        <v>0</v>
      </c>
      <c r="I219" s="69">
        <v>0</v>
      </c>
      <c r="J219" s="69">
        <v>0</v>
      </c>
      <c r="K219" s="69">
        <v>0</v>
      </c>
      <c r="L219" s="27" t="s">
        <v>264</v>
      </c>
      <c r="N219" s="71" t="s">
        <v>481</v>
      </c>
      <c r="O219" s="69" t="str">
        <f t="shared" si="284"/>
        <v/>
      </c>
      <c r="P219" s="69" t="str">
        <f t="shared" si="285"/>
        <v/>
      </c>
      <c r="Q219" s="69" t="str">
        <f t="shared" si="286"/>
        <v/>
      </c>
      <c r="R219" s="69" t="str">
        <f t="shared" si="287"/>
        <v/>
      </c>
      <c r="S219" s="69" t="str">
        <f t="shared" si="288"/>
        <v/>
      </c>
      <c r="T219" s="69" t="str">
        <f t="shared" si="289"/>
        <v/>
      </c>
      <c r="U219" s="69" t="str">
        <f t="shared" si="290"/>
        <v/>
      </c>
      <c r="V219" s="69" t="str">
        <f t="shared" si="291"/>
        <v/>
      </c>
      <c r="W219" s="69" t="str">
        <f t="shared" si="292"/>
        <v/>
      </c>
      <c r="X219" s="69" t="str">
        <f t="shared" si="293"/>
        <v/>
      </c>
      <c r="Y219" s="27" t="s">
        <v>264</v>
      </c>
    </row>
    <row r="220" spans="1:25" x14ac:dyDescent="0.25">
      <c r="A220" s="71" t="s">
        <v>482</v>
      </c>
      <c r="B220" s="108">
        <v>0</v>
      </c>
      <c r="C220" s="106">
        <v>0</v>
      </c>
      <c r="D220" s="106">
        <v>0</v>
      </c>
      <c r="E220" s="69">
        <v>0</v>
      </c>
      <c r="F220" s="69">
        <v>0</v>
      </c>
      <c r="G220" s="69">
        <v>0</v>
      </c>
      <c r="H220" s="69">
        <v>0</v>
      </c>
      <c r="I220" s="69">
        <v>0</v>
      </c>
      <c r="J220" s="69">
        <v>0</v>
      </c>
      <c r="K220" s="69">
        <v>0</v>
      </c>
      <c r="L220" s="27" t="s">
        <v>264</v>
      </c>
      <c r="N220" s="71" t="s">
        <v>482</v>
      </c>
      <c r="O220" s="69" t="str">
        <f t="shared" si="284"/>
        <v/>
      </c>
      <c r="P220" s="69" t="str">
        <f t="shared" si="285"/>
        <v/>
      </c>
      <c r="Q220" s="69" t="str">
        <f t="shared" si="286"/>
        <v/>
      </c>
      <c r="R220" s="69" t="str">
        <f t="shared" si="287"/>
        <v/>
      </c>
      <c r="S220" s="69" t="str">
        <f t="shared" si="288"/>
        <v/>
      </c>
      <c r="T220" s="69" t="str">
        <f t="shared" si="289"/>
        <v/>
      </c>
      <c r="U220" s="69" t="str">
        <f t="shared" si="290"/>
        <v/>
      </c>
      <c r="V220" s="69" t="str">
        <f t="shared" si="291"/>
        <v/>
      </c>
      <c r="W220" s="69" t="str">
        <f t="shared" si="292"/>
        <v/>
      </c>
      <c r="X220" s="69" t="str">
        <f t="shared" si="293"/>
        <v/>
      </c>
      <c r="Y220" s="27" t="s">
        <v>264</v>
      </c>
    </row>
    <row r="221" spans="1:25" x14ac:dyDescent="0.25">
      <c r="A221" s="71" t="s">
        <v>483</v>
      </c>
      <c r="B221" s="108">
        <v>0</v>
      </c>
      <c r="C221" s="106">
        <v>0</v>
      </c>
      <c r="D221" s="106">
        <v>0</v>
      </c>
      <c r="E221" s="69">
        <v>0</v>
      </c>
      <c r="F221" s="69">
        <v>0</v>
      </c>
      <c r="G221" s="69">
        <v>0</v>
      </c>
      <c r="H221" s="69">
        <v>0</v>
      </c>
      <c r="I221" s="69">
        <v>0</v>
      </c>
      <c r="J221" s="69">
        <v>0</v>
      </c>
      <c r="K221" s="69">
        <v>0</v>
      </c>
      <c r="L221" s="27" t="s">
        <v>264</v>
      </c>
      <c r="N221" s="71" t="s">
        <v>483</v>
      </c>
      <c r="O221" s="69" t="str">
        <f t="shared" si="284"/>
        <v/>
      </c>
      <c r="P221" s="69" t="str">
        <f t="shared" si="285"/>
        <v/>
      </c>
      <c r="Q221" s="69" t="str">
        <f t="shared" si="286"/>
        <v/>
      </c>
      <c r="R221" s="69" t="str">
        <f t="shared" si="287"/>
        <v/>
      </c>
      <c r="S221" s="69" t="str">
        <f t="shared" si="288"/>
        <v/>
      </c>
      <c r="T221" s="69" t="str">
        <f t="shared" si="289"/>
        <v/>
      </c>
      <c r="U221" s="69" t="str">
        <f t="shared" si="290"/>
        <v/>
      </c>
      <c r="V221" s="69" t="str">
        <f t="shared" si="291"/>
        <v/>
      </c>
      <c r="W221" s="69" t="str">
        <f t="shared" si="292"/>
        <v/>
      </c>
      <c r="X221" s="69" t="str">
        <f t="shared" si="293"/>
        <v/>
      </c>
      <c r="Y221" s="27" t="s">
        <v>264</v>
      </c>
    </row>
    <row r="222" spans="1:25" x14ac:dyDescent="0.25">
      <c r="A222" s="71" t="s">
        <v>484</v>
      </c>
      <c r="B222" s="108">
        <v>0</v>
      </c>
      <c r="C222" s="106">
        <v>0</v>
      </c>
      <c r="D222" s="106">
        <v>0</v>
      </c>
      <c r="E222" s="69">
        <v>0</v>
      </c>
      <c r="F222" s="69">
        <v>0</v>
      </c>
      <c r="G222" s="69">
        <v>0</v>
      </c>
      <c r="H222" s="69">
        <v>0</v>
      </c>
      <c r="I222" s="69">
        <v>0</v>
      </c>
      <c r="J222" s="69">
        <v>0</v>
      </c>
      <c r="K222" s="69">
        <v>0</v>
      </c>
      <c r="L222" s="27" t="s">
        <v>264</v>
      </c>
      <c r="N222" s="71" t="s">
        <v>484</v>
      </c>
      <c r="O222" s="69" t="str">
        <f t="shared" si="284"/>
        <v/>
      </c>
      <c r="P222" s="69" t="str">
        <f t="shared" si="285"/>
        <v/>
      </c>
      <c r="Q222" s="69" t="str">
        <f t="shared" si="286"/>
        <v/>
      </c>
      <c r="R222" s="69" t="str">
        <f t="shared" si="287"/>
        <v/>
      </c>
      <c r="S222" s="69" t="str">
        <f t="shared" si="288"/>
        <v/>
      </c>
      <c r="T222" s="69" t="str">
        <f t="shared" si="289"/>
        <v/>
      </c>
      <c r="U222" s="69" t="str">
        <f t="shared" si="290"/>
        <v/>
      </c>
      <c r="V222" s="69" t="str">
        <f t="shared" si="291"/>
        <v/>
      </c>
      <c r="W222" s="69" t="str">
        <f t="shared" si="292"/>
        <v/>
      </c>
      <c r="X222" s="69" t="str">
        <f t="shared" si="293"/>
        <v/>
      </c>
      <c r="Y222" s="27" t="s">
        <v>264</v>
      </c>
    </row>
    <row r="223" spans="1:25" x14ac:dyDescent="0.25">
      <c r="A223" s="71" t="s">
        <v>485</v>
      </c>
      <c r="D223" s="106">
        <v>0</v>
      </c>
      <c r="E223" s="69">
        <v>0</v>
      </c>
      <c r="F223" s="69">
        <v>0</v>
      </c>
      <c r="G223" s="69">
        <v>0</v>
      </c>
      <c r="H223" s="69">
        <v>0</v>
      </c>
      <c r="I223" s="69">
        <v>0</v>
      </c>
      <c r="J223" s="69">
        <v>0</v>
      </c>
      <c r="K223" s="69">
        <v>0</v>
      </c>
      <c r="L223" s="27" t="s">
        <v>264</v>
      </c>
      <c r="N223" s="71" t="s">
        <v>485</v>
      </c>
      <c r="O223" s="69" t="str">
        <f t="shared" si="284"/>
        <v/>
      </c>
      <c r="P223" s="69" t="str">
        <f t="shared" si="285"/>
        <v/>
      </c>
      <c r="Q223" s="69" t="str">
        <f t="shared" si="286"/>
        <v/>
      </c>
      <c r="R223" s="69" t="str">
        <f t="shared" si="287"/>
        <v/>
      </c>
      <c r="S223" s="69" t="str">
        <f t="shared" si="288"/>
        <v/>
      </c>
      <c r="T223" s="69" t="str">
        <f t="shared" si="289"/>
        <v/>
      </c>
      <c r="U223" s="69" t="str">
        <f t="shared" si="290"/>
        <v/>
      </c>
      <c r="V223" s="69" t="str">
        <f t="shared" si="291"/>
        <v/>
      </c>
      <c r="W223" s="69" t="str">
        <f t="shared" si="292"/>
        <v/>
      </c>
      <c r="X223" s="69" t="str">
        <f t="shared" si="293"/>
        <v/>
      </c>
      <c r="Y223" s="27" t="s">
        <v>264</v>
      </c>
    </row>
    <row r="224" spans="1:25" x14ac:dyDescent="0.25">
      <c r="A224" s="71" t="s">
        <v>486</v>
      </c>
      <c r="D224" s="106">
        <v>0</v>
      </c>
      <c r="E224" s="69">
        <v>0</v>
      </c>
      <c r="F224" s="69">
        <v>0</v>
      </c>
      <c r="G224" s="69">
        <v>0</v>
      </c>
      <c r="H224" s="69">
        <v>0</v>
      </c>
      <c r="I224" s="69">
        <v>0</v>
      </c>
      <c r="J224" s="69">
        <v>0</v>
      </c>
      <c r="K224" s="69">
        <v>0</v>
      </c>
      <c r="L224" s="27" t="s">
        <v>264</v>
      </c>
      <c r="N224" s="71" t="s">
        <v>486</v>
      </c>
      <c r="O224" s="69" t="str">
        <f t="shared" si="284"/>
        <v/>
      </c>
      <c r="P224" s="69" t="str">
        <f t="shared" si="285"/>
        <v/>
      </c>
      <c r="Q224" s="69" t="str">
        <f t="shared" si="286"/>
        <v/>
      </c>
      <c r="R224" s="69" t="str">
        <f t="shared" si="287"/>
        <v/>
      </c>
      <c r="S224" s="69" t="str">
        <f t="shared" si="288"/>
        <v/>
      </c>
      <c r="T224" s="69" t="str">
        <f t="shared" si="289"/>
        <v/>
      </c>
      <c r="U224" s="69" t="str">
        <f t="shared" si="290"/>
        <v/>
      </c>
      <c r="V224" s="69" t="str">
        <f t="shared" si="291"/>
        <v/>
      </c>
      <c r="W224" s="69" t="str">
        <f t="shared" si="292"/>
        <v/>
      </c>
      <c r="X224" s="69" t="str">
        <f t="shared" si="293"/>
        <v/>
      </c>
      <c r="Y224" s="27" t="s">
        <v>264</v>
      </c>
    </row>
    <row r="225" spans="1:38" x14ac:dyDescent="0.25">
      <c r="A225" t="s">
        <v>467</v>
      </c>
      <c r="L225" s="27"/>
      <c r="N225" t="s">
        <v>467</v>
      </c>
      <c r="O225" s="69"/>
      <c r="P225" s="69"/>
      <c r="Q225" s="69"/>
      <c r="R225" s="69"/>
      <c r="S225" s="69"/>
      <c r="T225" s="69"/>
      <c r="U225" s="69"/>
      <c r="V225" s="69"/>
      <c r="W225" s="69"/>
      <c r="X225" s="69"/>
      <c r="Y225" s="27"/>
      <c r="AA225" t="s">
        <v>8</v>
      </c>
      <c r="AB225" t="s">
        <v>497</v>
      </c>
      <c r="AC225" s="69">
        <f>AVERAGE(O226:O233)</f>
        <v>4.8251985435057216</v>
      </c>
      <c r="AD225" s="69">
        <f t="shared" ref="AD225" si="294">AVERAGE(P226:P233)</f>
        <v>5.1218527302003034</v>
      </c>
      <c r="AE225" s="69">
        <f t="shared" ref="AE225" si="295">AVERAGE(Q226:Q233)</f>
        <v>4.4031532860911398</v>
      </c>
      <c r="AF225" s="69">
        <f t="shared" ref="AF225" si="296">AVERAGE(R226:R233)</f>
        <v>4.0746316943960625</v>
      </c>
      <c r="AG225" s="69">
        <f t="shared" ref="AG225" si="297">AVERAGE(S226:S233)</f>
        <v>3.9033770483236006</v>
      </c>
      <c r="AH225" s="69">
        <f t="shared" ref="AH225" si="298">AVERAGE(T226:T233)</f>
        <v>3.753598003843102</v>
      </c>
      <c r="AI225" s="69">
        <f t="shared" ref="AI225" si="299">AVERAGE(U226:U233)</f>
        <v>3.7728260219856127</v>
      </c>
      <c r="AJ225" s="69">
        <f t="shared" ref="AJ225" si="300">AVERAGE(V226:V233)</f>
        <v>3.756855973828753</v>
      </c>
      <c r="AK225" s="69">
        <f t="shared" ref="AK225" si="301">AVERAGE(W226:W233)</f>
        <v>3.8183773000262327</v>
      </c>
      <c r="AL225" s="69">
        <f t="shared" ref="AL225" si="302">AVERAGE(X226:X233)</f>
        <v>3.8203211955589285</v>
      </c>
    </row>
    <row r="226" spans="1:38" x14ac:dyDescent="0.25">
      <c r="A226" s="71" t="s">
        <v>471</v>
      </c>
      <c r="B226" s="108">
        <v>0</v>
      </c>
      <c r="C226" s="106">
        <v>0</v>
      </c>
      <c r="D226" s="106">
        <v>0</v>
      </c>
      <c r="E226" s="69">
        <v>0</v>
      </c>
      <c r="F226" s="69">
        <v>0</v>
      </c>
      <c r="G226" s="69">
        <v>0</v>
      </c>
      <c r="H226" s="69">
        <v>0</v>
      </c>
      <c r="I226" s="69">
        <v>0</v>
      </c>
      <c r="J226" s="69">
        <v>56.150047000000001</v>
      </c>
      <c r="K226" s="69">
        <v>56.329436999999999</v>
      </c>
      <c r="L226" s="27" t="s">
        <v>264</v>
      </c>
      <c r="N226" s="71" t="s">
        <v>471</v>
      </c>
      <c r="O226" s="69" t="str">
        <f t="shared" ref="O226:O241" si="303">IFERROR(L_100km_to_mpg/B226, "")</f>
        <v/>
      </c>
      <c r="P226" s="69" t="str">
        <f t="shared" ref="P226:P241" si="304">IFERROR(L_100km_to_mpg/C226, "")</f>
        <v/>
      </c>
      <c r="Q226" s="69" t="str">
        <f t="shared" ref="Q226:Q241" si="305">IFERROR(L_100km_to_mpg/D226, "")</f>
        <v/>
      </c>
      <c r="R226" s="69" t="str">
        <f t="shared" ref="R226:R241" si="306">IFERROR(L_100km_to_mpg/E226, "")</f>
        <v/>
      </c>
      <c r="S226" s="69" t="str">
        <f t="shared" ref="S226:S241" si="307">IFERROR(L_100km_to_mpg/F226, "")</f>
        <v/>
      </c>
      <c r="T226" s="69" t="str">
        <f t="shared" ref="T226:T241" si="308">IFERROR(L_100km_to_mpg/G226, "")</f>
        <v/>
      </c>
      <c r="U226" s="69" t="str">
        <f t="shared" ref="U226:U241" si="309">IFERROR(L_100km_to_mpg/H226, "")</f>
        <v/>
      </c>
      <c r="V226" s="69" t="str">
        <f t="shared" ref="V226:V241" si="310">IFERROR(L_100km_to_mpg/I226, "")</f>
        <v/>
      </c>
      <c r="W226" s="69">
        <f t="shared" ref="W226:W241" si="311">IFERROR(L_100km_to_mpg/J226, "")</f>
        <v>4.1890458122221723</v>
      </c>
      <c r="X226" s="69">
        <f t="shared" ref="X226:X241" si="312">IFERROR(L_100km_to_mpg/K226, "")</f>
        <v>4.1757051333821806</v>
      </c>
      <c r="Y226" s="27" t="s">
        <v>264</v>
      </c>
      <c r="AA226" t="s">
        <v>240</v>
      </c>
      <c r="AB226" t="s">
        <v>497</v>
      </c>
      <c r="AC226" s="69">
        <f>AVERAGE(O234:O241)</f>
        <v>6.965662422173283</v>
      </c>
      <c r="AD226" s="69">
        <f t="shared" ref="AD226" si="313">AVERAGE(P234:P241)</f>
        <v>6.2121292347513517</v>
      </c>
      <c r="AE226" s="69">
        <f t="shared" ref="AE226" si="314">AVERAGE(Q234:Q241)</f>
        <v>5.6078178951978028</v>
      </c>
      <c r="AF226" s="69">
        <f t="shared" ref="AF226" si="315">AVERAGE(R234:R241)</f>
        <v>5.1592720305189248</v>
      </c>
      <c r="AG226" s="69">
        <f t="shared" ref="AG226" si="316">AVERAGE(S234:S241)</f>
        <v>4.8362531317884185</v>
      </c>
      <c r="AH226" s="69">
        <f t="shared" ref="AH226" si="317">AVERAGE(T234:T241)</f>
        <v>4.5548693118921424</v>
      </c>
      <c r="AI226" s="69">
        <f t="shared" ref="AI226" si="318">AVERAGE(U234:U241)</f>
        <v>4.5182362000177028</v>
      </c>
      <c r="AJ226" s="69">
        <f t="shared" ref="AJ226" si="319">AVERAGE(V234:V241)</f>
        <v>4.4732900217427858</v>
      </c>
      <c r="AK226" s="69">
        <f t="shared" ref="AK226" si="320">AVERAGE(W234:W241)</f>
        <v>4.4688752715667777</v>
      </c>
      <c r="AL226" s="69">
        <f t="shared" ref="AL226" si="321">AVERAGE(X234:X241)</f>
        <v>4.4632042091109669</v>
      </c>
    </row>
    <row r="227" spans="1:38" x14ac:dyDescent="0.25">
      <c r="A227" s="71" t="s">
        <v>472</v>
      </c>
      <c r="B227" s="108">
        <v>0</v>
      </c>
      <c r="C227" s="106">
        <v>49.877761999999997</v>
      </c>
      <c r="D227" s="106">
        <v>50.563602000000003</v>
      </c>
      <c r="E227" s="69">
        <v>49.999789999999997</v>
      </c>
      <c r="F227" s="69">
        <v>51.915816999999997</v>
      </c>
      <c r="G227" s="69">
        <v>54.235202999999998</v>
      </c>
      <c r="H227" s="69">
        <v>54.380718000000002</v>
      </c>
      <c r="I227" s="69">
        <v>54.911799999999999</v>
      </c>
      <c r="J227" s="69">
        <v>54.828636000000003</v>
      </c>
      <c r="K227" s="69">
        <v>54.723754999999997</v>
      </c>
      <c r="L227" s="27">
        <v>3.0000000000000001E-3</v>
      </c>
      <c r="N227" s="71" t="s">
        <v>472</v>
      </c>
      <c r="O227" s="69" t="str">
        <f t="shared" si="303"/>
        <v/>
      </c>
      <c r="P227" s="69">
        <f t="shared" si="304"/>
        <v>4.7158314609510379</v>
      </c>
      <c r="Q227" s="69">
        <f t="shared" si="305"/>
        <v>4.651866361131237</v>
      </c>
      <c r="R227" s="69">
        <f t="shared" si="306"/>
        <v>4.7043221429815638</v>
      </c>
      <c r="S227" s="69">
        <f t="shared" si="307"/>
        <v>4.5307024493407884</v>
      </c>
      <c r="T227" s="69">
        <f t="shared" si="308"/>
        <v>4.3369454935280345</v>
      </c>
      <c r="U227" s="69">
        <f t="shared" si="309"/>
        <v>4.325340449558392</v>
      </c>
      <c r="V227" s="69">
        <f t="shared" si="310"/>
        <v>4.2835077204066909</v>
      </c>
      <c r="W227" s="69">
        <f t="shared" si="311"/>
        <v>4.2900049390509754</v>
      </c>
      <c r="X227" s="69">
        <f t="shared" si="312"/>
        <v>4.298226962704371</v>
      </c>
      <c r="Y227" s="27">
        <v>3.0000000000000001E-3</v>
      </c>
    </row>
    <row r="228" spans="1:38" x14ac:dyDescent="0.25">
      <c r="A228" s="71" t="s">
        <v>473</v>
      </c>
      <c r="B228" s="108">
        <v>50.900455000000001</v>
      </c>
      <c r="C228" s="106">
        <v>56.824032000000003</v>
      </c>
      <c r="D228" s="106">
        <v>60.476280000000003</v>
      </c>
      <c r="E228" s="69">
        <v>69.840278999999995</v>
      </c>
      <c r="F228" s="69">
        <v>72.654404</v>
      </c>
      <c r="G228" s="69">
        <v>75.166381999999999</v>
      </c>
      <c r="H228" s="69">
        <v>74.077156000000002</v>
      </c>
      <c r="I228" s="69">
        <v>73.838341</v>
      </c>
      <c r="J228" s="69">
        <v>73.371696</v>
      </c>
      <c r="K228" s="69">
        <v>73.152275000000003</v>
      </c>
      <c r="L228" s="27">
        <v>2E-3</v>
      </c>
      <c r="N228" s="71" t="s">
        <v>473</v>
      </c>
      <c r="O228" s="69">
        <f t="shared" si="303"/>
        <v>4.6210808772029273</v>
      </c>
      <c r="P228" s="69">
        <f t="shared" si="304"/>
        <v>4.1393598969081982</v>
      </c>
      <c r="Q228" s="69">
        <f t="shared" si="305"/>
        <v>3.889378103967839</v>
      </c>
      <c r="R228" s="69">
        <f t="shared" si="306"/>
        <v>3.3679006242433274</v>
      </c>
      <c r="S228" s="69">
        <f t="shared" si="307"/>
        <v>3.237451638051124</v>
      </c>
      <c r="T228" s="69">
        <f t="shared" si="308"/>
        <v>3.1292595570374551</v>
      </c>
      <c r="U228" s="69">
        <f t="shared" si="309"/>
        <v>3.1752719993924732</v>
      </c>
      <c r="V228" s="69">
        <f t="shared" si="310"/>
        <v>3.1855417667283201</v>
      </c>
      <c r="W228" s="69">
        <f t="shared" si="311"/>
        <v>3.2058018563647233</v>
      </c>
      <c r="X228" s="69">
        <f t="shared" si="312"/>
        <v>3.2154176919504982</v>
      </c>
      <c r="Y228" s="27">
        <v>2E-3</v>
      </c>
    </row>
    <row r="229" spans="1:38" x14ac:dyDescent="0.25">
      <c r="A229" s="71" t="s">
        <v>474</v>
      </c>
      <c r="B229" s="108">
        <v>51.839832000000001</v>
      </c>
      <c r="C229" s="106">
        <v>54.786278000000003</v>
      </c>
      <c r="D229" s="106">
        <v>65.566040000000001</v>
      </c>
      <c r="E229" s="69">
        <v>70.104743999999997</v>
      </c>
      <c r="F229" s="69">
        <v>72.161995000000005</v>
      </c>
      <c r="G229" s="69">
        <v>74.110793999999999</v>
      </c>
      <c r="H229" s="69">
        <v>72.724663000000007</v>
      </c>
      <c r="I229" s="69">
        <v>72.559700000000007</v>
      </c>
      <c r="J229" s="69">
        <v>72.083365999999998</v>
      </c>
      <c r="K229" s="69">
        <v>71.791801000000007</v>
      </c>
      <c r="L229" s="27">
        <v>1E-3</v>
      </c>
      <c r="N229" s="71" t="s">
        <v>474</v>
      </c>
      <c r="O229" s="69">
        <f t="shared" si="303"/>
        <v>4.537343393424349</v>
      </c>
      <c r="P229" s="69">
        <f t="shared" si="304"/>
        <v>4.2933217555211201</v>
      </c>
      <c r="Q229" s="69">
        <f t="shared" si="305"/>
        <v>3.5874534933241069</v>
      </c>
      <c r="R229" s="69">
        <f t="shared" si="306"/>
        <v>3.3551954663928045</v>
      </c>
      <c r="S229" s="69">
        <f t="shared" si="307"/>
        <v>3.2595429109384813</v>
      </c>
      <c r="T229" s="69">
        <f t="shared" si="308"/>
        <v>3.1738307815380868</v>
      </c>
      <c r="U229" s="69">
        <f t="shared" si="309"/>
        <v>3.2343239492416505</v>
      </c>
      <c r="V229" s="69">
        <f t="shared" si="310"/>
        <v>3.2416771188611326</v>
      </c>
      <c r="W229" s="69">
        <f t="shared" si="311"/>
        <v>3.263098441343987</v>
      </c>
      <c r="X229" s="69">
        <f t="shared" si="312"/>
        <v>3.2763507248053036</v>
      </c>
      <c r="Y229" s="27">
        <v>1E-3</v>
      </c>
    </row>
    <row r="230" spans="1:38" x14ac:dyDescent="0.25">
      <c r="A230" s="71" t="s">
        <v>475</v>
      </c>
      <c r="B230" s="108">
        <v>44.236888999999998</v>
      </c>
      <c r="C230" s="106">
        <v>42.408496999999997</v>
      </c>
      <c r="D230" s="106">
        <v>55.420422000000002</v>
      </c>
      <c r="E230" s="69">
        <v>61.444930999999997</v>
      </c>
      <c r="F230" s="69">
        <v>62.976784000000002</v>
      </c>
      <c r="G230" s="69">
        <v>65.470862999999994</v>
      </c>
      <c r="H230" s="69">
        <v>64.752257999999998</v>
      </c>
      <c r="I230" s="69">
        <v>64.632271000000003</v>
      </c>
      <c r="J230" s="69">
        <v>64.256996000000001</v>
      </c>
      <c r="K230" s="69">
        <v>64.083770999999999</v>
      </c>
      <c r="L230" s="27">
        <v>2E-3</v>
      </c>
      <c r="N230" s="71" t="s">
        <v>475</v>
      </c>
      <c r="O230" s="69">
        <f t="shared" si="303"/>
        <v>5.3171713598898904</v>
      </c>
      <c r="P230" s="69">
        <f t="shared" si="304"/>
        <v>5.5464148904269859</v>
      </c>
      <c r="Q230" s="69">
        <f t="shared" si="305"/>
        <v>4.2441957450527559</v>
      </c>
      <c r="R230" s="69">
        <f t="shared" si="306"/>
        <v>3.8280638518648211</v>
      </c>
      <c r="S230" s="69">
        <f t="shared" si="307"/>
        <v>3.7349496798920079</v>
      </c>
      <c r="T230" s="69">
        <f t="shared" si="308"/>
        <v>3.5926686844104707</v>
      </c>
      <c r="U230" s="69">
        <f t="shared" si="309"/>
        <v>3.6325392581897011</v>
      </c>
      <c r="V230" s="69">
        <f t="shared" si="310"/>
        <v>3.6392829093291201</v>
      </c>
      <c r="W230" s="69">
        <f t="shared" si="311"/>
        <v>3.6605371225481522</v>
      </c>
      <c r="X230" s="69">
        <f t="shared" si="312"/>
        <v>3.6704319295040886</v>
      </c>
      <c r="Y230" s="27">
        <v>2E-3</v>
      </c>
    </row>
    <row r="231" spans="1:38" x14ac:dyDescent="0.25">
      <c r="A231" s="71" t="s">
        <v>476</v>
      </c>
      <c r="B231" s="108">
        <v>0</v>
      </c>
      <c r="C231" s="106">
        <v>41.553801999999997</v>
      </c>
      <c r="D231" s="106">
        <v>42.538936999999997</v>
      </c>
      <c r="E231" s="69">
        <v>43.759014000000001</v>
      </c>
      <c r="F231" s="69">
        <v>46.468994000000002</v>
      </c>
      <c r="G231" s="69">
        <v>48.685940000000002</v>
      </c>
      <c r="H231" s="69">
        <v>49.149811</v>
      </c>
      <c r="I231" s="69">
        <v>49.721530999999999</v>
      </c>
      <c r="J231" s="69">
        <v>49.848854000000003</v>
      </c>
      <c r="K231" s="69">
        <v>49.913204</v>
      </c>
      <c r="L231" s="27">
        <v>6.0000000000000001E-3</v>
      </c>
      <c r="N231" s="71" t="s">
        <v>476</v>
      </c>
      <c r="O231" s="69" t="str">
        <f t="shared" si="303"/>
        <v/>
      </c>
      <c r="P231" s="69">
        <f t="shared" si="304"/>
        <v>5.660495740953575</v>
      </c>
      <c r="Q231" s="69">
        <f t="shared" si="305"/>
        <v>5.5294075458779837</v>
      </c>
      <c r="R231" s="69">
        <f t="shared" si="306"/>
        <v>5.3752380993188771</v>
      </c>
      <c r="S231" s="69">
        <f t="shared" si="307"/>
        <v>5.0617648241196731</v>
      </c>
      <c r="T231" s="69">
        <f t="shared" si="308"/>
        <v>4.8312740647798549</v>
      </c>
      <c r="U231" s="69">
        <f t="shared" si="309"/>
        <v>4.7856769834054527</v>
      </c>
      <c r="V231" s="69">
        <f t="shared" si="310"/>
        <v>4.730649167690113</v>
      </c>
      <c r="W231" s="69">
        <f t="shared" si="311"/>
        <v>4.7185662330658218</v>
      </c>
      <c r="X231" s="69">
        <f t="shared" si="312"/>
        <v>4.712482878106325</v>
      </c>
      <c r="Y231" s="27">
        <v>6.0000000000000001E-3</v>
      </c>
    </row>
    <row r="232" spans="1:38" x14ac:dyDescent="0.25">
      <c r="A232" s="71" t="s">
        <v>477</v>
      </c>
      <c r="C232" s="106">
        <v>45.126371659062407</v>
      </c>
      <c r="D232" s="106">
        <v>56.601925000000001</v>
      </c>
      <c r="E232" s="69">
        <v>62.306938000000002</v>
      </c>
      <c r="F232" s="69">
        <v>65.911392000000006</v>
      </c>
      <c r="G232" s="69">
        <v>68.906197000000006</v>
      </c>
      <c r="H232" s="69">
        <v>68.200539000000006</v>
      </c>
      <c r="I232" s="69">
        <v>68.332297999999994</v>
      </c>
      <c r="J232" s="69">
        <v>68.195701999999997</v>
      </c>
      <c r="K232" s="69">
        <v>68.233917000000005</v>
      </c>
      <c r="L232" s="27">
        <v>4.0000000000000001E-3</v>
      </c>
      <c r="N232" s="71" t="s">
        <v>477</v>
      </c>
      <c r="O232" s="69" t="str">
        <f t="shared" si="303"/>
        <v/>
      </c>
      <c r="P232" s="69">
        <f t="shared" si="304"/>
        <v>5.212364978476872</v>
      </c>
      <c r="Q232" s="69">
        <f t="shared" si="305"/>
        <v>4.1556028216607146</v>
      </c>
      <c r="R232" s="69">
        <f t="shared" si="306"/>
        <v>3.7751031713583507</v>
      </c>
      <c r="S232" s="69">
        <f t="shared" si="307"/>
        <v>3.56865652665063</v>
      </c>
      <c r="T232" s="69">
        <f t="shared" si="308"/>
        <v>3.413555376469668</v>
      </c>
      <c r="U232" s="69">
        <f t="shared" si="309"/>
        <v>3.4488747844269696</v>
      </c>
      <c r="V232" s="69">
        <f t="shared" si="310"/>
        <v>3.4422246306048154</v>
      </c>
      <c r="W232" s="69">
        <f t="shared" si="311"/>
        <v>3.4491194069888476</v>
      </c>
      <c r="X232" s="69">
        <f t="shared" si="312"/>
        <v>3.4471876975995404</v>
      </c>
      <c r="Y232" s="27">
        <v>4.0000000000000001E-3</v>
      </c>
    </row>
    <row r="233" spans="1:38" x14ac:dyDescent="0.25">
      <c r="A233" s="71" t="s">
        <v>478</v>
      </c>
      <c r="C233" s="106">
        <v>37.423765861098154</v>
      </c>
      <c r="D233" s="106">
        <v>49.371699999999997</v>
      </c>
      <c r="E233" s="69">
        <v>57.138221999999999</v>
      </c>
      <c r="F233" s="69">
        <v>59.842475999999998</v>
      </c>
      <c r="G233" s="69">
        <v>61.936985</v>
      </c>
      <c r="H233" s="69">
        <v>61.772655</v>
      </c>
      <c r="I233" s="69">
        <v>62.306849999999997</v>
      </c>
      <c r="J233" s="69">
        <v>62.377304000000002</v>
      </c>
      <c r="K233" s="69">
        <v>62.444836000000002</v>
      </c>
      <c r="L233" s="27">
        <v>4.0000000000000001E-3</v>
      </c>
      <c r="N233" s="71" t="s">
        <v>478</v>
      </c>
      <c r="O233" s="69" t="str">
        <f t="shared" si="303"/>
        <v/>
      </c>
      <c r="P233" s="69">
        <f t="shared" si="304"/>
        <v>6.2851803881643367</v>
      </c>
      <c r="Q233" s="69">
        <f t="shared" si="305"/>
        <v>4.7641689316233418</v>
      </c>
      <c r="R233" s="69">
        <f t="shared" si="306"/>
        <v>4.1165985046126945</v>
      </c>
      <c r="S233" s="69">
        <f t="shared" si="307"/>
        <v>3.9305713092724996</v>
      </c>
      <c r="T233" s="69">
        <f t="shared" si="308"/>
        <v>3.7976520691381435</v>
      </c>
      <c r="U233" s="69">
        <f t="shared" si="309"/>
        <v>3.8077547296846501</v>
      </c>
      <c r="V233" s="69">
        <f t="shared" si="310"/>
        <v>3.7751085031810812</v>
      </c>
      <c r="W233" s="69">
        <f t="shared" si="311"/>
        <v>3.7708445886251853</v>
      </c>
      <c r="X233" s="69">
        <f t="shared" si="312"/>
        <v>3.7667665464191167</v>
      </c>
      <c r="Y233" s="27">
        <v>4.0000000000000001E-3</v>
      </c>
    </row>
    <row r="234" spans="1:38" x14ac:dyDescent="0.25">
      <c r="A234" s="71" t="s">
        <v>479</v>
      </c>
      <c r="B234" s="108">
        <v>0</v>
      </c>
      <c r="C234" s="106">
        <v>0</v>
      </c>
      <c r="D234" s="106">
        <v>42.251719999999999</v>
      </c>
      <c r="E234" s="69">
        <v>46.510136000000003</v>
      </c>
      <c r="F234" s="69">
        <v>49.241416999999998</v>
      </c>
      <c r="G234" s="69">
        <v>52.497256999999998</v>
      </c>
      <c r="H234" s="69">
        <v>52.781902000000002</v>
      </c>
      <c r="I234" s="69">
        <v>53.458832000000001</v>
      </c>
      <c r="J234" s="69">
        <v>53.659289999999999</v>
      </c>
      <c r="K234" s="69">
        <v>53.810364</v>
      </c>
      <c r="L234" s="27">
        <v>7.0000000000000001E-3</v>
      </c>
      <c r="N234" s="71" t="s">
        <v>479</v>
      </c>
      <c r="O234" s="69" t="str">
        <f t="shared" si="303"/>
        <v/>
      </c>
      <c r="P234" s="69" t="str">
        <f t="shared" si="304"/>
        <v/>
      </c>
      <c r="Q234" s="69">
        <f t="shared" si="305"/>
        <v>5.5669951244926397</v>
      </c>
      <c r="R234" s="69">
        <f t="shared" si="306"/>
        <v>5.0572872812375378</v>
      </c>
      <c r="S234" s="69">
        <f t="shared" si="307"/>
        <v>4.7767739754814151</v>
      </c>
      <c r="T234" s="69">
        <f t="shared" si="308"/>
        <v>4.4805220821618956</v>
      </c>
      <c r="U234" s="69">
        <f t="shared" si="309"/>
        <v>4.4563592884816492</v>
      </c>
      <c r="V234" s="69">
        <f t="shared" si="310"/>
        <v>4.3999300104691423</v>
      </c>
      <c r="W234" s="69">
        <f t="shared" si="311"/>
        <v>4.3834929467279222</v>
      </c>
      <c r="X234" s="69">
        <f t="shared" si="312"/>
        <v>4.3711861759832757</v>
      </c>
      <c r="Y234" s="27">
        <v>7.0000000000000001E-3</v>
      </c>
    </row>
    <row r="235" spans="1:38" x14ac:dyDescent="0.25">
      <c r="A235" s="71" t="s">
        <v>480</v>
      </c>
      <c r="B235" s="108">
        <v>0</v>
      </c>
      <c r="C235" s="106">
        <v>33.852524000000003</v>
      </c>
      <c r="D235" s="106">
        <v>39.260418000000001</v>
      </c>
      <c r="E235" s="69">
        <v>38.332397</v>
      </c>
      <c r="F235" s="69">
        <v>39.927681</v>
      </c>
      <c r="G235" s="69">
        <v>41.746426</v>
      </c>
      <c r="H235" s="69">
        <v>42.039290999999999</v>
      </c>
      <c r="I235" s="69">
        <v>42.429779000000003</v>
      </c>
      <c r="J235" s="69">
        <v>42.442326000000001</v>
      </c>
      <c r="K235" s="69">
        <v>42.443747999999999</v>
      </c>
      <c r="L235" s="27">
        <v>4.0000000000000001E-3</v>
      </c>
      <c r="N235" s="71" t="s">
        <v>480</v>
      </c>
      <c r="O235" s="69" t="str">
        <f t="shared" si="303"/>
        <v/>
      </c>
      <c r="P235" s="69">
        <f t="shared" si="304"/>
        <v>6.9482298939195237</v>
      </c>
      <c r="Q235" s="69">
        <f t="shared" si="305"/>
        <v>5.9911516795727477</v>
      </c>
      <c r="R235" s="69">
        <f t="shared" si="306"/>
        <v>6.136196472175433</v>
      </c>
      <c r="S235" s="69">
        <f t="shared" si="307"/>
        <v>5.8910288138554341</v>
      </c>
      <c r="T235" s="69">
        <f t="shared" si="308"/>
        <v>5.6343774013475585</v>
      </c>
      <c r="U235" s="69">
        <f t="shared" si="309"/>
        <v>5.5951257418073048</v>
      </c>
      <c r="V235" s="69">
        <f t="shared" si="310"/>
        <v>5.5436329103064175</v>
      </c>
      <c r="W235" s="69">
        <f t="shared" si="311"/>
        <v>5.5419940754761683</v>
      </c>
      <c r="X235" s="69">
        <f t="shared" si="312"/>
        <v>5.5418084011201874</v>
      </c>
      <c r="Y235" s="27">
        <v>4.0000000000000001E-3</v>
      </c>
    </row>
    <row r="236" spans="1:38" x14ac:dyDescent="0.25">
      <c r="A236" s="71" t="s">
        <v>481</v>
      </c>
      <c r="B236" s="108">
        <v>38.371056000000003</v>
      </c>
      <c r="C236" s="106">
        <v>0</v>
      </c>
      <c r="D236" s="106">
        <v>46.826144999999997</v>
      </c>
      <c r="E236" s="69">
        <v>55.722285999999997</v>
      </c>
      <c r="F236" s="69">
        <v>61.576282999999997</v>
      </c>
      <c r="G236" s="69">
        <v>67.087479000000002</v>
      </c>
      <c r="H236" s="69">
        <v>67.287811000000005</v>
      </c>
      <c r="I236" s="69">
        <v>67.404160000000005</v>
      </c>
      <c r="J236" s="69">
        <v>67.3797</v>
      </c>
      <c r="K236" s="69">
        <v>67.373428000000004</v>
      </c>
      <c r="L236" s="27">
        <v>8.0000000000000002E-3</v>
      </c>
      <c r="N236" s="71" t="s">
        <v>481</v>
      </c>
      <c r="O236" s="69">
        <f t="shared" si="303"/>
        <v>6.1300142284702339</v>
      </c>
      <c r="P236" s="69" t="str">
        <f t="shared" si="304"/>
        <v/>
      </c>
      <c r="Q236" s="69">
        <f t="shared" si="305"/>
        <v>5.0231578798858667</v>
      </c>
      <c r="R236" s="69">
        <f t="shared" si="306"/>
        <v>4.221203689335864</v>
      </c>
      <c r="S236" s="69">
        <f t="shared" si="307"/>
        <v>3.8198979831476376</v>
      </c>
      <c r="T236" s="69">
        <f t="shared" si="308"/>
        <v>3.5060956641615366</v>
      </c>
      <c r="U236" s="69">
        <f t="shared" si="309"/>
        <v>3.4956571739483118</v>
      </c>
      <c r="V236" s="69">
        <f t="shared" si="310"/>
        <v>3.4896231811423526</v>
      </c>
      <c r="W236" s="69">
        <f t="shared" si="311"/>
        <v>3.4908899748949334</v>
      </c>
      <c r="X236" s="69">
        <f t="shared" si="312"/>
        <v>3.4912149525986438</v>
      </c>
      <c r="Y236" s="27">
        <v>8.0000000000000002E-3</v>
      </c>
    </row>
    <row r="237" spans="1:38" x14ac:dyDescent="0.25">
      <c r="A237" s="71" t="s">
        <v>482</v>
      </c>
      <c r="B237" s="108">
        <v>0</v>
      </c>
      <c r="C237" s="106">
        <v>0</v>
      </c>
      <c r="D237" s="106">
        <v>41.36401</v>
      </c>
      <c r="E237" s="69">
        <v>47.831501000000003</v>
      </c>
      <c r="F237" s="69">
        <v>50.679070000000003</v>
      </c>
      <c r="G237" s="69">
        <v>53.824806000000002</v>
      </c>
      <c r="H237" s="69">
        <v>54.688201999999997</v>
      </c>
      <c r="I237" s="69">
        <v>55.050052999999998</v>
      </c>
      <c r="J237" s="69">
        <v>55.077618000000001</v>
      </c>
      <c r="K237" s="69">
        <v>55.196387999999999</v>
      </c>
      <c r="L237" s="27">
        <v>7.0000000000000001E-3</v>
      </c>
      <c r="N237" s="71" t="s">
        <v>482</v>
      </c>
      <c r="O237" s="69" t="str">
        <f t="shared" si="303"/>
        <v/>
      </c>
      <c r="P237" s="69" t="str">
        <f t="shared" si="304"/>
        <v/>
      </c>
      <c r="Q237" s="69">
        <f t="shared" si="305"/>
        <v>5.6864680005983015</v>
      </c>
      <c r="R237" s="69">
        <f t="shared" si="306"/>
        <v>4.91757762821259</v>
      </c>
      <c r="S237" s="69">
        <f t="shared" si="307"/>
        <v>4.6412674747470328</v>
      </c>
      <c r="T237" s="69">
        <f t="shared" si="308"/>
        <v>4.3700133213936363</v>
      </c>
      <c r="U237" s="69">
        <f t="shared" si="309"/>
        <v>4.3010212557624063</v>
      </c>
      <c r="V237" s="69">
        <f t="shared" si="310"/>
        <v>4.2727500960158595</v>
      </c>
      <c r="W237" s="69">
        <f t="shared" si="311"/>
        <v>4.2706116891516288</v>
      </c>
      <c r="X237" s="69">
        <f t="shared" si="312"/>
        <v>4.2614223097610688</v>
      </c>
      <c r="Y237" s="27">
        <v>7.0000000000000001E-3</v>
      </c>
    </row>
    <row r="238" spans="1:38" x14ac:dyDescent="0.25">
      <c r="A238" s="71" t="s">
        <v>483</v>
      </c>
      <c r="B238" s="108">
        <v>42.087318000000003</v>
      </c>
      <c r="C238" s="106">
        <v>48.163876000000002</v>
      </c>
      <c r="D238" s="106">
        <v>37.460430000000002</v>
      </c>
      <c r="E238" s="69">
        <v>43.860717999999999</v>
      </c>
      <c r="F238" s="69">
        <v>47.667084000000003</v>
      </c>
      <c r="G238" s="69">
        <v>50.896346999999999</v>
      </c>
      <c r="H238" s="69">
        <v>51.400165999999999</v>
      </c>
      <c r="I238" s="69">
        <v>52.172137999999997</v>
      </c>
      <c r="J238" s="69">
        <v>52.332236999999999</v>
      </c>
      <c r="K238" s="69">
        <v>52.493800999999998</v>
      </c>
      <c r="L238" s="27">
        <v>7.0000000000000001E-3</v>
      </c>
      <c r="N238" s="71" t="s">
        <v>483</v>
      </c>
      <c r="O238" s="69">
        <f t="shared" si="303"/>
        <v>5.5887409894217566</v>
      </c>
      <c r="P238" s="69">
        <f t="shared" si="304"/>
        <v>4.8836418240389978</v>
      </c>
      <c r="Q238" s="69">
        <f t="shared" si="305"/>
        <v>6.279028810972755</v>
      </c>
      <c r="R238" s="69">
        <f t="shared" si="306"/>
        <v>5.3627740257564449</v>
      </c>
      <c r="S238" s="69">
        <f t="shared" si="307"/>
        <v>4.9345397180458557</v>
      </c>
      <c r="T238" s="69">
        <f t="shared" si="308"/>
        <v>4.6214538587892795</v>
      </c>
      <c r="U238" s="69">
        <f t="shared" si="309"/>
        <v>4.5761548560257204</v>
      </c>
      <c r="V238" s="69">
        <f t="shared" si="310"/>
        <v>4.5084431702114287</v>
      </c>
      <c r="W238" s="69">
        <f t="shared" si="311"/>
        <v>4.494650577261357</v>
      </c>
      <c r="X238" s="69">
        <f t="shared" si="312"/>
        <v>4.4808170633600746</v>
      </c>
      <c r="Y238" s="27">
        <v>7.0000000000000001E-3</v>
      </c>
    </row>
    <row r="239" spans="1:38" x14ac:dyDescent="0.25">
      <c r="A239" s="71" t="s">
        <v>484</v>
      </c>
      <c r="B239" s="108">
        <v>35.395209999999999</v>
      </c>
      <c r="C239" s="106">
        <v>36.812691000000001</v>
      </c>
      <c r="D239" s="106">
        <v>36.335177999999999</v>
      </c>
      <c r="E239" s="69">
        <v>35.529964</v>
      </c>
      <c r="F239" s="69">
        <v>38.474670000000003</v>
      </c>
      <c r="G239" s="69">
        <v>40.893546999999998</v>
      </c>
      <c r="H239" s="69">
        <v>41.270473000000003</v>
      </c>
      <c r="I239" s="69">
        <v>41.919586000000002</v>
      </c>
      <c r="J239" s="69">
        <v>42.031261000000001</v>
      </c>
      <c r="K239" s="69">
        <v>42.155360999999999</v>
      </c>
      <c r="L239" s="27">
        <v>7.0000000000000001E-3</v>
      </c>
      <c r="N239" s="71" t="s">
        <v>484</v>
      </c>
      <c r="O239" s="69">
        <f t="shared" si="303"/>
        <v>6.6453940869803612</v>
      </c>
      <c r="P239" s="69">
        <f t="shared" si="304"/>
        <v>6.3895116833873438</v>
      </c>
      <c r="Q239" s="69">
        <f t="shared" si="305"/>
        <v>6.4734819584873957</v>
      </c>
      <c r="R239" s="69">
        <f t="shared" si="306"/>
        <v>6.6201901933091785</v>
      </c>
      <c r="S239" s="69">
        <f t="shared" si="307"/>
        <v>6.1135058271176366</v>
      </c>
      <c r="T239" s="69">
        <f t="shared" si="308"/>
        <v>5.7518884150946397</v>
      </c>
      <c r="U239" s="69">
        <f t="shared" si="309"/>
        <v>5.6993560321304804</v>
      </c>
      <c r="V239" s="69">
        <f t="shared" si="310"/>
        <v>5.6111031068252473</v>
      </c>
      <c r="W239" s="69">
        <f t="shared" si="311"/>
        <v>5.5961946809406484</v>
      </c>
      <c r="X239" s="69">
        <f t="shared" si="312"/>
        <v>5.5797201983735389</v>
      </c>
      <c r="Y239" s="27">
        <v>7.0000000000000001E-3</v>
      </c>
    </row>
    <row r="240" spans="1:38" x14ac:dyDescent="0.25">
      <c r="A240" s="71" t="s">
        <v>485</v>
      </c>
      <c r="B240" s="108">
        <v>31.097976747004502</v>
      </c>
      <c r="C240" s="106">
        <v>39.809154160764209</v>
      </c>
      <c r="D240" s="106">
        <v>52.178733999999999</v>
      </c>
      <c r="E240" s="69">
        <v>59.783161</v>
      </c>
      <c r="F240" s="69">
        <v>62.413474999999998</v>
      </c>
      <c r="G240" s="69">
        <v>66.030403000000007</v>
      </c>
      <c r="H240" s="69">
        <v>66.259963999999997</v>
      </c>
      <c r="I240" s="69">
        <v>66.634674000000004</v>
      </c>
      <c r="J240" s="69">
        <v>66.555885000000004</v>
      </c>
      <c r="K240" s="69">
        <v>66.553657999999999</v>
      </c>
      <c r="L240" s="27">
        <v>4.0000000000000001E-3</v>
      </c>
      <c r="N240" s="71" t="s">
        <v>485</v>
      </c>
      <c r="O240" s="69">
        <f t="shared" si="303"/>
        <v>7.5636791793564235</v>
      </c>
      <c r="P240" s="69">
        <f t="shared" si="304"/>
        <v>5.9085686244812381</v>
      </c>
      <c r="Q240" s="69">
        <f t="shared" si="305"/>
        <v>4.5078732504592418</v>
      </c>
      <c r="R240" s="69">
        <f t="shared" si="306"/>
        <v>3.9344711003392434</v>
      </c>
      <c r="S240" s="69">
        <f t="shared" si="307"/>
        <v>3.768659239714311</v>
      </c>
      <c r="T240" s="69">
        <f t="shared" si="308"/>
        <v>3.5622244989391949</v>
      </c>
      <c r="U240" s="69">
        <f t="shared" si="309"/>
        <v>3.5498829918082682</v>
      </c>
      <c r="V240" s="69">
        <f t="shared" si="310"/>
        <v>3.5299207622960402</v>
      </c>
      <c r="W240" s="69">
        <f t="shared" si="311"/>
        <v>3.5340994900966027</v>
      </c>
      <c r="X240" s="69">
        <f t="shared" si="312"/>
        <v>3.5342177471511507</v>
      </c>
      <c r="Y240" s="27">
        <v>4.0000000000000001E-3</v>
      </c>
    </row>
    <row r="241" spans="1:25" x14ac:dyDescent="0.25">
      <c r="A241" s="71" t="s">
        <v>486</v>
      </c>
      <c r="B241" s="108">
        <v>26.427229025787895</v>
      </c>
      <c r="C241" s="106">
        <v>33.938176208755635</v>
      </c>
      <c r="D241" s="106">
        <v>44.094127999999998</v>
      </c>
      <c r="E241" s="69">
        <v>46.813862</v>
      </c>
      <c r="F241" s="69">
        <v>49.577922999999998</v>
      </c>
      <c r="G241" s="69">
        <v>52.126629000000001</v>
      </c>
      <c r="H241" s="69">
        <v>52.593390999999997</v>
      </c>
      <c r="I241" s="69">
        <v>53.084975999999997</v>
      </c>
      <c r="J241" s="69">
        <v>52.987492000000003</v>
      </c>
      <c r="K241" s="69">
        <v>52.913848999999999</v>
      </c>
      <c r="L241" s="27">
        <v>5.0000000000000001E-3</v>
      </c>
      <c r="N241" s="71" t="s">
        <v>486</v>
      </c>
      <c r="O241" s="69">
        <f t="shared" si="303"/>
        <v>8.900483626637639</v>
      </c>
      <c r="P241" s="69">
        <f t="shared" si="304"/>
        <v>6.9306941479296551</v>
      </c>
      <c r="Q241" s="69">
        <f t="shared" si="305"/>
        <v>5.3343864571134771</v>
      </c>
      <c r="R241" s="69">
        <f t="shared" si="306"/>
        <v>5.0244758537851064</v>
      </c>
      <c r="S241" s="69">
        <f t="shared" si="307"/>
        <v>4.7443520221980284</v>
      </c>
      <c r="T241" s="69">
        <f t="shared" si="308"/>
        <v>4.5123792532493923</v>
      </c>
      <c r="U241" s="69">
        <f t="shared" si="309"/>
        <v>4.4723322601774838</v>
      </c>
      <c r="V241" s="69">
        <f t="shared" si="310"/>
        <v>4.4309169366757963</v>
      </c>
      <c r="W241" s="69">
        <f t="shared" si="311"/>
        <v>4.4390687379849592</v>
      </c>
      <c r="X241" s="69">
        <f t="shared" si="312"/>
        <v>4.4452468245397938</v>
      </c>
      <c r="Y241" s="27">
        <v>5.0000000000000001E-3</v>
      </c>
    </row>
    <row r="242" spans="1:25" x14ac:dyDescent="0.25">
      <c r="A242" t="s">
        <v>468</v>
      </c>
      <c r="L242" s="27"/>
      <c r="N242" t="s">
        <v>468</v>
      </c>
      <c r="O242" s="69"/>
      <c r="P242" s="69"/>
      <c r="Q242" s="69"/>
      <c r="R242" s="69"/>
      <c r="S242" s="69"/>
      <c r="T242" s="69"/>
      <c r="U242" s="69"/>
      <c r="V242" s="69"/>
      <c r="W242" s="69"/>
      <c r="X242" s="69"/>
      <c r="Y242" s="27"/>
    </row>
    <row r="243" spans="1:25" x14ac:dyDescent="0.25">
      <c r="A243" s="71" t="s">
        <v>471</v>
      </c>
      <c r="B243" s="108">
        <v>0</v>
      </c>
      <c r="C243" s="106">
        <v>0</v>
      </c>
      <c r="D243" s="106">
        <v>0</v>
      </c>
      <c r="E243" s="69">
        <v>0</v>
      </c>
      <c r="F243" s="69">
        <v>0</v>
      </c>
      <c r="G243" s="69">
        <v>0</v>
      </c>
      <c r="H243" s="69">
        <v>0</v>
      </c>
      <c r="I243" s="69">
        <v>0</v>
      </c>
      <c r="J243" s="69">
        <v>0</v>
      </c>
      <c r="K243" s="69">
        <v>0</v>
      </c>
      <c r="L243" s="27" t="s">
        <v>264</v>
      </c>
      <c r="N243" s="71" t="s">
        <v>471</v>
      </c>
      <c r="O243" s="69" t="str">
        <f t="shared" ref="O243:O258" si="322">IFERROR(L_100km_to_mpg/B243, "")</f>
        <v/>
      </c>
      <c r="P243" s="69" t="str">
        <f t="shared" ref="P243:P258" si="323">IFERROR(L_100km_to_mpg/C243, "")</f>
        <v/>
      </c>
      <c r="Q243" s="69" t="str">
        <f t="shared" ref="Q243:Q258" si="324">IFERROR(L_100km_to_mpg/D243, "")</f>
        <v/>
      </c>
      <c r="R243" s="69" t="str">
        <f t="shared" ref="R243:R258" si="325">IFERROR(L_100km_to_mpg/E243, "")</f>
        <v/>
      </c>
      <c r="S243" s="69" t="str">
        <f t="shared" ref="S243:S258" si="326">IFERROR(L_100km_to_mpg/F243, "")</f>
        <v/>
      </c>
      <c r="T243" s="69" t="str">
        <f t="shared" ref="T243:T258" si="327">IFERROR(L_100km_to_mpg/G243, "")</f>
        <v/>
      </c>
      <c r="U243" s="69" t="str">
        <f t="shared" ref="U243:U258" si="328">IFERROR(L_100km_to_mpg/H243, "")</f>
        <v/>
      </c>
      <c r="V243" s="69" t="str">
        <f t="shared" ref="V243:V258" si="329">IFERROR(L_100km_to_mpg/I243, "")</f>
        <v/>
      </c>
      <c r="W243" s="69" t="str">
        <f t="shared" ref="W243:W258" si="330">IFERROR(L_100km_to_mpg/J243, "")</f>
        <v/>
      </c>
      <c r="X243" s="69" t="str">
        <f t="shared" ref="X243:X258" si="331">IFERROR(L_100km_to_mpg/K243, "")</f>
        <v/>
      </c>
      <c r="Y243" s="27" t="s">
        <v>264</v>
      </c>
    </row>
    <row r="244" spans="1:25" x14ac:dyDescent="0.25">
      <c r="A244" s="71" t="s">
        <v>472</v>
      </c>
      <c r="B244" s="108">
        <v>0</v>
      </c>
      <c r="C244" s="106">
        <v>0</v>
      </c>
      <c r="D244" s="106">
        <v>0</v>
      </c>
      <c r="E244" s="69">
        <v>0</v>
      </c>
      <c r="F244" s="69">
        <v>0</v>
      </c>
      <c r="G244" s="69">
        <v>0</v>
      </c>
      <c r="H244" s="69">
        <v>0</v>
      </c>
      <c r="I244" s="69">
        <v>0</v>
      </c>
      <c r="J244" s="69">
        <v>0</v>
      </c>
      <c r="K244" s="69">
        <v>0</v>
      </c>
      <c r="L244" s="27" t="s">
        <v>264</v>
      </c>
      <c r="N244" s="71" t="s">
        <v>472</v>
      </c>
      <c r="O244" s="69" t="str">
        <f t="shared" si="322"/>
        <v/>
      </c>
      <c r="P244" s="69" t="str">
        <f t="shared" si="323"/>
        <v/>
      </c>
      <c r="Q244" s="69" t="str">
        <f t="shared" si="324"/>
        <v/>
      </c>
      <c r="R244" s="69" t="str">
        <f t="shared" si="325"/>
        <v/>
      </c>
      <c r="S244" s="69" t="str">
        <f t="shared" si="326"/>
        <v/>
      </c>
      <c r="T244" s="69" t="str">
        <f t="shared" si="327"/>
        <v/>
      </c>
      <c r="U244" s="69" t="str">
        <f t="shared" si="328"/>
        <v/>
      </c>
      <c r="V244" s="69" t="str">
        <f t="shared" si="329"/>
        <v/>
      </c>
      <c r="W244" s="69" t="str">
        <f t="shared" si="330"/>
        <v/>
      </c>
      <c r="X244" s="69" t="str">
        <f t="shared" si="331"/>
        <v/>
      </c>
      <c r="Y244" s="27" t="s">
        <v>264</v>
      </c>
    </row>
    <row r="245" spans="1:25" x14ac:dyDescent="0.25">
      <c r="A245" s="71" t="s">
        <v>473</v>
      </c>
      <c r="B245" s="108">
        <v>0</v>
      </c>
      <c r="C245" s="106">
        <v>0</v>
      </c>
      <c r="D245" s="106">
        <v>0</v>
      </c>
      <c r="E245" s="69">
        <v>0</v>
      </c>
      <c r="F245" s="69">
        <v>0</v>
      </c>
      <c r="G245" s="69">
        <v>0</v>
      </c>
      <c r="H245" s="69">
        <v>0</v>
      </c>
      <c r="I245" s="69">
        <v>0</v>
      </c>
      <c r="J245" s="69">
        <v>0</v>
      </c>
      <c r="K245" s="69">
        <v>0</v>
      </c>
      <c r="L245" s="27" t="s">
        <v>264</v>
      </c>
      <c r="N245" s="71" t="s">
        <v>473</v>
      </c>
      <c r="O245" s="69" t="str">
        <f t="shared" si="322"/>
        <v/>
      </c>
      <c r="P245" s="69" t="str">
        <f t="shared" si="323"/>
        <v/>
      </c>
      <c r="Q245" s="69" t="str">
        <f t="shared" si="324"/>
        <v/>
      </c>
      <c r="R245" s="69" t="str">
        <f t="shared" si="325"/>
        <v/>
      </c>
      <c r="S245" s="69" t="str">
        <f t="shared" si="326"/>
        <v/>
      </c>
      <c r="T245" s="69" t="str">
        <f t="shared" si="327"/>
        <v/>
      </c>
      <c r="U245" s="69" t="str">
        <f t="shared" si="328"/>
        <v/>
      </c>
      <c r="V245" s="69" t="str">
        <f t="shared" si="329"/>
        <v/>
      </c>
      <c r="W245" s="69" t="str">
        <f t="shared" si="330"/>
        <v/>
      </c>
      <c r="X245" s="69" t="str">
        <f t="shared" si="331"/>
        <v/>
      </c>
      <c r="Y245" s="27" t="s">
        <v>264</v>
      </c>
    </row>
    <row r="246" spans="1:25" x14ac:dyDescent="0.25">
      <c r="A246" s="71" t="s">
        <v>474</v>
      </c>
      <c r="B246" s="108">
        <v>0</v>
      </c>
      <c r="C246" s="106">
        <v>0</v>
      </c>
      <c r="D246" s="106">
        <v>0</v>
      </c>
      <c r="E246" s="69">
        <v>0</v>
      </c>
      <c r="F246" s="69">
        <v>0</v>
      </c>
      <c r="G246" s="69">
        <v>0</v>
      </c>
      <c r="H246" s="69">
        <v>0</v>
      </c>
      <c r="I246" s="69">
        <v>0</v>
      </c>
      <c r="J246" s="69">
        <v>0</v>
      </c>
      <c r="K246" s="69">
        <v>0</v>
      </c>
      <c r="L246" s="27" t="s">
        <v>264</v>
      </c>
      <c r="N246" s="71" t="s">
        <v>474</v>
      </c>
      <c r="O246" s="69" t="str">
        <f t="shared" si="322"/>
        <v/>
      </c>
      <c r="P246" s="69" t="str">
        <f t="shared" si="323"/>
        <v/>
      </c>
      <c r="Q246" s="69" t="str">
        <f t="shared" si="324"/>
        <v/>
      </c>
      <c r="R246" s="69" t="str">
        <f t="shared" si="325"/>
        <v/>
      </c>
      <c r="S246" s="69" t="str">
        <f t="shared" si="326"/>
        <v/>
      </c>
      <c r="T246" s="69" t="str">
        <f t="shared" si="327"/>
        <v/>
      </c>
      <c r="U246" s="69" t="str">
        <f t="shared" si="328"/>
        <v/>
      </c>
      <c r="V246" s="69" t="str">
        <f t="shared" si="329"/>
        <v/>
      </c>
      <c r="W246" s="69" t="str">
        <f t="shared" si="330"/>
        <v/>
      </c>
      <c r="X246" s="69" t="str">
        <f t="shared" si="331"/>
        <v/>
      </c>
      <c r="Y246" s="27" t="s">
        <v>264</v>
      </c>
    </row>
    <row r="247" spans="1:25" x14ac:dyDescent="0.25">
      <c r="A247" s="71" t="s">
        <v>475</v>
      </c>
      <c r="B247" s="108">
        <v>0</v>
      </c>
      <c r="C247" s="106">
        <v>0</v>
      </c>
      <c r="D247" s="106">
        <v>0</v>
      </c>
      <c r="E247" s="69">
        <v>0</v>
      </c>
      <c r="F247" s="69">
        <v>0</v>
      </c>
      <c r="G247" s="69">
        <v>0</v>
      </c>
      <c r="H247" s="69">
        <v>0</v>
      </c>
      <c r="I247" s="69">
        <v>0</v>
      </c>
      <c r="J247" s="69">
        <v>0</v>
      </c>
      <c r="K247" s="69">
        <v>0</v>
      </c>
      <c r="L247" s="27" t="s">
        <v>264</v>
      </c>
      <c r="N247" s="71" t="s">
        <v>475</v>
      </c>
      <c r="O247" s="69" t="str">
        <f t="shared" si="322"/>
        <v/>
      </c>
      <c r="P247" s="69" t="str">
        <f t="shared" si="323"/>
        <v/>
      </c>
      <c r="Q247" s="69" t="str">
        <f t="shared" si="324"/>
        <v/>
      </c>
      <c r="R247" s="69" t="str">
        <f t="shared" si="325"/>
        <v/>
      </c>
      <c r="S247" s="69" t="str">
        <f t="shared" si="326"/>
        <v/>
      </c>
      <c r="T247" s="69" t="str">
        <f t="shared" si="327"/>
        <v/>
      </c>
      <c r="U247" s="69" t="str">
        <f t="shared" si="328"/>
        <v/>
      </c>
      <c r="V247" s="69" t="str">
        <f t="shared" si="329"/>
        <v/>
      </c>
      <c r="W247" s="69" t="str">
        <f t="shared" si="330"/>
        <v/>
      </c>
      <c r="X247" s="69" t="str">
        <f t="shared" si="331"/>
        <v/>
      </c>
      <c r="Y247" s="27" t="s">
        <v>264</v>
      </c>
    </row>
    <row r="248" spans="1:25" x14ac:dyDescent="0.25">
      <c r="A248" s="71" t="s">
        <v>476</v>
      </c>
      <c r="B248" s="108">
        <v>0</v>
      </c>
      <c r="C248" s="106">
        <v>0</v>
      </c>
      <c r="D248" s="106">
        <v>0</v>
      </c>
      <c r="E248" s="69">
        <v>0</v>
      </c>
      <c r="F248" s="69">
        <v>0</v>
      </c>
      <c r="G248" s="69">
        <v>0</v>
      </c>
      <c r="H248" s="69">
        <v>0</v>
      </c>
      <c r="I248" s="69">
        <v>0</v>
      </c>
      <c r="J248" s="69">
        <v>0</v>
      </c>
      <c r="K248" s="69">
        <v>0</v>
      </c>
      <c r="L248" s="27" t="s">
        <v>264</v>
      </c>
      <c r="N248" s="71" t="s">
        <v>476</v>
      </c>
      <c r="O248" s="69" t="str">
        <f t="shared" si="322"/>
        <v/>
      </c>
      <c r="P248" s="69" t="str">
        <f t="shared" si="323"/>
        <v/>
      </c>
      <c r="Q248" s="69" t="str">
        <f t="shared" si="324"/>
        <v/>
      </c>
      <c r="R248" s="69" t="str">
        <f t="shared" si="325"/>
        <v/>
      </c>
      <c r="S248" s="69" t="str">
        <f t="shared" si="326"/>
        <v/>
      </c>
      <c r="T248" s="69" t="str">
        <f t="shared" si="327"/>
        <v/>
      </c>
      <c r="U248" s="69" t="str">
        <f t="shared" si="328"/>
        <v/>
      </c>
      <c r="V248" s="69" t="str">
        <f t="shared" si="329"/>
        <v/>
      </c>
      <c r="W248" s="69" t="str">
        <f t="shared" si="330"/>
        <v/>
      </c>
      <c r="X248" s="69" t="str">
        <f t="shared" si="331"/>
        <v/>
      </c>
      <c r="Y248" s="27" t="s">
        <v>264</v>
      </c>
    </row>
    <row r="249" spans="1:25" x14ac:dyDescent="0.25">
      <c r="A249" s="71" t="s">
        <v>477</v>
      </c>
      <c r="D249" s="106">
        <v>0</v>
      </c>
      <c r="E249" s="69">
        <v>0</v>
      </c>
      <c r="F249" s="69">
        <v>0</v>
      </c>
      <c r="G249" s="69">
        <v>0</v>
      </c>
      <c r="H249" s="69">
        <v>0</v>
      </c>
      <c r="I249" s="69">
        <v>0</v>
      </c>
      <c r="J249" s="69">
        <v>0</v>
      </c>
      <c r="K249" s="69">
        <v>0</v>
      </c>
      <c r="L249" s="27" t="s">
        <v>264</v>
      </c>
      <c r="N249" s="71" t="s">
        <v>477</v>
      </c>
      <c r="O249" s="69" t="str">
        <f t="shared" si="322"/>
        <v/>
      </c>
      <c r="P249" s="69" t="str">
        <f t="shared" si="323"/>
        <v/>
      </c>
      <c r="Q249" s="69" t="str">
        <f t="shared" si="324"/>
        <v/>
      </c>
      <c r="R249" s="69" t="str">
        <f t="shared" si="325"/>
        <v/>
      </c>
      <c r="S249" s="69" t="str">
        <f t="shared" si="326"/>
        <v/>
      </c>
      <c r="T249" s="69" t="str">
        <f t="shared" si="327"/>
        <v/>
      </c>
      <c r="U249" s="69" t="str">
        <f t="shared" si="328"/>
        <v/>
      </c>
      <c r="V249" s="69" t="str">
        <f t="shared" si="329"/>
        <v/>
      </c>
      <c r="W249" s="69" t="str">
        <f t="shared" si="330"/>
        <v/>
      </c>
      <c r="X249" s="69" t="str">
        <f t="shared" si="331"/>
        <v/>
      </c>
      <c r="Y249" s="27" t="s">
        <v>264</v>
      </c>
    </row>
    <row r="250" spans="1:25" x14ac:dyDescent="0.25">
      <c r="A250" s="71" t="s">
        <v>478</v>
      </c>
      <c r="D250" s="106">
        <v>0</v>
      </c>
      <c r="E250" s="69">
        <v>0</v>
      </c>
      <c r="F250" s="69">
        <v>0</v>
      </c>
      <c r="G250" s="69">
        <v>0</v>
      </c>
      <c r="H250" s="69">
        <v>0</v>
      </c>
      <c r="I250" s="69">
        <v>0</v>
      </c>
      <c r="J250" s="69">
        <v>0</v>
      </c>
      <c r="K250" s="69">
        <v>0</v>
      </c>
      <c r="L250" s="27" t="s">
        <v>264</v>
      </c>
      <c r="N250" s="71" t="s">
        <v>478</v>
      </c>
      <c r="O250" s="69" t="str">
        <f t="shared" si="322"/>
        <v/>
      </c>
      <c r="P250" s="69" t="str">
        <f t="shared" si="323"/>
        <v/>
      </c>
      <c r="Q250" s="69" t="str">
        <f t="shared" si="324"/>
        <v/>
      </c>
      <c r="R250" s="69" t="str">
        <f t="shared" si="325"/>
        <v/>
      </c>
      <c r="S250" s="69" t="str">
        <f t="shared" si="326"/>
        <v/>
      </c>
      <c r="T250" s="69" t="str">
        <f t="shared" si="327"/>
        <v/>
      </c>
      <c r="U250" s="69" t="str">
        <f t="shared" si="328"/>
        <v/>
      </c>
      <c r="V250" s="69" t="str">
        <f t="shared" si="329"/>
        <v/>
      </c>
      <c r="W250" s="69" t="str">
        <f t="shared" si="330"/>
        <v/>
      </c>
      <c r="X250" s="69" t="str">
        <f t="shared" si="331"/>
        <v/>
      </c>
      <c r="Y250" s="27" t="s">
        <v>264</v>
      </c>
    </row>
    <row r="251" spans="1:25" x14ac:dyDescent="0.25">
      <c r="A251" s="71" t="s">
        <v>479</v>
      </c>
      <c r="B251" s="108">
        <v>0</v>
      </c>
      <c r="C251" s="106">
        <v>0</v>
      </c>
      <c r="D251" s="106">
        <v>0</v>
      </c>
      <c r="E251" s="69">
        <v>0</v>
      </c>
      <c r="F251" s="69">
        <v>0</v>
      </c>
      <c r="G251" s="69">
        <v>0</v>
      </c>
      <c r="H251" s="69">
        <v>0</v>
      </c>
      <c r="I251" s="69">
        <v>0</v>
      </c>
      <c r="J251" s="69">
        <v>0</v>
      </c>
      <c r="K251" s="69">
        <v>0</v>
      </c>
      <c r="L251" s="27" t="s">
        <v>264</v>
      </c>
      <c r="N251" s="71" t="s">
        <v>479</v>
      </c>
      <c r="O251" s="69" t="str">
        <f t="shared" si="322"/>
        <v/>
      </c>
      <c r="P251" s="69" t="str">
        <f t="shared" si="323"/>
        <v/>
      </c>
      <c r="Q251" s="69" t="str">
        <f t="shared" si="324"/>
        <v/>
      </c>
      <c r="R251" s="69" t="str">
        <f t="shared" si="325"/>
        <v/>
      </c>
      <c r="S251" s="69" t="str">
        <f t="shared" si="326"/>
        <v/>
      </c>
      <c r="T251" s="69" t="str">
        <f t="shared" si="327"/>
        <v/>
      </c>
      <c r="U251" s="69" t="str">
        <f t="shared" si="328"/>
        <v/>
      </c>
      <c r="V251" s="69" t="str">
        <f t="shared" si="329"/>
        <v/>
      </c>
      <c r="W251" s="69" t="str">
        <f t="shared" si="330"/>
        <v/>
      </c>
      <c r="X251" s="69" t="str">
        <f t="shared" si="331"/>
        <v/>
      </c>
      <c r="Y251" s="27" t="s">
        <v>264</v>
      </c>
    </row>
    <row r="252" spans="1:25" x14ac:dyDescent="0.25">
      <c r="A252" s="71" t="s">
        <v>480</v>
      </c>
      <c r="B252" s="108">
        <v>0</v>
      </c>
      <c r="C252" s="106">
        <v>0</v>
      </c>
      <c r="D252" s="106">
        <v>0</v>
      </c>
      <c r="E252" s="69">
        <v>0</v>
      </c>
      <c r="F252" s="69">
        <v>0</v>
      </c>
      <c r="G252" s="69">
        <v>0</v>
      </c>
      <c r="H252" s="69">
        <v>0</v>
      </c>
      <c r="I252" s="69">
        <v>0</v>
      </c>
      <c r="J252" s="69">
        <v>0</v>
      </c>
      <c r="K252" s="69">
        <v>0</v>
      </c>
      <c r="L252" s="27" t="s">
        <v>264</v>
      </c>
      <c r="N252" s="71" t="s">
        <v>480</v>
      </c>
      <c r="O252" s="69" t="str">
        <f t="shared" si="322"/>
        <v/>
      </c>
      <c r="P252" s="69" t="str">
        <f t="shared" si="323"/>
        <v/>
      </c>
      <c r="Q252" s="69" t="str">
        <f t="shared" si="324"/>
        <v/>
      </c>
      <c r="R252" s="69" t="str">
        <f t="shared" si="325"/>
        <v/>
      </c>
      <c r="S252" s="69" t="str">
        <f t="shared" si="326"/>
        <v/>
      </c>
      <c r="T252" s="69" t="str">
        <f t="shared" si="327"/>
        <v/>
      </c>
      <c r="U252" s="69" t="str">
        <f t="shared" si="328"/>
        <v/>
      </c>
      <c r="V252" s="69" t="str">
        <f t="shared" si="329"/>
        <v/>
      </c>
      <c r="W252" s="69" t="str">
        <f t="shared" si="330"/>
        <v/>
      </c>
      <c r="X252" s="69" t="str">
        <f t="shared" si="331"/>
        <v/>
      </c>
      <c r="Y252" s="27" t="s">
        <v>264</v>
      </c>
    </row>
    <row r="253" spans="1:25" x14ac:dyDescent="0.25">
      <c r="A253" s="71" t="s">
        <v>481</v>
      </c>
      <c r="B253" s="108">
        <v>0</v>
      </c>
      <c r="C253" s="106">
        <v>0</v>
      </c>
      <c r="D253" s="106">
        <v>0</v>
      </c>
      <c r="E253" s="69">
        <v>0</v>
      </c>
      <c r="F253" s="69">
        <v>0</v>
      </c>
      <c r="G253" s="69">
        <v>0</v>
      </c>
      <c r="H253" s="69">
        <v>0</v>
      </c>
      <c r="I253" s="69">
        <v>0</v>
      </c>
      <c r="J253" s="69">
        <v>0</v>
      </c>
      <c r="K253" s="69">
        <v>0</v>
      </c>
      <c r="L253" s="27" t="s">
        <v>264</v>
      </c>
      <c r="N253" s="71" t="s">
        <v>481</v>
      </c>
      <c r="O253" s="69" t="str">
        <f t="shared" si="322"/>
        <v/>
      </c>
      <c r="P253" s="69" t="str">
        <f t="shared" si="323"/>
        <v/>
      </c>
      <c r="Q253" s="69" t="str">
        <f t="shared" si="324"/>
        <v/>
      </c>
      <c r="R253" s="69" t="str">
        <f t="shared" si="325"/>
        <v/>
      </c>
      <c r="S253" s="69" t="str">
        <f t="shared" si="326"/>
        <v/>
      </c>
      <c r="T253" s="69" t="str">
        <f t="shared" si="327"/>
        <v/>
      </c>
      <c r="U253" s="69" t="str">
        <f t="shared" si="328"/>
        <v/>
      </c>
      <c r="V253" s="69" t="str">
        <f t="shared" si="329"/>
        <v/>
      </c>
      <c r="W253" s="69" t="str">
        <f t="shared" si="330"/>
        <v/>
      </c>
      <c r="X253" s="69" t="str">
        <f t="shared" si="331"/>
        <v/>
      </c>
      <c r="Y253" s="27" t="s">
        <v>264</v>
      </c>
    </row>
    <row r="254" spans="1:25" x14ac:dyDescent="0.25">
      <c r="A254" s="71" t="s">
        <v>482</v>
      </c>
      <c r="B254" s="108">
        <v>0</v>
      </c>
      <c r="C254" s="106">
        <v>0</v>
      </c>
      <c r="D254" s="106">
        <v>0</v>
      </c>
      <c r="E254" s="69">
        <v>0</v>
      </c>
      <c r="F254" s="69">
        <v>0</v>
      </c>
      <c r="G254" s="69">
        <v>0</v>
      </c>
      <c r="H254" s="69">
        <v>0</v>
      </c>
      <c r="I254" s="69">
        <v>0</v>
      </c>
      <c r="J254" s="69">
        <v>0</v>
      </c>
      <c r="K254" s="69">
        <v>0</v>
      </c>
      <c r="L254" s="27" t="s">
        <v>264</v>
      </c>
      <c r="N254" s="71" t="s">
        <v>482</v>
      </c>
      <c r="O254" s="69" t="str">
        <f t="shared" si="322"/>
        <v/>
      </c>
      <c r="P254" s="69" t="str">
        <f t="shared" si="323"/>
        <v/>
      </c>
      <c r="Q254" s="69" t="str">
        <f t="shared" si="324"/>
        <v/>
      </c>
      <c r="R254" s="69" t="str">
        <f t="shared" si="325"/>
        <v/>
      </c>
      <c r="S254" s="69" t="str">
        <f t="shared" si="326"/>
        <v/>
      </c>
      <c r="T254" s="69" t="str">
        <f t="shared" si="327"/>
        <v/>
      </c>
      <c r="U254" s="69" t="str">
        <f t="shared" si="328"/>
        <v/>
      </c>
      <c r="V254" s="69" t="str">
        <f t="shared" si="329"/>
        <v/>
      </c>
      <c r="W254" s="69" t="str">
        <f t="shared" si="330"/>
        <v/>
      </c>
      <c r="X254" s="69" t="str">
        <f t="shared" si="331"/>
        <v/>
      </c>
      <c r="Y254" s="27" t="s">
        <v>264</v>
      </c>
    </row>
    <row r="255" spans="1:25" x14ac:dyDescent="0.25">
      <c r="A255" s="71" t="s">
        <v>483</v>
      </c>
      <c r="B255" s="108">
        <v>0</v>
      </c>
      <c r="C255" s="106">
        <v>0</v>
      </c>
      <c r="D255" s="106">
        <v>0</v>
      </c>
      <c r="E255" s="69">
        <v>0</v>
      </c>
      <c r="F255" s="69">
        <v>0</v>
      </c>
      <c r="G255" s="69">
        <v>0</v>
      </c>
      <c r="H255" s="69">
        <v>0</v>
      </c>
      <c r="I255" s="69">
        <v>0</v>
      </c>
      <c r="J255" s="69">
        <v>0</v>
      </c>
      <c r="K255" s="69">
        <v>0</v>
      </c>
      <c r="L255" s="27" t="s">
        <v>264</v>
      </c>
      <c r="N255" s="71" t="s">
        <v>483</v>
      </c>
      <c r="O255" s="69" t="str">
        <f t="shared" si="322"/>
        <v/>
      </c>
      <c r="P255" s="69" t="str">
        <f t="shared" si="323"/>
        <v/>
      </c>
      <c r="Q255" s="69" t="str">
        <f t="shared" si="324"/>
        <v/>
      </c>
      <c r="R255" s="69" t="str">
        <f t="shared" si="325"/>
        <v/>
      </c>
      <c r="S255" s="69" t="str">
        <f t="shared" si="326"/>
        <v/>
      </c>
      <c r="T255" s="69" t="str">
        <f t="shared" si="327"/>
        <v/>
      </c>
      <c r="U255" s="69" t="str">
        <f t="shared" si="328"/>
        <v/>
      </c>
      <c r="V255" s="69" t="str">
        <f t="shared" si="329"/>
        <v/>
      </c>
      <c r="W255" s="69" t="str">
        <f t="shared" si="330"/>
        <v/>
      </c>
      <c r="X255" s="69" t="str">
        <f t="shared" si="331"/>
        <v/>
      </c>
      <c r="Y255" s="27" t="s">
        <v>264</v>
      </c>
    </row>
    <row r="256" spans="1:25" x14ac:dyDescent="0.25">
      <c r="A256" s="71" t="s">
        <v>484</v>
      </c>
      <c r="B256" s="108">
        <v>0</v>
      </c>
      <c r="C256" s="106">
        <v>0</v>
      </c>
      <c r="D256" s="106">
        <v>0</v>
      </c>
      <c r="E256" s="69">
        <v>0</v>
      </c>
      <c r="F256" s="69">
        <v>0</v>
      </c>
      <c r="G256" s="69">
        <v>0</v>
      </c>
      <c r="H256" s="69">
        <v>0</v>
      </c>
      <c r="I256" s="69">
        <v>0</v>
      </c>
      <c r="J256" s="69">
        <v>0</v>
      </c>
      <c r="K256" s="69">
        <v>0</v>
      </c>
      <c r="L256" s="27" t="s">
        <v>264</v>
      </c>
      <c r="N256" s="71" t="s">
        <v>484</v>
      </c>
      <c r="O256" s="69" t="str">
        <f t="shared" si="322"/>
        <v/>
      </c>
      <c r="P256" s="69" t="str">
        <f t="shared" si="323"/>
        <v/>
      </c>
      <c r="Q256" s="69" t="str">
        <f t="shared" si="324"/>
        <v/>
      </c>
      <c r="R256" s="69" t="str">
        <f t="shared" si="325"/>
        <v/>
      </c>
      <c r="S256" s="69" t="str">
        <f t="shared" si="326"/>
        <v/>
      </c>
      <c r="T256" s="69" t="str">
        <f t="shared" si="327"/>
        <v/>
      </c>
      <c r="U256" s="69" t="str">
        <f t="shared" si="328"/>
        <v/>
      </c>
      <c r="V256" s="69" t="str">
        <f t="shared" si="329"/>
        <v/>
      </c>
      <c r="W256" s="69" t="str">
        <f t="shared" si="330"/>
        <v/>
      </c>
      <c r="X256" s="69" t="str">
        <f t="shared" si="331"/>
        <v/>
      </c>
      <c r="Y256" s="27" t="s">
        <v>264</v>
      </c>
    </row>
    <row r="257" spans="1:38" x14ac:dyDescent="0.25">
      <c r="A257" s="71" t="s">
        <v>485</v>
      </c>
      <c r="D257" s="106">
        <v>0</v>
      </c>
      <c r="E257" s="69">
        <v>0</v>
      </c>
      <c r="F257" s="69">
        <v>0</v>
      </c>
      <c r="G257" s="69">
        <v>0</v>
      </c>
      <c r="H257" s="69">
        <v>0</v>
      </c>
      <c r="I257" s="69">
        <v>0</v>
      </c>
      <c r="J257" s="69">
        <v>0</v>
      </c>
      <c r="K257" s="69">
        <v>0</v>
      </c>
      <c r="L257" s="27" t="s">
        <v>264</v>
      </c>
      <c r="N257" s="71" t="s">
        <v>485</v>
      </c>
      <c r="O257" s="69" t="str">
        <f t="shared" si="322"/>
        <v/>
      </c>
      <c r="P257" s="69" t="str">
        <f t="shared" si="323"/>
        <v/>
      </c>
      <c r="Q257" s="69" t="str">
        <f t="shared" si="324"/>
        <v/>
      </c>
      <c r="R257" s="69" t="str">
        <f t="shared" si="325"/>
        <v/>
      </c>
      <c r="S257" s="69" t="str">
        <f t="shared" si="326"/>
        <v/>
      </c>
      <c r="T257" s="69" t="str">
        <f t="shared" si="327"/>
        <v/>
      </c>
      <c r="U257" s="69" t="str">
        <f t="shared" si="328"/>
        <v/>
      </c>
      <c r="V257" s="69" t="str">
        <f t="shared" si="329"/>
        <v/>
      </c>
      <c r="W257" s="69" t="str">
        <f t="shared" si="330"/>
        <v/>
      </c>
      <c r="X257" s="69" t="str">
        <f t="shared" si="331"/>
        <v/>
      </c>
      <c r="Y257" s="27" t="s">
        <v>264</v>
      </c>
    </row>
    <row r="258" spans="1:38" x14ac:dyDescent="0.25">
      <c r="A258" s="71" t="s">
        <v>486</v>
      </c>
      <c r="D258" s="106">
        <v>0</v>
      </c>
      <c r="E258" s="69">
        <v>0</v>
      </c>
      <c r="F258" s="69">
        <v>0</v>
      </c>
      <c r="G258" s="69">
        <v>0</v>
      </c>
      <c r="H258" s="69">
        <v>0</v>
      </c>
      <c r="I258" s="69">
        <v>0</v>
      </c>
      <c r="J258" s="69">
        <v>0</v>
      </c>
      <c r="K258" s="69">
        <v>0</v>
      </c>
      <c r="L258" s="27" t="s">
        <v>264</v>
      </c>
      <c r="N258" s="71" t="s">
        <v>486</v>
      </c>
      <c r="O258" s="69" t="str">
        <f t="shared" si="322"/>
        <v/>
      </c>
      <c r="P258" s="69" t="str">
        <f t="shared" si="323"/>
        <v/>
      </c>
      <c r="Q258" s="69" t="str">
        <f t="shared" si="324"/>
        <v/>
      </c>
      <c r="R258" s="69" t="str">
        <f t="shared" si="325"/>
        <v/>
      </c>
      <c r="S258" s="69" t="str">
        <f t="shared" si="326"/>
        <v/>
      </c>
      <c r="T258" s="69" t="str">
        <f t="shared" si="327"/>
        <v/>
      </c>
      <c r="U258" s="69" t="str">
        <f t="shared" si="328"/>
        <v/>
      </c>
      <c r="V258" s="69" t="str">
        <f t="shared" si="329"/>
        <v/>
      </c>
      <c r="W258" s="69" t="str">
        <f t="shared" si="330"/>
        <v/>
      </c>
      <c r="X258" s="69" t="str">
        <f t="shared" si="331"/>
        <v/>
      </c>
      <c r="Y258" s="27" t="s">
        <v>264</v>
      </c>
    </row>
    <row r="259" spans="1:38" x14ac:dyDescent="0.25">
      <c r="A259" t="s">
        <v>469</v>
      </c>
      <c r="L259" s="27"/>
      <c r="N259" t="s">
        <v>469</v>
      </c>
      <c r="O259" s="69"/>
      <c r="P259" s="69"/>
      <c r="Q259" s="69"/>
      <c r="R259" s="69"/>
      <c r="S259" s="69"/>
      <c r="T259" s="69"/>
      <c r="U259" s="69"/>
      <c r="V259" s="69"/>
      <c r="W259" s="69"/>
      <c r="X259" s="69"/>
      <c r="Y259" s="27"/>
      <c r="AA259" t="s">
        <v>8</v>
      </c>
      <c r="AB259" t="s">
        <v>496</v>
      </c>
      <c r="AC259" s="69" t="e">
        <f>AVERAGE(O260:O267)</f>
        <v>#DIV/0!</v>
      </c>
      <c r="AD259" s="69">
        <f t="shared" ref="AD259" si="332">AVERAGE(P260:P267)</f>
        <v>4.7397200421693642</v>
      </c>
      <c r="AE259" s="69">
        <f t="shared" ref="AE259" si="333">AVERAGE(Q260:Q267)</f>
        <v>4.4430528056684757</v>
      </c>
      <c r="AF259" s="69">
        <f t="shared" ref="AF259" si="334">AVERAGE(R260:R267)</f>
        <v>4.4642314791400262</v>
      </c>
      <c r="AG259" s="69">
        <f t="shared" ref="AG259" si="335">AVERAGE(S260:S267)</f>
        <v>4.4295053661546779</v>
      </c>
      <c r="AH259" s="69">
        <f t="shared" ref="AH259" si="336">AVERAGE(T260:T267)</f>
        <v>4.3817578192749744</v>
      </c>
      <c r="AI259" s="69">
        <f t="shared" ref="AI259" si="337">AVERAGE(U260:U267)</f>
        <v>4.3654692577092149</v>
      </c>
      <c r="AJ259" s="69">
        <f t="shared" ref="AJ259" si="338">AVERAGE(V260:V267)</f>
        <v>4.3449192095428106</v>
      </c>
      <c r="AK259" s="69">
        <f t="shared" ref="AK259" si="339">AVERAGE(W260:W267)</f>
        <v>4.3380485089284253</v>
      </c>
      <c r="AL259" s="69">
        <f t="shared" ref="AL259" si="340">AVERAGE(X260:X267)</f>
        <v>4.3328601442174834</v>
      </c>
    </row>
    <row r="260" spans="1:38" x14ac:dyDescent="0.25">
      <c r="A260" s="71" t="s">
        <v>471</v>
      </c>
      <c r="B260" s="108">
        <v>0</v>
      </c>
      <c r="C260" s="106">
        <v>0</v>
      </c>
      <c r="D260" s="106">
        <v>0</v>
      </c>
      <c r="E260" s="69">
        <v>0</v>
      </c>
      <c r="F260" s="69">
        <v>0</v>
      </c>
      <c r="G260" s="69">
        <v>0</v>
      </c>
      <c r="H260" s="69">
        <v>0</v>
      </c>
      <c r="I260" s="69">
        <v>0</v>
      </c>
      <c r="J260" s="69">
        <v>0</v>
      </c>
      <c r="K260" s="69">
        <v>0</v>
      </c>
      <c r="L260" s="27" t="s">
        <v>264</v>
      </c>
      <c r="N260" s="71" t="s">
        <v>471</v>
      </c>
      <c r="O260" s="69" t="str">
        <f t="shared" ref="O260:O275" si="341">IFERROR(L_100km_to_mpg/B260, "")</f>
        <v/>
      </c>
      <c r="P260" s="69" t="str">
        <f t="shared" ref="P260:P275" si="342">IFERROR(L_100km_to_mpg/C260, "")</f>
        <v/>
      </c>
      <c r="Q260" s="69" t="str">
        <f t="shared" ref="Q260:Q275" si="343">IFERROR(L_100km_to_mpg/D260, "")</f>
        <v/>
      </c>
      <c r="R260" s="69" t="str">
        <f t="shared" ref="R260:R275" si="344">IFERROR(L_100km_to_mpg/E260, "")</f>
        <v/>
      </c>
      <c r="S260" s="69" t="str">
        <f t="shared" ref="S260:S275" si="345">IFERROR(L_100km_to_mpg/F260, "")</f>
        <v/>
      </c>
      <c r="T260" s="69" t="str">
        <f t="shared" ref="T260:T275" si="346">IFERROR(L_100km_to_mpg/G260, "")</f>
        <v/>
      </c>
      <c r="U260" s="69" t="str">
        <f t="shared" ref="U260:U275" si="347">IFERROR(L_100km_to_mpg/H260, "")</f>
        <v/>
      </c>
      <c r="V260" s="69" t="str">
        <f t="shared" ref="V260:V275" si="348">IFERROR(L_100km_to_mpg/I260, "")</f>
        <v/>
      </c>
      <c r="W260" s="69" t="str">
        <f t="shared" ref="W260:W275" si="349">IFERROR(L_100km_to_mpg/J260, "")</f>
        <v/>
      </c>
      <c r="X260" s="69" t="str">
        <f t="shared" ref="X260:X275" si="350">IFERROR(L_100km_to_mpg/K260, "")</f>
        <v/>
      </c>
      <c r="Y260" s="27" t="s">
        <v>264</v>
      </c>
      <c r="AA260" t="s">
        <v>240</v>
      </c>
      <c r="AB260" t="s">
        <v>496</v>
      </c>
      <c r="AC260" s="69" t="e">
        <f>AVERAGE(O268:O275)</f>
        <v>#DIV/0!</v>
      </c>
      <c r="AD260" s="69">
        <f t="shared" ref="AD260" si="351">AVERAGE(P268:P275)</f>
        <v>4.8685056267390703</v>
      </c>
      <c r="AE260" s="69">
        <f t="shared" ref="AE260" si="352">AVERAGE(Q268:Q275)</f>
        <v>5.2010314405524092</v>
      </c>
      <c r="AF260" s="69">
        <f t="shared" ref="AF260" si="353">AVERAGE(R268:R275)</f>
        <v>4.7112838105512065</v>
      </c>
      <c r="AG260" s="69">
        <f t="shared" ref="AG260" si="354">AVERAGE(S268:S275)</f>
        <v>5.029446185309097</v>
      </c>
      <c r="AH260" s="69">
        <f t="shared" ref="AH260" si="355">AVERAGE(T268:T275)</f>
        <v>4.9634437697420717</v>
      </c>
      <c r="AI260" s="69">
        <f t="shared" ref="AI260" si="356">AVERAGE(U268:U275)</f>
        <v>4.9498366489487937</v>
      </c>
      <c r="AJ260" s="69">
        <f t="shared" ref="AJ260" si="357">AVERAGE(V268:V275)</f>
        <v>4.9363296803222543</v>
      </c>
      <c r="AK260" s="69">
        <f t="shared" ref="AK260" si="358">AVERAGE(W268:W275)</f>
        <v>4.9322383649309067</v>
      </c>
      <c r="AL260" s="69">
        <f t="shared" ref="AL260" si="359">AVERAGE(X268:X275)</f>
        <v>4.9315789777537917</v>
      </c>
    </row>
    <row r="261" spans="1:38" x14ac:dyDescent="0.25">
      <c r="A261" s="71" t="s">
        <v>472</v>
      </c>
      <c r="B261" s="108">
        <v>0</v>
      </c>
      <c r="C261" s="106">
        <v>54.449218999999999</v>
      </c>
      <c r="D261" s="106">
        <v>51.796047000000002</v>
      </c>
      <c r="E261" s="69">
        <v>51.839432000000002</v>
      </c>
      <c r="F261" s="69">
        <v>52.671711000000002</v>
      </c>
      <c r="G261" s="69">
        <v>53.337989999999998</v>
      </c>
      <c r="H261" s="69">
        <v>53.466610000000003</v>
      </c>
      <c r="I261" s="69">
        <v>53.480792999999998</v>
      </c>
      <c r="J261" s="69">
        <v>53.487319999999997</v>
      </c>
      <c r="K261" s="69">
        <v>53.481513999999997</v>
      </c>
      <c r="L261" s="27">
        <v>1E-3</v>
      </c>
      <c r="N261" s="71" t="s">
        <v>472</v>
      </c>
      <c r="O261" s="69" t="str">
        <f t="shared" si="341"/>
        <v/>
      </c>
      <c r="P261" s="69">
        <f t="shared" si="342"/>
        <v>4.3198988628547301</v>
      </c>
      <c r="Q261" s="69">
        <f t="shared" si="343"/>
        <v>4.5411789676039973</v>
      </c>
      <c r="R261" s="69">
        <f t="shared" si="344"/>
        <v>4.5373784041736442</v>
      </c>
      <c r="S261" s="69">
        <f t="shared" si="345"/>
        <v>4.4656821427621392</v>
      </c>
      <c r="T261" s="69">
        <f t="shared" si="346"/>
        <v>4.4098984465186666</v>
      </c>
      <c r="U261" s="69">
        <f t="shared" si="347"/>
        <v>4.3992899351843722</v>
      </c>
      <c r="V261" s="69">
        <f t="shared" si="348"/>
        <v>4.3981232522380163</v>
      </c>
      <c r="W261" s="69">
        <f t="shared" si="349"/>
        <v>4.3975865539987451</v>
      </c>
      <c r="X261" s="69">
        <f t="shared" si="350"/>
        <v>4.3980639598465396</v>
      </c>
      <c r="Y261" s="27">
        <v>1E-3</v>
      </c>
    </row>
    <row r="262" spans="1:38" x14ac:dyDescent="0.25">
      <c r="A262" s="71" t="s">
        <v>473</v>
      </c>
      <c r="B262" s="108">
        <v>0</v>
      </c>
      <c r="C262" s="106">
        <v>0</v>
      </c>
      <c r="D262" s="106">
        <v>55.874049999999997</v>
      </c>
      <c r="E262" s="69">
        <v>55.184448000000003</v>
      </c>
      <c r="F262" s="69">
        <v>55.736832</v>
      </c>
      <c r="G262" s="69">
        <v>56.384616999999999</v>
      </c>
      <c r="H262" s="69">
        <v>56.636780000000002</v>
      </c>
      <c r="I262" s="69">
        <v>57.093578000000001</v>
      </c>
      <c r="J262" s="69">
        <v>57.242088000000003</v>
      </c>
      <c r="K262" s="69">
        <v>57.337440000000001</v>
      </c>
      <c r="L262" s="27">
        <v>1E-3</v>
      </c>
      <c r="N262" s="71" t="s">
        <v>473</v>
      </c>
      <c r="O262" s="69" t="str">
        <f t="shared" si="341"/>
        <v/>
      </c>
      <c r="P262" s="69" t="str">
        <f t="shared" si="342"/>
        <v/>
      </c>
      <c r="Q262" s="69">
        <f t="shared" si="343"/>
        <v>4.2097381385710921</v>
      </c>
      <c r="R262" s="69">
        <f t="shared" si="344"/>
        <v>4.2623443337048172</v>
      </c>
      <c r="S262" s="69">
        <f t="shared" si="345"/>
        <v>4.2201020546239176</v>
      </c>
      <c r="T262" s="69">
        <f t="shared" si="346"/>
        <v>4.1716186392013297</v>
      </c>
      <c r="U262" s="69">
        <f t="shared" si="347"/>
        <v>4.1530454104457943</v>
      </c>
      <c r="V262" s="69">
        <f t="shared" si="348"/>
        <v>4.1198174555013551</v>
      </c>
      <c r="W262" s="69">
        <f t="shared" si="349"/>
        <v>4.1091289199902725</v>
      </c>
      <c r="X262" s="69">
        <f t="shared" si="350"/>
        <v>4.1022954502577749</v>
      </c>
      <c r="Y262" s="27">
        <v>1E-3</v>
      </c>
    </row>
    <row r="263" spans="1:38" x14ac:dyDescent="0.25">
      <c r="A263" s="71" t="s">
        <v>474</v>
      </c>
      <c r="B263" s="108">
        <v>0</v>
      </c>
      <c r="C263" s="106">
        <v>52.108677</v>
      </c>
      <c r="D263" s="106">
        <v>54.801884000000001</v>
      </c>
      <c r="E263" s="69">
        <v>53.961421999999999</v>
      </c>
      <c r="F263" s="69">
        <v>54.227584999999998</v>
      </c>
      <c r="G263" s="69">
        <v>54.762630000000001</v>
      </c>
      <c r="H263" s="69">
        <v>54.985447000000001</v>
      </c>
      <c r="I263" s="69">
        <v>55.314484</v>
      </c>
      <c r="J263" s="69">
        <v>55.431286</v>
      </c>
      <c r="K263" s="69">
        <v>55.541378000000002</v>
      </c>
      <c r="L263" s="27">
        <v>1E-3</v>
      </c>
      <c r="N263" s="71" t="s">
        <v>474</v>
      </c>
      <c r="O263" s="69" t="str">
        <f t="shared" si="341"/>
        <v/>
      </c>
      <c r="P263" s="69">
        <f t="shared" si="342"/>
        <v>4.5139338164626235</v>
      </c>
      <c r="Q263" s="69">
        <f t="shared" si="343"/>
        <v>4.2920991409971991</v>
      </c>
      <c r="R263" s="69">
        <f t="shared" si="344"/>
        <v>4.3589496073959682</v>
      </c>
      <c r="S263" s="69">
        <f t="shared" si="345"/>
        <v>4.3375547563371697</v>
      </c>
      <c r="T263" s="69">
        <f t="shared" si="346"/>
        <v>4.2951757291683785</v>
      </c>
      <c r="U263" s="69">
        <f t="shared" si="347"/>
        <v>4.277770429718033</v>
      </c>
      <c r="V263" s="69">
        <f t="shared" si="348"/>
        <v>4.2523242057438004</v>
      </c>
      <c r="W263" s="69">
        <f t="shared" si="349"/>
        <v>4.2433639234245462</v>
      </c>
      <c r="X263" s="69">
        <f t="shared" si="350"/>
        <v>4.2349528893832655</v>
      </c>
      <c r="Y263" s="27">
        <v>1E-3</v>
      </c>
    </row>
    <row r="264" spans="1:38" x14ac:dyDescent="0.25">
      <c r="A264" s="71" t="s">
        <v>475</v>
      </c>
      <c r="B264" s="108">
        <v>0</v>
      </c>
      <c r="C264" s="106">
        <v>43.677031999999997</v>
      </c>
      <c r="D264" s="106">
        <v>49.736820000000002</v>
      </c>
      <c r="E264" s="69">
        <v>50.064373000000003</v>
      </c>
      <c r="F264" s="69">
        <v>50.102454999999999</v>
      </c>
      <c r="G264" s="69">
        <v>50.580215000000003</v>
      </c>
      <c r="H264" s="69">
        <v>50.782974000000003</v>
      </c>
      <c r="I264" s="69">
        <v>51.029311999999997</v>
      </c>
      <c r="J264" s="69">
        <v>51.110225999999997</v>
      </c>
      <c r="K264" s="69">
        <v>51.176796000000003</v>
      </c>
      <c r="L264" s="27">
        <v>1E-3</v>
      </c>
      <c r="N264" s="71" t="s">
        <v>475</v>
      </c>
      <c r="O264" s="69" t="str">
        <f t="shared" si="341"/>
        <v/>
      </c>
      <c r="P264" s="69">
        <f t="shared" si="342"/>
        <v>5.385327447190738</v>
      </c>
      <c r="Q264" s="69">
        <f t="shared" si="343"/>
        <v>4.7291949755016134</v>
      </c>
      <c r="R264" s="69">
        <f t="shared" si="344"/>
        <v>4.698253571285675</v>
      </c>
      <c r="S264" s="69">
        <f t="shared" si="345"/>
        <v>4.694682510895487</v>
      </c>
      <c r="T264" s="69">
        <f t="shared" si="346"/>
        <v>4.6503384622115211</v>
      </c>
      <c r="U264" s="69">
        <f t="shared" si="347"/>
        <v>4.6317712554886628</v>
      </c>
      <c r="V264" s="69">
        <f t="shared" si="348"/>
        <v>4.6094119246880725</v>
      </c>
      <c r="W264" s="69">
        <f t="shared" si="349"/>
        <v>4.6021146383001348</v>
      </c>
      <c r="X264" s="69">
        <f t="shared" si="350"/>
        <v>4.5961282773823537</v>
      </c>
      <c r="Y264" s="27">
        <v>1E-3</v>
      </c>
    </row>
    <row r="265" spans="1:38" x14ac:dyDescent="0.25">
      <c r="A265" s="71" t="s">
        <v>476</v>
      </c>
      <c r="B265" s="108">
        <v>0</v>
      </c>
      <c r="C265" s="106">
        <v>0</v>
      </c>
      <c r="D265" s="106">
        <v>0</v>
      </c>
      <c r="E265" s="69">
        <v>0</v>
      </c>
      <c r="F265" s="69">
        <v>0</v>
      </c>
      <c r="G265" s="69">
        <v>0</v>
      </c>
      <c r="H265" s="69">
        <v>0</v>
      </c>
      <c r="I265" s="69">
        <v>0</v>
      </c>
      <c r="J265" s="69">
        <v>0</v>
      </c>
      <c r="K265" s="69">
        <v>0</v>
      </c>
      <c r="L265" s="27" t="s">
        <v>264</v>
      </c>
      <c r="N265" s="71" t="s">
        <v>476</v>
      </c>
      <c r="O265" s="69" t="str">
        <f t="shared" si="341"/>
        <v/>
      </c>
      <c r="P265" s="69" t="str">
        <f t="shared" si="342"/>
        <v/>
      </c>
      <c r="Q265" s="69" t="str">
        <f t="shared" si="343"/>
        <v/>
      </c>
      <c r="R265" s="69" t="str">
        <f t="shared" si="344"/>
        <v/>
      </c>
      <c r="S265" s="69" t="str">
        <f t="shared" si="345"/>
        <v/>
      </c>
      <c r="T265" s="69" t="str">
        <f t="shared" si="346"/>
        <v/>
      </c>
      <c r="U265" s="69" t="str">
        <f t="shared" si="347"/>
        <v/>
      </c>
      <c r="V265" s="69" t="str">
        <f t="shared" si="348"/>
        <v/>
      </c>
      <c r="W265" s="69" t="str">
        <f t="shared" si="349"/>
        <v/>
      </c>
      <c r="X265" s="69" t="str">
        <f t="shared" si="350"/>
        <v/>
      </c>
      <c r="Y265" s="27" t="s">
        <v>264</v>
      </c>
    </row>
    <row r="266" spans="1:38" x14ac:dyDescent="0.25">
      <c r="A266" s="71" t="s">
        <v>477</v>
      </c>
      <c r="D266" s="106">
        <v>0</v>
      </c>
      <c r="E266" s="69">
        <v>0</v>
      </c>
      <c r="F266" s="69">
        <v>0</v>
      </c>
      <c r="G266" s="69">
        <v>0</v>
      </c>
      <c r="H266" s="69">
        <v>0</v>
      </c>
      <c r="I266" s="69">
        <v>0</v>
      </c>
      <c r="J266" s="69">
        <v>0</v>
      </c>
      <c r="K266" s="69">
        <v>0</v>
      </c>
      <c r="L266" s="27" t="s">
        <v>264</v>
      </c>
      <c r="N266" s="71" t="s">
        <v>477</v>
      </c>
      <c r="O266" s="69" t="str">
        <f t="shared" si="341"/>
        <v/>
      </c>
      <c r="P266" s="69" t="str">
        <f t="shared" si="342"/>
        <v/>
      </c>
      <c r="Q266" s="69" t="str">
        <f t="shared" si="343"/>
        <v/>
      </c>
      <c r="R266" s="69" t="str">
        <f t="shared" si="344"/>
        <v/>
      </c>
      <c r="S266" s="69" t="str">
        <f t="shared" si="345"/>
        <v/>
      </c>
      <c r="T266" s="69" t="str">
        <f t="shared" si="346"/>
        <v/>
      </c>
      <c r="U266" s="69" t="str">
        <f t="shared" si="347"/>
        <v/>
      </c>
      <c r="V266" s="69" t="str">
        <f t="shared" si="348"/>
        <v/>
      </c>
      <c r="W266" s="69" t="str">
        <f t="shared" si="349"/>
        <v/>
      </c>
      <c r="X266" s="69" t="str">
        <f t="shared" si="350"/>
        <v/>
      </c>
      <c r="Y266" s="27" t="s">
        <v>264</v>
      </c>
    </row>
    <row r="267" spans="1:38" x14ac:dyDescent="0.25">
      <c r="A267" s="71" t="s">
        <v>478</v>
      </c>
      <c r="D267" s="106">
        <v>0</v>
      </c>
      <c r="E267" s="69">
        <v>0</v>
      </c>
      <c r="F267" s="69">
        <v>0</v>
      </c>
      <c r="G267" s="69">
        <v>0</v>
      </c>
      <c r="H267" s="69">
        <v>0</v>
      </c>
      <c r="I267" s="69">
        <v>0</v>
      </c>
      <c r="J267" s="69">
        <v>0</v>
      </c>
      <c r="K267" s="69">
        <v>0</v>
      </c>
      <c r="L267" s="27" t="s">
        <v>264</v>
      </c>
      <c r="N267" s="71" t="s">
        <v>478</v>
      </c>
      <c r="O267" s="69" t="str">
        <f t="shared" si="341"/>
        <v/>
      </c>
      <c r="P267" s="69" t="str">
        <f t="shared" si="342"/>
        <v/>
      </c>
      <c r="Q267" s="69" t="str">
        <f t="shared" si="343"/>
        <v/>
      </c>
      <c r="R267" s="69" t="str">
        <f t="shared" si="344"/>
        <v/>
      </c>
      <c r="S267" s="69" t="str">
        <f t="shared" si="345"/>
        <v/>
      </c>
      <c r="T267" s="69" t="str">
        <f t="shared" si="346"/>
        <v/>
      </c>
      <c r="U267" s="69" t="str">
        <f t="shared" si="347"/>
        <v/>
      </c>
      <c r="V267" s="69" t="str">
        <f t="shared" si="348"/>
        <v/>
      </c>
      <c r="W267" s="69" t="str">
        <f t="shared" si="349"/>
        <v/>
      </c>
      <c r="X267" s="69" t="str">
        <f t="shared" si="350"/>
        <v/>
      </c>
      <c r="Y267" s="27" t="s">
        <v>264</v>
      </c>
    </row>
    <row r="268" spans="1:38" x14ac:dyDescent="0.25">
      <c r="A268" s="71" t="s">
        <v>479</v>
      </c>
      <c r="B268" s="108">
        <v>0</v>
      </c>
      <c r="C268" s="106">
        <v>0</v>
      </c>
      <c r="D268" s="106">
        <v>0</v>
      </c>
      <c r="E268" s="69">
        <v>0</v>
      </c>
      <c r="F268" s="69">
        <v>0</v>
      </c>
      <c r="G268" s="69">
        <v>0</v>
      </c>
      <c r="H268" s="69">
        <v>0</v>
      </c>
      <c r="I268" s="69">
        <v>0</v>
      </c>
      <c r="J268" s="69">
        <v>0</v>
      </c>
      <c r="K268" s="69">
        <v>0</v>
      </c>
      <c r="L268" s="27" t="s">
        <v>264</v>
      </c>
      <c r="N268" s="71" t="s">
        <v>479</v>
      </c>
      <c r="O268" s="69" t="str">
        <f t="shared" si="341"/>
        <v/>
      </c>
      <c r="P268" s="69" t="str">
        <f t="shared" si="342"/>
        <v/>
      </c>
      <c r="Q268" s="69" t="str">
        <f t="shared" si="343"/>
        <v/>
      </c>
      <c r="R268" s="69" t="str">
        <f t="shared" si="344"/>
        <v/>
      </c>
      <c r="S268" s="69" t="str">
        <f t="shared" si="345"/>
        <v/>
      </c>
      <c r="T268" s="69" t="str">
        <f t="shared" si="346"/>
        <v/>
      </c>
      <c r="U268" s="69" t="str">
        <f t="shared" si="347"/>
        <v/>
      </c>
      <c r="V268" s="69" t="str">
        <f t="shared" si="348"/>
        <v/>
      </c>
      <c r="W268" s="69" t="str">
        <f t="shared" si="349"/>
        <v/>
      </c>
      <c r="X268" s="69" t="str">
        <f t="shared" si="350"/>
        <v/>
      </c>
      <c r="Y268" s="27" t="s">
        <v>264</v>
      </c>
    </row>
    <row r="269" spans="1:38" x14ac:dyDescent="0.25">
      <c r="A269" s="71" t="s">
        <v>480</v>
      </c>
      <c r="B269" s="108">
        <v>0</v>
      </c>
      <c r="C269" s="106">
        <v>0</v>
      </c>
      <c r="D269" s="106">
        <v>0</v>
      </c>
      <c r="E269" s="69">
        <v>0</v>
      </c>
      <c r="F269" s="69">
        <v>0</v>
      </c>
      <c r="G269" s="69">
        <v>0</v>
      </c>
      <c r="H269" s="69">
        <v>0</v>
      </c>
      <c r="I269" s="69">
        <v>0</v>
      </c>
      <c r="J269" s="69">
        <v>0</v>
      </c>
      <c r="K269" s="69">
        <v>0</v>
      </c>
      <c r="L269" s="27" t="s">
        <v>264</v>
      </c>
      <c r="N269" s="71" t="s">
        <v>480</v>
      </c>
      <c r="O269" s="69" t="str">
        <f t="shared" si="341"/>
        <v/>
      </c>
      <c r="P269" s="69" t="str">
        <f t="shared" si="342"/>
        <v/>
      </c>
      <c r="Q269" s="69" t="str">
        <f t="shared" si="343"/>
        <v/>
      </c>
      <c r="R269" s="69" t="str">
        <f t="shared" si="344"/>
        <v/>
      </c>
      <c r="S269" s="69" t="str">
        <f t="shared" si="345"/>
        <v/>
      </c>
      <c r="T269" s="69" t="str">
        <f t="shared" si="346"/>
        <v/>
      </c>
      <c r="U269" s="69" t="str">
        <f t="shared" si="347"/>
        <v/>
      </c>
      <c r="V269" s="69" t="str">
        <f t="shared" si="348"/>
        <v/>
      </c>
      <c r="W269" s="69" t="str">
        <f t="shared" si="349"/>
        <v/>
      </c>
      <c r="X269" s="69" t="str">
        <f t="shared" si="350"/>
        <v/>
      </c>
      <c r="Y269" s="27" t="s">
        <v>264</v>
      </c>
    </row>
    <row r="270" spans="1:38" x14ac:dyDescent="0.25">
      <c r="A270" s="71" t="s">
        <v>481</v>
      </c>
      <c r="B270" s="108">
        <v>0</v>
      </c>
      <c r="C270" s="106">
        <v>49.698498000000001</v>
      </c>
      <c r="D270" s="106">
        <v>41.803902000000001</v>
      </c>
      <c r="E270" s="69">
        <v>49.792183000000001</v>
      </c>
      <c r="F270" s="69">
        <v>50.263202999999997</v>
      </c>
      <c r="G270" s="69">
        <v>51.311306000000002</v>
      </c>
      <c r="H270" s="69">
        <v>51.423603</v>
      </c>
      <c r="I270" s="69">
        <v>51.547942999999997</v>
      </c>
      <c r="J270" s="69">
        <v>51.560355999999999</v>
      </c>
      <c r="K270" s="69">
        <v>51.565769000000003</v>
      </c>
      <c r="L270" s="27">
        <v>1E-3</v>
      </c>
      <c r="N270" s="71" t="s">
        <v>481</v>
      </c>
      <c r="O270" s="69" t="str">
        <f t="shared" si="341"/>
        <v/>
      </c>
      <c r="P270" s="69">
        <f t="shared" si="342"/>
        <v>4.7328416090447671</v>
      </c>
      <c r="Q270" s="69">
        <f t="shared" si="343"/>
        <v>5.6266307207740596</v>
      </c>
      <c r="R270" s="69">
        <f t="shared" si="344"/>
        <v>4.7239366717749274</v>
      </c>
      <c r="S270" s="69">
        <f t="shared" si="345"/>
        <v>4.6796683299595561</v>
      </c>
      <c r="T270" s="69">
        <f t="shared" si="346"/>
        <v>4.5840797589799829</v>
      </c>
      <c r="U270" s="69">
        <f t="shared" si="347"/>
        <v>4.5740692117864272</v>
      </c>
      <c r="V270" s="69">
        <f t="shared" si="348"/>
        <v>4.5630359923659451</v>
      </c>
      <c r="W270" s="69">
        <f t="shared" si="349"/>
        <v>4.5619374552306846</v>
      </c>
      <c r="X270" s="69">
        <f t="shared" si="350"/>
        <v>4.5614585761617965</v>
      </c>
      <c r="Y270" s="27">
        <v>1E-3</v>
      </c>
    </row>
    <row r="271" spans="1:38" x14ac:dyDescent="0.25">
      <c r="A271" s="71" t="s">
        <v>482</v>
      </c>
      <c r="B271" s="108">
        <v>0</v>
      </c>
      <c r="C271" s="106">
        <v>0</v>
      </c>
      <c r="D271" s="106">
        <v>0</v>
      </c>
      <c r="E271" s="69">
        <v>0</v>
      </c>
      <c r="F271" s="69">
        <v>0</v>
      </c>
      <c r="G271" s="69">
        <v>0</v>
      </c>
      <c r="H271" s="69">
        <v>0</v>
      </c>
      <c r="I271" s="69">
        <v>0</v>
      </c>
      <c r="J271" s="69">
        <v>0</v>
      </c>
      <c r="K271" s="69">
        <v>0</v>
      </c>
      <c r="L271" s="27" t="s">
        <v>264</v>
      </c>
      <c r="N271" s="71" t="s">
        <v>482</v>
      </c>
      <c r="O271" s="69" t="str">
        <f t="shared" si="341"/>
        <v/>
      </c>
      <c r="P271" s="69" t="str">
        <f t="shared" si="342"/>
        <v/>
      </c>
      <c r="Q271" s="69" t="str">
        <f t="shared" si="343"/>
        <v/>
      </c>
      <c r="R271" s="69" t="str">
        <f t="shared" si="344"/>
        <v/>
      </c>
      <c r="S271" s="69" t="str">
        <f t="shared" si="345"/>
        <v/>
      </c>
      <c r="T271" s="69" t="str">
        <f t="shared" si="346"/>
        <v/>
      </c>
      <c r="U271" s="69" t="str">
        <f t="shared" si="347"/>
        <v/>
      </c>
      <c r="V271" s="69" t="str">
        <f t="shared" si="348"/>
        <v/>
      </c>
      <c r="W271" s="69" t="str">
        <f t="shared" si="349"/>
        <v/>
      </c>
      <c r="X271" s="69" t="str">
        <f t="shared" si="350"/>
        <v/>
      </c>
      <c r="Y271" s="27" t="s">
        <v>264</v>
      </c>
    </row>
    <row r="272" spans="1:38" x14ac:dyDescent="0.25">
      <c r="A272" s="71" t="s">
        <v>483</v>
      </c>
      <c r="B272" s="108">
        <v>0</v>
      </c>
      <c r="C272" s="106">
        <v>47.003825999999997</v>
      </c>
      <c r="D272" s="106">
        <v>0</v>
      </c>
      <c r="E272" s="69">
        <v>0</v>
      </c>
      <c r="F272" s="69">
        <v>0</v>
      </c>
      <c r="G272" s="69">
        <v>0</v>
      </c>
      <c r="H272" s="69">
        <v>0</v>
      </c>
      <c r="I272" s="69">
        <v>0</v>
      </c>
      <c r="J272" s="69">
        <v>0</v>
      </c>
      <c r="K272" s="69">
        <v>0</v>
      </c>
      <c r="L272" s="27" t="s">
        <v>264</v>
      </c>
      <c r="N272" s="71" t="s">
        <v>483</v>
      </c>
      <c r="O272" s="69" t="str">
        <f t="shared" si="341"/>
        <v/>
      </c>
      <c r="P272" s="69">
        <f t="shared" si="342"/>
        <v>5.0041696444333734</v>
      </c>
      <c r="Q272" s="69" t="str">
        <f t="shared" si="343"/>
        <v/>
      </c>
      <c r="R272" s="69" t="str">
        <f t="shared" si="344"/>
        <v/>
      </c>
      <c r="S272" s="69" t="str">
        <f t="shared" si="345"/>
        <v/>
      </c>
      <c r="T272" s="69" t="str">
        <f t="shared" si="346"/>
        <v/>
      </c>
      <c r="U272" s="69" t="str">
        <f t="shared" si="347"/>
        <v/>
      </c>
      <c r="V272" s="69" t="str">
        <f t="shared" si="348"/>
        <v/>
      </c>
      <c r="W272" s="69" t="str">
        <f t="shared" si="349"/>
        <v/>
      </c>
      <c r="X272" s="69" t="str">
        <f t="shared" si="350"/>
        <v/>
      </c>
      <c r="Y272" s="27" t="s">
        <v>264</v>
      </c>
    </row>
    <row r="273" spans="1:25" x14ac:dyDescent="0.25">
      <c r="A273" s="71" t="s">
        <v>484</v>
      </c>
      <c r="B273" s="108">
        <v>0</v>
      </c>
      <c r="C273" s="106">
        <v>0</v>
      </c>
      <c r="D273" s="106">
        <v>0</v>
      </c>
      <c r="E273" s="69">
        <v>0</v>
      </c>
      <c r="F273" s="69">
        <v>0</v>
      </c>
      <c r="G273" s="69">
        <v>0</v>
      </c>
      <c r="H273" s="69">
        <v>0</v>
      </c>
      <c r="I273" s="69">
        <v>0</v>
      </c>
      <c r="J273" s="69">
        <v>0</v>
      </c>
      <c r="K273" s="69">
        <v>0</v>
      </c>
      <c r="L273" s="27" t="s">
        <v>264</v>
      </c>
      <c r="N273" s="71" t="s">
        <v>484</v>
      </c>
      <c r="O273" s="69" t="str">
        <f t="shared" si="341"/>
        <v/>
      </c>
      <c r="P273" s="69" t="str">
        <f t="shared" si="342"/>
        <v/>
      </c>
      <c r="Q273" s="69" t="str">
        <f t="shared" si="343"/>
        <v/>
      </c>
      <c r="R273" s="69" t="str">
        <f t="shared" si="344"/>
        <v/>
      </c>
      <c r="S273" s="69" t="str">
        <f t="shared" si="345"/>
        <v/>
      </c>
      <c r="T273" s="69" t="str">
        <f t="shared" si="346"/>
        <v/>
      </c>
      <c r="U273" s="69" t="str">
        <f t="shared" si="347"/>
        <v/>
      </c>
      <c r="V273" s="69" t="str">
        <f t="shared" si="348"/>
        <v/>
      </c>
      <c r="W273" s="69" t="str">
        <f t="shared" si="349"/>
        <v/>
      </c>
      <c r="X273" s="69" t="str">
        <f t="shared" si="350"/>
        <v/>
      </c>
      <c r="Y273" s="27" t="s">
        <v>264</v>
      </c>
    </row>
    <row r="274" spans="1:25" x14ac:dyDescent="0.25">
      <c r="A274" s="71" t="s">
        <v>485</v>
      </c>
      <c r="D274" s="106">
        <v>49.255253000000003</v>
      </c>
      <c r="E274" s="69">
        <v>50.060352000000002</v>
      </c>
      <c r="F274" s="69">
        <v>49.976063000000003</v>
      </c>
      <c r="G274" s="69">
        <v>50.535201999999998</v>
      </c>
      <c r="H274" s="69">
        <v>50.850613000000003</v>
      </c>
      <c r="I274" s="69">
        <v>51.177326000000001</v>
      </c>
      <c r="J274" s="69">
        <v>51.268329999999999</v>
      </c>
      <c r="K274" s="69">
        <v>51.256264000000002</v>
      </c>
      <c r="L274" s="27">
        <v>1E-3</v>
      </c>
      <c r="N274" s="71" t="s">
        <v>485</v>
      </c>
      <c r="O274" s="69" t="str">
        <f t="shared" si="341"/>
        <v/>
      </c>
      <c r="P274" s="69" t="str">
        <f t="shared" si="342"/>
        <v/>
      </c>
      <c r="Q274" s="69">
        <f t="shared" si="343"/>
        <v>4.7754321603307597</v>
      </c>
      <c r="R274" s="69">
        <f t="shared" si="344"/>
        <v>4.6986309493274865</v>
      </c>
      <c r="S274" s="69">
        <f t="shared" si="345"/>
        <v>4.7065556012571079</v>
      </c>
      <c r="T274" s="69">
        <f t="shared" si="346"/>
        <v>4.6544806379012424</v>
      </c>
      <c r="U274" s="69">
        <f t="shared" si="347"/>
        <v>4.6256102997505284</v>
      </c>
      <c r="V274" s="69">
        <f t="shared" si="348"/>
        <v>4.5960806791943005</v>
      </c>
      <c r="W274" s="69">
        <f t="shared" si="349"/>
        <v>4.5879223926628416</v>
      </c>
      <c r="X274" s="69">
        <f t="shared" si="350"/>
        <v>4.5890024142498591</v>
      </c>
      <c r="Y274" s="27">
        <v>1E-3</v>
      </c>
    </row>
    <row r="275" spans="1:25" x14ac:dyDescent="0.25">
      <c r="A275" s="71" t="s">
        <v>486</v>
      </c>
      <c r="D275" s="106">
        <v>0</v>
      </c>
      <c r="E275" s="69">
        <v>0</v>
      </c>
      <c r="F275" s="69">
        <v>41.250506999999999</v>
      </c>
      <c r="G275" s="69">
        <v>41.61795</v>
      </c>
      <c r="H275" s="69">
        <v>41.632244</v>
      </c>
      <c r="I275" s="69">
        <v>41.631934999999999</v>
      </c>
      <c r="J275" s="69">
        <v>41.654178999999999</v>
      </c>
      <c r="K275" s="69">
        <v>41.673214000000002</v>
      </c>
      <c r="L275" s="27" t="s">
        <v>264</v>
      </c>
      <c r="N275" s="71" t="s">
        <v>486</v>
      </c>
      <c r="O275" s="69" t="str">
        <f t="shared" si="341"/>
        <v/>
      </c>
      <c r="P275" s="69" t="str">
        <f t="shared" si="342"/>
        <v/>
      </c>
      <c r="Q275" s="69" t="str">
        <f t="shared" si="343"/>
        <v/>
      </c>
      <c r="R275" s="69" t="str">
        <f t="shared" si="344"/>
        <v/>
      </c>
      <c r="S275" s="69">
        <f t="shared" si="345"/>
        <v>5.702114624710628</v>
      </c>
      <c r="T275" s="69">
        <f t="shared" si="346"/>
        <v>5.6517709123449889</v>
      </c>
      <c r="U275" s="69">
        <f t="shared" si="347"/>
        <v>5.6498304353094237</v>
      </c>
      <c r="V275" s="69">
        <f t="shared" si="348"/>
        <v>5.649872369406518</v>
      </c>
      <c r="W275" s="69">
        <f t="shared" si="349"/>
        <v>5.6468552468991922</v>
      </c>
      <c r="X275" s="69">
        <f t="shared" si="350"/>
        <v>5.6442759428497196</v>
      </c>
      <c r="Y275" s="27" t="s">
        <v>264</v>
      </c>
    </row>
  </sheetData>
  <mergeCells count="3">
    <mergeCell ref="E1:L1"/>
    <mergeCell ref="A2:L2"/>
    <mergeCell ref="N2:Y2"/>
  </mergeCells>
  <conditionalFormatting sqref="B5:K275">
    <cfRule type="cellIs" dxfId="0" priority="2" operator="equal">
      <formula>0</formula>
    </cfRule>
  </conditionalFormatting>
  <hyperlinks>
    <hyperlink ref="A1" r:id="rId1" xr:uid="{45BE394F-7B34-44E0-8D01-FB015F9FF91B}"/>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866FA-A914-4230-9BF4-68C69EC7B853}">
  <sheetPr>
    <tabColor theme="7" tint="0.59999389629810485"/>
  </sheetPr>
  <dimension ref="A1:BN65"/>
  <sheetViews>
    <sheetView workbookViewId="0">
      <selection activeCell="AE11" sqref="AE11"/>
    </sheetView>
  </sheetViews>
  <sheetFormatPr defaultRowHeight="15" x14ac:dyDescent="0.25"/>
  <cols>
    <col min="1" max="1" width="24.140625" customWidth="1"/>
    <col min="2" max="2" width="35.85546875" bestFit="1" customWidth="1"/>
    <col min="3" max="3" width="19.5703125" bestFit="1" customWidth="1"/>
    <col min="4" max="4" width="27" customWidth="1"/>
    <col min="13" max="14" width="10.42578125" bestFit="1" customWidth="1"/>
    <col min="21" max="27" width="10.42578125" customWidth="1"/>
    <col min="28" max="28" width="2.85546875" style="48" customWidth="1"/>
    <col min="29" max="29" width="37.85546875" customWidth="1"/>
    <col min="30" max="30" width="30.5703125" customWidth="1"/>
    <col min="31" max="31" width="9.28515625" customWidth="1"/>
    <col min="32" max="33" width="10.7109375" bestFit="1" customWidth="1"/>
    <col min="34" max="38" width="9.5703125" bestFit="1" customWidth="1"/>
    <col min="39" max="42" width="10.42578125" bestFit="1" customWidth="1"/>
    <col min="43" max="45" width="9.28515625" bestFit="1" customWidth="1"/>
    <col min="46" max="52" width="10.42578125" bestFit="1" customWidth="1"/>
    <col min="53" max="53" width="9.5703125" bestFit="1" customWidth="1"/>
    <col min="54" max="66" width="9.28515625" bestFit="1" customWidth="1"/>
  </cols>
  <sheetData>
    <row r="1" spans="1:66" x14ac:dyDescent="0.25">
      <c r="A1" s="253" t="s">
        <v>2872</v>
      </c>
      <c r="C1" s="876" t="s">
        <v>2903</v>
      </c>
      <c r="D1" s="876"/>
      <c r="E1" s="876"/>
      <c r="F1" s="876"/>
      <c r="G1" s="876"/>
      <c r="H1" s="876"/>
      <c r="I1" s="876"/>
      <c r="J1" s="876"/>
      <c r="K1" s="876"/>
      <c r="AC1" s="253" t="s">
        <v>2923</v>
      </c>
    </row>
    <row r="2" spans="1:66" x14ac:dyDescent="0.25">
      <c r="A2" s="848" t="s">
        <v>2902</v>
      </c>
      <c r="B2" s="848"/>
      <c r="C2" s="848"/>
      <c r="D2" s="848"/>
      <c r="E2" s="848"/>
      <c r="F2" s="848"/>
      <c r="G2" s="848"/>
      <c r="H2" s="848"/>
      <c r="I2" s="848"/>
      <c r="J2" s="848"/>
      <c r="K2" s="848"/>
      <c r="M2" s="879" t="s">
        <v>2915</v>
      </c>
      <c r="N2" s="879"/>
      <c r="O2" s="879"/>
      <c r="P2" s="879"/>
      <c r="Q2" s="879"/>
      <c r="R2" s="879"/>
      <c r="S2" s="879"/>
      <c r="U2" s="879" t="s">
        <v>2914</v>
      </c>
      <c r="V2" s="879"/>
      <c r="W2" s="879"/>
      <c r="X2" s="879"/>
      <c r="Y2" s="879"/>
      <c r="Z2" s="879"/>
      <c r="AA2" s="879"/>
      <c r="AC2" s="848" t="s">
        <v>2950</v>
      </c>
      <c r="AD2" s="848"/>
      <c r="AE2" s="848"/>
      <c r="AF2" s="848"/>
      <c r="AG2" s="848"/>
      <c r="AH2" s="848"/>
      <c r="AI2" s="848"/>
      <c r="AJ2" s="848"/>
      <c r="AK2" s="848"/>
      <c r="AL2" s="848"/>
      <c r="AM2" s="848"/>
      <c r="AN2" s="848"/>
      <c r="AO2" s="848"/>
      <c r="AP2" s="848"/>
      <c r="AQ2" s="848"/>
      <c r="AR2" s="848"/>
      <c r="AS2" s="848"/>
      <c r="AT2" s="848"/>
      <c r="AU2" s="848"/>
      <c r="AV2" s="848"/>
      <c r="AW2" s="848"/>
      <c r="AX2" s="848"/>
      <c r="AY2" s="848"/>
      <c r="AZ2" s="848"/>
      <c r="BA2" s="848"/>
      <c r="BB2" s="848"/>
      <c r="BC2" s="848"/>
      <c r="BD2" s="848"/>
      <c r="BE2" s="848"/>
      <c r="BF2" s="848"/>
      <c r="BG2" s="848"/>
      <c r="BH2" s="848"/>
      <c r="BI2" s="848"/>
      <c r="BJ2" s="848"/>
      <c r="BK2" s="848"/>
      <c r="BL2" s="848"/>
      <c r="BM2" s="848"/>
      <c r="BN2" s="848"/>
    </row>
    <row r="3" spans="1:66" ht="15.75" thickBot="1" x14ac:dyDescent="0.3">
      <c r="A3" s="83" t="s">
        <v>1223</v>
      </c>
      <c r="B3" s="83" t="s">
        <v>82</v>
      </c>
      <c r="C3" s="83" t="s">
        <v>83</v>
      </c>
      <c r="D3" s="83" t="s">
        <v>166</v>
      </c>
      <c r="E3" s="83">
        <v>2021</v>
      </c>
      <c r="F3" s="83">
        <v>2025</v>
      </c>
      <c r="G3" s="83">
        <v>2030</v>
      </c>
      <c r="H3" s="83">
        <v>2035</v>
      </c>
      <c r="I3" s="83">
        <v>2040</v>
      </c>
      <c r="J3" s="83">
        <v>2045</v>
      </c>
      <c r="K3" s="83">
        <v>2050</v>
      </c>
      <c r="M3" s="83">
        <v>2021</v>
      </c>
      <c r="N3" s="83">
        <v>2025</v>
      </c>
      <c r="O3" s="83">
        <v>2030</v>
      </c>
      <c r="P3" s="83">
        <v>2035</v>
      </c>
      <c r="Q3" s="83">
        <v>2040</v>
      </c>
      <c r="R3" s="83">
        <v>2045</v>
      </c>
      <c r="S3" s="83">
        <v>2050</v>
      </c>
      <c r="U3" s="83">
        <v>2021</v>
      </c>
      <c r="V3" s="83">
        <v>2025</v>
      </c>
      <c r="W3" s="83">
        <v>2030</v>
      </c>
      <c r="X3" s="83">
        <v>2035</v>
      </c>
      <c r="Y3" s="83">
        <v>2040</v>
      </c>
      <c r="Z3" s="83">
        <v>2045</v>
      </c>
      <c r="AA3" s="83">
        <v>2050</v>
      </c>
      <c r="AC3" s="83" t="s">
        <v>82</v>
      </c>
      <c r="AD3" s="83" t="s">
        <v>83</v>
      </c>
      <c r="AE3" s="83"/>
      <c r="AF3" s="946" t="s">
        <v>2924</v>
      </c>
      <c r="AG3" s="945"/>
      <c r="AH3" s="945"/>
      <c r="AI3" s="945"/>
      <c r="AJ3" s="945"/>
      <c r="AK3" s="945"/>
      <c r="AL3" s="947"/>
      <c r="AM3" s="946" t="s">
        <v>2925</v>
      </c>
      <c r="AN3" s="945"/>
      <c r="AO3" s="945"/>
      <c r="AP3" s="945"/>
      <c r="AQ3" s="945"/>
      <c r="AR3" s="945"/>
      <c r="AS3" s="947"/>
      <c r="AT3" s="946" t="s">
        <v>2926</v>
      </c>
      <c r="AU3" s="945"/>
      <c r="AV3" s="945"/>
      <c r="AW3" s="945"/>
      <c r="AX3" s="945"/>
      <c r="AY3" s="945"/>
      <c r="AZ3" s="947"/>
      <c r="BA3" s="946" t="s">
        <v>2927</v>
      </c>
      <c r="BB3" s="945"/>
      <c r="BC3" s="945"/>
      <c r="BD3" s="945"/>
      <c r="BE3" s="945"/>
      <c r="BF3" s="945"/>
      <c r="BG3" s="947"/>
      <c r="BH3" s="945" t="s">
        <v>2927</v>
      </c>
      <c r="BI3" s="945"/>
      <c r="BJ3" s="945"/>
      <c r="BK3" s="945"/>
      <c r="BL3" s="945"/>
      <c r="BM3" s="945"/>
      <c r="BN3" s="945"/>
    </row>
    <row r="4" spans="1:66" ht="15.75" thickTop="1" x14ac:dyDescent="0.25">
      <c r="A4" t="s">
        <v>2873</v>
      </c>
      <c r="B4" t="s">
        <v>2874</v>
      </c>
      <c r="C4" t="s">
        <v>2875</v>
      </c>
      <c r="D4" t="s">
        <v>2876</v>
      </c>
      <c r="E4" s="267">
        <v>20.756744672754945</v>
      </c>
      <c r="F4" s="267">
        <v>20.206029607519245</v>
      </c>
      <c r="G4" s="267">
        <v>19.5381375334116</v>
      </c>
      <c r="H4" s="267">
        <v>18.892322029086362</v>
      </c>
      <c r="I4" s="267">
        <v>18.267853373451981</v>
      </c>
      <c r="J4" s="267">
        <v>17.664025965689056</v>
      </c>
      <c r="K4" s="267">
        <v>17.080157527976528</v>
      </c>
      <c r="M4" s="267">
        <f t="shared" ref="M4:M21" si="0">E4*USD2021_to_CAD2020</f>
        <v>24.165074232887044</v>
      </c>
      <c r="N4" s="267">
        <f t="shared" ref="N4:N21" si="1">F4*USD2021_to_CAD2020</f>
        <v>23.523929841394001</v>
      </c>
      <c r="O4" s="267">
        <f t="shared" ref="O4:O21" si="2">G4*USD2021_to_CAD2020</f>
        <v>22.746367569235165</v>
      </c>
      <c r="P4" s="267">
        <f t="shared" ref="P4:P21" si="3">H4*USD2021_to_CAD2020</f>
        <v>21.994506916285417</v>
      </c>
      <c r="Q4" s="267">
        <f t="shared" ref="Q4:Q21" si="4">I4*USD2021_to_CAD2020</f>
        <v>21.267498338715765</v>
      </c>
      <c r="R4" s="267">
        <f t="shared" ref="R4:R21" si="5">J4*USD2021_to_CAD2020</f>
        <v>20.56452037360183</v>
      </c>
      <c r="S4" s="267">
        <f t="shared" ref="S4:S21" si="6">K4*USD2021_to_CAD2020</f>
        <v>19.884778710734885</v>
      </c>
      <c r="U4" s="762">
        <f t="shared" ref="U4:U21" si="7">M4*GWy_PJ</f>
        <v>762.06978100832589</v>
      </c>
      <c r="V4" s="762">
        <f t="shared" ref="V4:V21" si="8">N4*GWy_PJ</f>
        <v>741.85065147820126</v>
      </c>
      <c r="W4" s="762">
        <f t="shared" ref="W4:W21" si="9">O4*GWy_PJ</f>
        <v>717.32944766340017</v>
      </c>
      <c r="X4" s="762">
        <f t="shared" ref="X4:X21" si="10">P4*GWy_PJ</f>
        <v>693.61877011197691</v>
      </c>
      <c r="Y4" s="762">
        <f t="shared" ref="Y4:Y21" si="11">Q4*GWy_PJ</f>
        <v>670.69182760974036</v>
      </c>
      <c r="Z4" s="762">
        <f t="shared" ref="Z4:Z21" si="12">R4*GWy_PJ</f>
        <v>648.52271450190733</v>
      </c>
      <c r="AA4" s="762">
        <f t="shared" ref="AA4:AA21" si="13">S4*GWy_PJ</f>
        <v>627.08638142173538</v>
      </c>
      <c r="AC4" s="701" t="s">
        <v>2928</v>
      </c>
      <c r="AD4" s="701"/>
      <c r="AE4" s="701"/>
      <c r="AF4" s="755">
        <v>2020</v>
      </c>
      <c r="AG4" s="701">
        <v>2025</v>
      </c>
      <c r="AH4" s="701">
        <v>2030</v>
      </c>
      <c r="AI4" s="701">
        <v>2035</v>
      </c>
      <c r="AJ4" s="701">
        <v>2040</v>
      </c>
      <c r="AK4" s="701">
        <v>2045</v>
      </c>
      <c r="AL4" s="756">
        <v>2050</v>
      </c>
      <c r="AM4" s="755">
        <v>2020</v>
      </c>
      <c r="AN4" s="701">
        <v>2025</v>
      </c>
      <c r="AO4" s="701">
        <v>2030</v>
      </c>
      <c r="AP4" s="701">
        <v>2035</v>
      </c>
      <c r="AQ4" s="701">
        <v>2040</v>
      </c>
      <c r="AR4" s="701">
        <v>2045</v>
      </c>
      <c r="AS4" s="756">
        <v>2050</v>
      </c>
      <c r="AT4" s="755">
        <v>2020</v>
      </c>
      <c r="AU4" s="701">
        <v>2025</v>
      </c>
      <c r="AV4" s="701">
        <v>2030</v>
      </c>
      <c r="AW4" s="701">
        <v>2035</v>
      </c>
      <c r="AX4" s="701">
        <v>2040</v>
      </c>
      <c r="AY4" s="701">
        <v>2045</v>
      </c>
      <c r="AZ4" s="756">
        <v>2050</v>
      </c>
      <c r="BA4" s="755">
        <v>2020</v>
      </c>
      <c r="BB4" s="701">
        <v>2025</v>
      </c>
      <c r="BC4" s="701">
        <v>2030</v>
      </c>
      <c r="BD4" s="701">
        <v>2035</v>
      </c>
      <c r="BE4" s="701">
        <v>2040</v>
      </c>
      <c r="BF4" s="701">
        <v>2045</v>
      </c>
      <c r="BG4" s="756">
        <v>2050</v>
      </c>
      <c r="BH4" s="701">
        <v>2020</v>
      </c>
      <c r="BI4" s="701">
        <v>2025</v>
      </c>
      <c r="BJ4" s="701">
        <v>2030</v>
      </c>
      <c r="BK4" s="701">
        <v>2035</v>
      </c>
      <c r="BL4" s="701">
        <v>2040</v>
      </c>
      <c r="BM4" s="701">
        <v>2045</v>
      </c>
      <c r="BN4" s="701">
        <v>2050</v>
      </c>
    </row>
    <row r="5" spans="1:66" x14ac:dyDescent="0.25">
      <c r="B5" t="s">
        <v>2877</v>
      </c>
      <c r="C5" t="s">
        <v>2875</v>
      </c>
      <c r="D5" t="s">
        <v>2876</v>
      </c>
      <c r="E5" s="267">
        <v>34.081427574835104</v>
      </c>
      <c r="F5" s="267">
        <v>33.552859496927887</v>
      </c>
      <c r="G5" s="267">
        <v>32.903662262227556</v>
      </c>
      <c r="H5" s="267">
        <v>32.267026015051442</v>
      </c>
      <c r="I5" s="267">
        <v>31.642707719232483</v>
      </c>
      <c r="J5" s="267">
        <v>31.030469040986972</v>
      </c>
      <c r="K5" s="267">
        <v>30.430076257930519</v>
      </c>
      <c r="M5" s="267">
        <f t="shared" si="0"/>
        <v>39.677716341988599</v>
      </c>
      <c r="N5" s="267">
        <f t="shared" si="1"/>
        <v>39.062355550056338</v>
      </c>
      <c r="O5" s="267">
        <f t="shared" si="2"/>
        <v>38.306557874859692</v>
      </c>
      <c r="P5" s="267">
        <f t="shared" si="3"/>
        <v>37.565383744961053</v>
      </c>
      <c r="Q5" s="267">
        <f t="shared" si="4"/>
        <v>36.838550216810688</v>
      </c>
      <c r="R5" s="267">
        <f t="shared" si="5"/>
        <v>36.125779821389926</v>
      </c>
      <c r="S5" s="267">
        <f t="shared" si="6"/>
        <v>35.426800458287168</v>
      </c>
      <c r="U5" s="762">
        <f t="shared" si="7"/>
        <v>1251.2764625609525</v>
      </c>
      <c r="V5" s="762">
        <f t="shared" si="8"/>
        <v>1231.8704446265767</v>
      </c>
      <c r="W5" s="762">
        <f t="shared" si="9"/>
        <v>1208.0356091415754</v>
      </c>
      <c r="X5" s="762">
        <f t="shared" si="10"/>
        <v>1184.6619417810919</v>
      </c>
      <c r="Y5" s="762">
        <f t="shared" si="11"/>
        <v>1161.740519637342</v>
      </c>
      <c r="Z5" s="762">
        <f t="shared" si="12"/>
        <v>1139.2625924473527</v>
      </c>
      <c r="AA5" s="762">
        <f t="shared" si="13"/>
        <v>1117.2195792525442</v>
      </c>
      <c r="AC5" t="s">
        <v>2929</v>
      </c>
      <c r="AD5" t="s">
        <v>2930</v>
      </c>
      <c r="AF5" s="68">
        <v>10</v>
      </c>
      <c r="AG5">
        <v>10</v>
      </c>
      <c r="AH5">
        <v>10</v>
      </c>
      <c r="AI5">
        <v>10</v>
      </c>
      <c r="AJ5">
        <v>10</v>
      </c>
      <c r="AK5">
        <v>10</v>
      </c>
      <c r="AL5" s="49">
        <v>10</v>
      </c>
      <c r="AM5" s="68">
        <v>10</v>
      </c>
      <c r="AN5">
        <v>10</v>
      </c>
      <c r="AO5">
        <v>10</v>
      </c>
      <c r="AP5">
        <v>10</v>
      </c>
      <c r="AQ5">
        <v>10</v>
      </c>
      <c r="AR5">
        <v>10</v>
      </c>
      <c r="AS5" s="49">
        <v>10</v>
      </c>
      <c r="AT5" s="68">
        <v>10</v>
      </c>
      <c r="AU5">
        <v>10</v>
      </c>
      <c r="AV5">
        <v>10</v>
      </c>
      <c r="AW5">
        <v>10</v>
      </c>
      <c r="AX5">
        <v>10</v>
      </c>
      <c r="AY5">
        <v>10</v>
      </c>
      <c r="AZ5" s="49">
        <v>10</v>
      </c>
      <c r="BA5" s="68">
        <v>300</v>
      </c>
      <c r="BB5">
        <v>300</v>
      </c>
      <c r="BC5">
        <v>300</v>
      </c>
      <c r="BD5">
        <v>300</v>
      </c>
      <c r="BE5">
        <v>300</v>
      </c>
      <c r="BF5">
        <v>300</v>
      </c>
      <c r="BG5" s="49">
        <v>300</v>
      </c>
      <c r="BH5">
        <v>1000</v>
      </c>
      <c r="BI5">
        <v>1000</v>
      </c>
      <c r="BJ5">
        <v>1000</v>
      </c>
      <c r="BK5">
        <v>1000</v>
      </c>
      <c r="BL5">
        <v>1000</v>
      </c>
      <c r="BM5">
        <v>1000</v>
      </c>
      <c r="BN5">
        <v>1000</v>
      </c>
    </row>
    <row r="6" spans="1:66" x14ac:dyDescent="0.25">
      <c r="B6" t="s">
        <v>2878</v>
      </c>
      <c r="C6" t="s">
        <v>2875</v>
      </c>
      <c r="D6" t="s">
        <v>2879</v>
      </c>
      <c r="E6" s="267">
        <v>92.560882800608823</v>
      </c>
      <c r="F6" s="267">
        <v>92.560882800608823</v>
      </c>
      <c r="G6" s="267">
        <v>92.560882800608823</v>
      </c>
      <c r="H6" s="267">
        <v>92.560882800608823</v>
      </c>
      <c r="I6" s="267">
        <v>92.560882800608823</v>
      </c>
      <c r="J6" s="267">
        <v>92.560882800608823</v>
      </c>
      <c r="K6" s="267">
        <v>92.560882800608823</v>
      </c>
      <c r="M6" s="267">
        <f t="shared" si="0"/>
        <v>107.75970120566106</v>
      </c>
      <c r="N6" s="267">
        <f t="shared" si="1"/>
        <v>107.75970120566106</v>
      </c>
      <c r="O6" s="267">
        <f t="shared" si="2"/>
        <v>107.75970120566106</v>
      </c>
      <c r="P6" s="267">
        <f t="shared" si="3"/>
        <v>107.75970120566106</v>
      </c>
      <c r="Q6" s="267">
        <f t="shared" si="4"/>
        <v>107.75970120566106</v>
      </c>
      <c r="R6" s="267">
        <f t="shared" si="5"/>
        <v>107.75970120566106</v>
      </c>
      <c r="S6" s="267">
        <f t="shared" si="6"/>
        <v>107.75970120566106</v>
      </c>
      <c r="U6" s="743">
        <f t="shared" si="7"/>
        <v>3398.3099372217275</v>
      </c>
      <c r="V6" s="743">
        <f t="shared" si="8"/>
        <v>3398.3099372217275</v>
      </c>
      <c r="W6" s="743">
        <f t="shared" si="9"/>
        <v>3398.3099372217275</v>
      </c>
      <c r="X6" s="743">
        <f t="shared" si="10"/>
        <v>3398.3099372217275</v>
      </c>
      <c r="Y6" s="743">
        <f t="shared" si="11"/>
        <v>3398.3099372217275</v>
      </c>
      <c r="Z6" s="743">
        <f t="shared" si="12"/>
        <v>3398.3099372217275</v>
      </c>
      <c r="AA6" s="743">
        <f t="shared" si="13"/>
        <v>3398.3099372217275</v>
      </c>
      <c r="AC6" t="s">
        <v>2931</v>
      </c>
      <c r="AD6" t="s">
        <v>2932</v>
      </c>
      <c r="AF6" s="750">
        <v>0.98</v>
      </c>
      <c r="AG6" s="342">
        <v>0.98</v>
      </c>
      <c r="AH6" s="342">
        <v>0.98</v>
      </c>
      <c r="AI6" s="342">
        <v>0.98</v>
      </c>
      <c r="AJ6" s="342">
        <v>0.98</v>
      </c>
      <c r="AK6" s="342">
        <v>0.98</v>
      </c>
      <c r="AL6" s="753">
        <v>0.98</v>
      </c>
      <c r="AM6" s="750">
        <v>0.98</v>
      </c>
      <c r="AN6" s="342">
        <v>0.98</v>
      </c>
      <c r="AO6" s="342">
        <v>0.98</v>
      </c>
      <c r="AP6" s="342">
        <v>0.98</v>
      </c>
      <c r="AQ6" s="342">
        <v>0.98</v>
      </c>
      <c r="AR6" s="342">
        <v>0.98</v>
      </c>
      <c r="AS6" s="753">
        <v>0.98</v>
      </c>
      <c r="AT6" s="750">
        <v>0.9</v>
      </c>
      <c r="AU6" s="342">
        <v>0.9</v>
      </c>
      <c r="AV6" s="342">
        <v>0.9</v>
      </c>
      <c r="AW6" s="342">
        <v>0.9</v>
      </c>
      <c r="AX6" s="342">
        <v>0.9</v>
      </c>
      <c r="AY6" s="342">
        <v>0.9</v>
      </c>
      <c r="AZ6" s="753">
        <v>0.9</v>
      </c>
      <c r="BA6" s="750">
        <v>0.95</v>
      </c>
      <c r="BB6" s="342">
        <v>0.95</v>
      </c>
      <c r="BC6" s="342">
        <v>0.95</v>
      </c>
      <c r="BD6" s="342">
        <v>0.95</v>
      </c>
      <c r="BE6" s="342">
        <v>0.95</v>
      </c>
      <c r="BF6" s="342">
        <v>0.95</v>
      </c>
      <c r="BG6" s="753">
        <v>0.95</v>
      </c>
      <c r="BH6" s="80">
        <v>0.95</v>
      </c>
      <c r="BI6" s="80">
        <v>0.95</v>
      </c>
      <c r="BJ6" s="80">
        <v>0.95</v>
      </c>
      <c r="BK6" s="80">
        <v>0.95</v>
      </c>
      <c r="BL6" s="80">
        <v>0.95</v>
      </c>
      <c r="BM6" s="80">
        <v>0.95</v>
      </c>
      <c r="BN6" s="80">
        <v>0.95</v>
      </c>
    </row>
    <row r="7" spans="1:66" x14ac:dyDescent="0.25">
      <c r="B7" t="s">
        <v>2880</v>
      </c>
      <c r="C7" t="s">
        <v>2875</v>
      </c>
      <c r="D7" t="s">
        <v>2879</v>
      </c>
      <c r="E7" s="267">
        <v>77.688990360223229</v>
      </c>
      <c r="F7" s="267">
        <v>77.688990360223229</v>
      </c>
      <c r="G7" s="267">
        <v>77.688990360223229</v>
      </c>
      <c r="H7" s="267">
        <v>77.688990360223229</v>
      </c>
      <c r="I7" s="267">
        <v>77.688990360223229</v>
      </c>
      <c r="J7" s="267">
        <v>77.688990360223229</v>
      </c>
      <c r="K7" s="267">
        <v>77.688990360223229</v>
      </c>
      <c r="M7" s="267">
        <f t="shared" si="0"/>
        <v>90.445792378852204</v>
      </c>
      <c r="N7" s="267">
        <f t="shared" si="1"/>
        <v>90.445792378852204</v>
      </c>
      <c r="O7" s="267">
        <f t="shared" si="2"/>
        <v>90.445792378852204</v>
      </c>
      <c r="P7" s="267">
        <f t="shared" si="3"/>
        <v>90.445792378852204</v>
      </c>
      <c r="Q7" s="267">
        <f t="shared" si="4"/>
        <v>90.445792378852204</v>
      </c>
      <c r="R7" s="267">
        <f t="shared" si="5"/>
        <v>90.445792378852204</v>
      </c>
      <c r="S7" s="267">
        <f t="shared" si="6"/>
        <v>90.445792378852204</v>
      </c>
      <c r="U7" s="743">
        <f t="shared" si="7"/>
        <v>2852.2985084594834</v>
      </c>
      <c r="V7" s="743">
        <f t="shared" si="8"/>
        <v>2852.2985084594834</v>
      </c>
      <c r="W7" s="743">
        <f t="shared" si="9"/>
        <v>2852.2985084594834</v>
      </c>
      <c r="X7" s="743">
        <f t="shared" si="10"/>
        <v>2852.2985084594834</v>
      </c>
      <c r="Y7" s="743">
        <f t="shared" si="11"/>
        <v>2852.2985084594834</v>
      </c>
      <c r="Z7" s="743">
        <f t="shared" si="12"/>
        <v>2852.2985084594834</v>
      </c>
      <c r="AA7" s="743">
        <f t="shared" si="13"/>
        <v>2852.2985084594834</v>
      </c>
      <c r="AC7" t="s">
        <v>2933</v>
      </c>
      <c r="AD7" t="s">
        <v>2932</v>
      </c>
      <c r="AF7" s="750"/>
      <c r="AG7" s="342"/>
      <c r="AH7" s="342"/>
      <c r="AI7" s="342"/>
      <c r="AJ7" s="342"/>
      <c r="AK7" s="342"/>
      <c r="AL7" s="753"/>
      <c r="AM7" s="750"/>
      <c r="AN7" s="342"/>
      <c r="AO7" s="342"/>
      <c r="AP7" s="342"/>
      <c r="AQ7" s="342"/>
      <c r="AR7" s="342"/>
      <c r="AS7" s="753"/>
      <c r="AT7" s="750"/>
      <c r="AU7" s="342"/>
      <c r="AV7" s="342"/>
      <c r="AW7" s="342"/>
      <c r="AX7" s="342"/>
      <c r="AY7" s="342"/>
      <c r="AZ7" s="753"/>
      <c r="BA7" s="750">
        <v>0.9</v>
      </c>
      <c r="BB7" s="342">
        <v>0.9</v>
      </c>
      <c r="BC7" s="342">
        <v>0.9</v>
      </c>
      <c r="BD7" s="342">
        <v>0.9</v>
      </c>
      <c r="BE7" s="342">
        <v>0.9</v>
      </c>
      <c r="BF7" s="342">
        <v>0.9</v>
      </c>
      <c r="BG7" s="753">
        <v>0.9</v>
      </c>
      <c r="BH7" s="80">
        <v>0.9</v>
      </c>
      <c r="BI7" s="80">
        <v>0.9</v>
      </c>
      <c r="BJ7" s="80">
        <v>0.9</v>
      </c>
      <c r="BK7" s="80">
        <v>0.9</v>
      </c>
      <c r="BL7" s="80">
        <v>0.9</v>
      </c>
      <c r="BM7" s="80">
        <v>0.9</v>
      </c>
      <c r="BN7" s="80">
        <v>0.9</v>
      </c>
    </row>
    <row r="8" spans="1:66" x14ac:dyDescent="0.25">
      <c r="B8" t="s">
        <v>2881</v>
      </c>
      <c r="C8" t="s">
        <v>2875</v>
      </c>
      <c r="D8" t="s">
        <v>2879</v>
      </c>
      <c r="E8" s="267">
        <v>102.92998477929984</v>
      </c>
      <c r="F8" s="267">
        <v>102.92998477929984</v>
      </c>
      <c r="G8" s="267">
        <v>102.92998477929984</v>
      </c>
      <c r="H8" s="267">
        <v>102.92998477929984</v>
      </c>
      <c r="I8" s="267">
        <v>102.92998477929984</v>
      </c>
      <c r="J8" s="267">
        <v>102.92998477929984</v>
      </c>
      <c r="K8" s="267">
        <v>102.92998477929984</v>
      </c>
      <c r="M8" s="267">
        <f t="shared" si="0"/>
        <v>119.83144573949154</v>
      </c>
      <c r="N8" s="267">
        <f t="shared" si="1"/>
        <v>119.83144573949154</v>
      </c>
      <c r="O8" s="267">
        <f t="shared" si="2"/>
        <v>119.83144573949154</v>
      </c>
      <c r="P8" s="267">
        <f t="shared" si="3"/>
        <v>119.83144573949154</v>
      </c>
      <c r="Q8" s="267">
        <f t="shared" si="4"/>
        <v>119.83144573949154</v>
      </c>
      <c r="R8" s="267">
        <f t="shared" si="5"/>
        <v>119.83144573949154</v>
      </c>
      <c r="S8" s="267">
        <f t="shared" si="6"/>
        <v>119.83144573949154</v>
      </c>
      <c r="U8" s="743">
        <f t="shared" si="7"/>
        <v>3779.0044728406056</v>
      </c>
      <c r="V8" s="743">
        <f t="shared" si="8"/>
        <v>3779.0044728406056</v>
      </c>
      <c r="W8" s="743">
        <f t="shared" si="9"/>
        <v>3779.0044728406056</v>
      </c>
      <c r="X8" s="743">
        <f t="shared" si="10"/>
        <v>3779.0044728406056</v>
      </c>
      <c r="Y8" s="743">
        <f t="shared" si="11"/>
        <v>3779.0044728406056</v>
      </c>
      <c r="Z8" s="743">
        <f t="shared" si="12"/>
        <v>3779.0044728406056</v>
      </c>
      <c r="AA8" s="743">
        <f t="shared" si="13"/>
        <v>3779.0044728406056</v>
      </c>
      <c r="AC8" s="910" t="s">
        <v>2934</v>
      </c>
      <c r="AD8" s="910" t="s">
        <v>2935</v>
      </c>
      <c r="AE8" t="s">
        <v>680</v>
      </c>
      <c r="AF8" s="68"/>
      <c r="AL8" s="49"/>
      <c r="AM8" s="68"/>
      <c r="AS8" s="49"/>
      <c r="AT8" s="68">
        <v>0.40639999999999998</v>
      </c>
      <c r="AU8">
        <v>0.39369999999999999</v>
      </c>
      <c r="AV8">
        <v>0.38100000000000001</v>
      </c>
      <c r="AW8">
        <v>0.37464999999999998</v>
      </c>
      <c r="AX8">
        <v>0.36830000000000002</v>
      </c>
      <c r="AY8">
        <v>0.36194999999999999</v>
      </c>
      <c r="AZ8" s="49">
        <v>0.35559999999999997</v>
      </c>
      <c r="BA8" s="68"/>
      <c r="BG8" s="49"/>
    </row>
    <row r="9" spans="1:66" x14ac:dyDescent="0.25">
      <c r="B9" t="s">
        <v>2882</v>
      </c>
      <c r="C9" t="s">
        <v>2875</v>
      </c>
      <c r="D9" t="s">
        <v>2883</v>
      </c>
      <c r="E9" s="273">
        <v>27.238711314053777</v>
      </c>
      <c r="F9" s="273">
        <v>25.99665698106088</v>
      </c>
      <c r="G9" s="273">
        <v>24.523428545082435</v>
      </c>
      <c r="H9" s="273">
        <v>23.133687844706181</v>
      </c>
      <c r="I9" s="273">
        <v>21.822703636748255</v>
      </c>
      <c r="J9" s="273">
        <v>20.586012797191099</v>
      </c>
      <c r="K9" s="273">
        <v>19.419405126892087</v>
      </c>
      <c r="M9" s="267">
        <f t="shared" si="0"/>
        <v>31.7114023075241</v>
      </c>
      <c r="N9" s="267">
        <f t="shared" si="1"/>
        <v>30.265398339597045</v>
      </c>
      <c r="O9" s="267">
        <f t="shared" si="2"/>
        <v>28.550260678143406</v>
      </c>
      <c r="P9" s="267">
        <f t="shared" si="3"/>
        <v>26.932319728417436</v>
      </c>
      <c r="Q9" s="267">
        <f t="shared" si="4"/>
        <v>25.406067360673628</v>
      </c>
      <c r="R9" s="267">
        <f t="shared" si="5"/>
        <v>23.966307590431025</v>
      </c>
      <c r="S9" s="267">
        <f t="shared" si="6"/>
        <v>22.608138889226428</v>
      </c>
      <c r="U9" s="762">
        <f t="shared" si="7"/>
        <v>1000.0507831700801</v>
      </c>
      <c r="V9" s="762">
        <f t="shared" si="8"/>
        <v>954.44960203753249</v>
      </c>
      <c r="W9" s="762">
        <f t="shared" si="9"/>
        <v>900.36102074593055</v>
      </c>
      <c r="X9" s="762">
        <f t="shared" si="10"/>
        <v>849.33763495537232</v>
      </c>
      <c r="Y9" s="762">
        <f t="shared" si="11"/>
        <v>801.20574028620354</v>
      </c>
      <c r="Z9" s="762">
        <f t="shared" si="12"/>
        <v>755.80147617183286</v>
      </c>
      <c r="AA9" s="762">
        <f t="shared" si="13"/>
        <v>712.97026801064465</v>
      </c>
      <c r="AC9" s="910"/>
      <c r="AD9" s="910"/>
      <c r="AE9" t="s">
        <v>1028</v>
      </c>
      <c r="AF9" s="68"/>
      <c r="AL9" s="49"/>
      <c r="AM9" s="68"/>
      <c r="AS9" s="49"/>
      <c r="AT9" s="68">
        <v>0.35559999999999997</v>
      </c>
      <c r="AU9">
        <v>0.34289999999999998</v>
      </c>
      <c r="AV9">
        <v>0.33019999999999999</v>
      </c>
      <c r="AW9">
        <v>0.3175</v>
      </c>
      <c r="AX9">
        <v>0.30480000000000002</v>
      </c>
      <c r="AY9">
        <v>0.29209999999999997</v>
      </c>
      <c r="AZ9" s="49">
        <v>0.27939999999999998</v>
      </c>
      <c r="BA9" s="68">
        <v>1.355</v>
      </c>
      <c r="BB9">
        <v>1.355</v>
      </c>
      <c r="BC9">
        <v>1.355</v>
      </c>
      <c r="BD9">
        <v>1.355</v>
      </c>
      <c r="BE9">
        <v>1.355</v>
      </c>
      <c r="BF9">
        <v>1.355</v>
      </c>
      <c r="BG9" s="49">
        <v>1.355</v>
      </c>
      <c r="BH9">
        <v>1.355</v>
      </c>
      <c r="BI9">
        <v>1.355</v>
      </c>
      <c r="BJ9">
        <v>1.355</v>
      </c>
      <c r="BK9">
        <v>1.355</v>
      </c>
      <c r="BL9">
        <v>1.355</v>
      </c>
      <c r="BM9">
        <v>1.355</v>
      </c>
      <c r="BN9">
        <v>1.355</v>
      </c>
    </row>
    <row r="10" spans="1:66" x14ac:dyDescent="0.25">
      <c r="B10" t="s">
        <v>2884</v>
      </c>
      <c r="C10" t="s">
        <v>2875</v>
      </c>
      <c r="D10" t="s">
        <v>2883</v>
      </c>
      <c r="E10" s="273">
        <v>36.751648909183153</v>
      </c>
      <c r="F10" s="273">
        <v>32.333847998724629</v>
      </c>
      <c r="G10" s="273">
        <v>27.550729104636616</v>
      </c>
      <c r="H10" s="273">
        <v>23.475172958907041</v>
      </c>
      <c r="I10" s="273">
        <v>20.002510400273088</v>
      </c>
      <c r="J10" s="273">
        <v>17.043555888316703</v>
      </c>
      <c r="K10" s="273">
        <v>14.522317024477539</v>
      </c>
      <c r="M10" s="267">
        <f t="shared" si="0"/>
        <v>42.786397292689678</v>
      </c>
      <c r="N10" s="267">
        <f t="shared" si="1"/>
        <v>37.643178130415471</v>
      </c>
      <c r="O10" s="267">
        <f t="shared" si="2"/>
        <v>32.074654502908693</v>
      </c>
      <c r="P10" s="267">
        <f t="shared" si="3"/>
        <v>27.329877884293449</v>
      </c>
      <c r="Q10" s="267">
        <f t="shared" si="4"/>
        <v>23.286992073528257</v>
      </c>
      <c r="R10" s="267">
        <f t="shared" si="5"/>
        <v>19.842166954731255</v>
      </c>
      <c r="S10" s="267">
        <f t="shared" si="6"/>
        <v>16.906931913588998</v>
      </c>
      <c r="U10" s="762">
        <f t="shared" si="7"/>
        <v>1349.3118250222617</v>
      </c>
      <c r="V10" s="762">
        <f t="shared" si="8"/>
        <v>1187.1152655207823</v>
      </c>
      <c r="W10" s="762">
        <f t="shared" si="9"/>
        <v>1011.5063044037286</v>
      </c>
      <c r="X10" s="762">
        <f t="shared" si="10"/>
        <v>861.87502895907824</v>
      </c>
      <c r="Y10" s="762">
        <f t="shared" si="11"/>
        <v>734.37858203078713</v>
      </c>
      <c r="Z10" s="762">
        <f t="shared" si="12"/>
        <v>625.74257708440484</v>
      </c>
      <c r="AA10" s="762">
        <f t="shared" si="13"/>
        <v>533.17700482694272</v>
      </c>
      <c r="AC10" s="910"/>
      <c r="AD10" s="910"/>
      <c r="AE10" t="s">
        <v>682</v>
      </c>
      <c r="AF10" s="68"/>
      <c r="AL10" s="49"/>
      <c r="AM10" s="68"/>
      <c r="AS10" s="49"/>
      <c r="AT10" s="68">
        <v>0.20319999999999999</v>
      </c>
      <c r="AU10">
        <v>0.19811999999999999</v>
      </c>
      <c r="AV10">
        <v>0.18796000000000002</v>
      </c>
      <c r="AW10">
        <v>0.18287999999999999</v>
      </c>
      <c r="AX10">
        <v>0.17779999999999999</v>
      </c>
      <c r="AY10">
        <v>0.17779999999999999</v>
      </c>
      <c r="AZ10" s="49">
        <v>0.17779999999999999</v>
      </c>
      <c r="BA10" s="68"/>
      <c r="BG10" s="49"/>
    </row>
    <row r="11" spans="1:66" x14ac:dyDescent="0.25">
      <c r="B11" t="s">
        <v>2885</v>
      </c>
      <c r="C11" t="s">
        <v>2875</v>
      </c>
      <c r="D11" t="s">
        <v>2883</v>
      </c>
      <c r="E11" s="273">
        <v>56.982496194824961</v>
      </c>
      <c r="F11" s="273">
        <v>49.913689504733036</v>
      </c>
      <c r="G11" s="273">
        <v>42.297765657493393</v>
      </c>
      <c r="H11" s="273">
        <v>35.843893676635076</v>
      </c>
      <c r="I11" s="273">
        <v>30.374765520842832</v>
      </c>
      <c r="J11" s="273">
        <v>25.740127140472978</v>
      </c>
      <c r="K11" s="273">
        <v>21.812650529041161</v>
      </c>
      <c r="M11" s="267">
        <f t="shared" si="0"/>
        <v>66.339219961141808</v>
      </c>
      <c r="N11" s="267">
        <f t="shared" si="1"/>
        <v>58.109690663697876</v>
      </c>
      <c r="O11" s="267">
        <f t="shared" si="2"/>
        <v>49.243205671851904</v>
      </c>
      <c r="P11" s="267">
        <f t="shared" si="3"/>
        <v>41.729585498467976</v>
      </c>
      <c r="Q11" s="267">
        <f t="shared" si="4"/>
        <v>35.36240750608431</v>
      </c>
      <c r="R11" s="267">
        <f t="shared" si="5"/>
        <v>29.966745408297363</v>
      </c>
      <c r="S11" s="267">
        <f t="shared" si="6"/>
        <v>25.39436349776819</v>
      </c>
      <c r="U11" s="743">
        <f t="shared" si="7"/>
        <v>2092.073640694568</v>
      </c>
      <c r="V11" s="743">
        <f t="shared" si="8"/>
        <v>1832.5472047703763</v>
      </c>
      <c r="W11" s="743">
        <f t="shared" si="9"/>
        <v>1552.9337340675218</v>
      </c>
      <c r="X11" s="743">
        <f t="shared" si="10"/>
        <v>1315.9842082796861</v>
      </c>
      <c r="Y11" s="743">
        <f t="shared" si="11"/>
        <v>1115.1888831118749</v>
      </c>
      <c r="Z11" s="743">
        <f t="shared" si="12"/>
        <v>945.03128319606571</v>
      </c>
      <c r="AA11" s="743">
        <f t="shared" si="13"/>
        <v>800.83664726561767</v>
      </c>
      <c r="AC11" s="910" t="s">
        <v>2936</v>
      </c>
      <c r="AD11" s="910" t="s">
        <v>2937</v>
      </c>
      <c r="AE11" t="s">
        <v>680</v>
      </c>
      <c r="AF11" s="68">
        <v>1.524</v>
      </c>
      <c r="AG11">
        <v>1.4604999999999999</v>
      </c>
      <c r="AH11">
        <v>1.4223999999999999</v>
      </c>
      <c r="AI11">
        <v>1.397</v>
      </c>
      <c r="AJ11">
        <v>1.3715999999999999</v>
      </c>
      <c r="AK11">
        <v>1.3589</v>
      </c>
      <c r="AL11" s="49">
        <v>1.3462000000000001</v>
      </c>
      <c r="AM11" s="68">
        <v>1.6255999999999999</v>
      </c>
      <c r="AN11">
        <v>1.4985999999999999</v>
      </c>
      <c r="AO11">
        <v>1.4097</v>
      </c>
      <c r="AP11">
        <v>1.3715999999999999</v>
      </c>
      <c r="AQ11">
        <v>1.3334999999999999</v>
      </c>
      <c r="AR11">
        <v>1.3208</v>
      </c>
      <c r="AS11" s="49">
        <v>1.3081</v>
      </c>
      <c r="AT11" s="68">
        <v>1.016</v>
      </c>
      <c r="AU11">
        <v>0.99059999999999993</v>
      </c>
      <c r="AV11">
        <v>0.96519999999999995</v>
      </c>
      <c r="AW11">
        <v>0.95567499999999994</v>
      </c>
      <c r="AX11">
        <v>0.94614999999999994</v>
      </c>
      <c r="AY11">
        <v>0.94297500000000001</v>
      </c>
      <c r="AZ11" s="49">
        <v>0.93979999999999997</v>
      </c>
      <c r="BA11" s="68"/>
      <c r="BG11" s="49"/>
    </row>
    <row r="12" spans="1:66" x14ac:dyDescent="0.25">
      <c r="A12" t="s">
        <v>2886</v>
      </c>
      <c r="B12" t="s">
        <v>2887</v>
      </c>
      <c r="C12" t="s">
        <v>2888</v>
      </c>
      <c r="D12" t="s">
        <v>2889</v>
      </c>
      <c r="E12" s="267">
        <v>958.90410958904113</v>
      </c>
      <c r="F12" s="267">
        <v>887.71614400224018</v>
      </c>
      <c r="G12" s="267">
        <v>806.11646305711668</v>
      </c>
      <c r="H12" s="267">
        <v>732.01749951511101</v>
      </c>
      <c r="I12" s="267">
        <v>664.72978056321892</v>
      </c>
      <c r="J12" s="267">
        <v>603.62721036084167</v>
      </c>
      <c r="K12" s="267">
        <v>548.14124437043915</v>
      </c>
      <c r="M12" s="267">
        <f t="shared" si="0"/>
        <v>1116.3594945046902</v>
      </c>
      <c r="N12" s="267">
        <f t="shared" si="1"/>
        <v>1033.482217744079</v>
      </c>
      <c r="O12" s="267">
        <f t="shared" si="2"/>
        <v>938.48358580508079</v>
      </c>
      <c r="P12" s="267">
        <f t="shared" si="3"/>
        <v>852.21731511558846</v>
      </c>
      <c r="Q12" s="267">
        <f t="shared" si="4"/>
        <v>773.88071903227308</v>
      </c>
      <c r="R12" s="267">
        <f t="shared" si="5"/>
        <v>702.74489460317852</v>
      </c>
      <c r="S12" s="267">
        <f t="shared" si="6"/>
        <v>638.14794030323628</v>
      </c>
      <c r="U12" s="743">
        <f t="shared" si="7"/>
        <v>35205.513018699916</v>
      </c>
      <c r="V12" s="743">
        <f t="shared" si="8"/>
        <v>32591.895218777277</v>
      </c>
      <c r="W12" s="743">
        <f t="shared" si="9"/>
        <v>29596.018361949031</v>
      </c>
      <c r="X12" s="743">
        <f t="shared" si="10"/>
        <v>26875.525249485199</v>
      </c>
      <c r="Y12" s="743">
        <f t="shared" si="11"/>
        <v>24405.102355401767</v>
      </c>
      <c r="Z12" s="743">
        <f t="shared" si="12"/>
        <v>22161.762996205838</v>
      </c>
      <c r="AA12" s="743">
        <f t="shared" si="13"/>
        <v>20124.633445402862</v>
      </c>
      <c r="AC12" s="910"/>
      <c r="AD12" s="910"/>
      <c r="AE12" t="s">
        <v>1028</v>
      </c>
      <c r="AF12" s="68">
        <v>1.2953999999999999</v>
      </c>
      <c r="AG12">
        <v>1.27</v>
      </c>
      <c r="AH12">
        <v>1.25095</v>
      </c>
      <c r="AI12">
        <v>1.241425</v>
      </c>
      <c r="AJ12">
        <v>1.2319</v>
      </c>
      <c r="AK12">
        <v>1.2255499999999999</v>
      </c>
      <c r="AL12" s="49">
        <v>1.2192000000000001</v>
      </c>
      <c r="AM12" s="68">
        <v>1.397</v>
      </c>
      <c r="AN12">
        <v>1.3208</v>
      </c>
      <c r="AO12">
        <v>1.27</v>
      </c>
      <c r="AP12">
        <v>1.25095</v>
      </c>
      <c r="AQ12">
        <v>1.2319</v>
      </c>
      <c r="AR12">
        <v>1.2255499999999999</v>
      </c>
      <c r="AS12" s="49">
        <v>1.2192000000000001</v>
      </c>
      <c r="AT12" s="68">
        <v>0.99059999999999993</v>
      </c>
      <c r="AU12">
        <v>0.95884999999999998</v>
      </c>
      <c r="AV12">
        <v>0.93345</v>
      </c>
      <c r="AW12">
        <v>0.91757499999999992</v>
      </c>
      <c r="AX12">
        <v>0.90169999999999995</v>
      </c>
      <c r="AY12">
        <v>0.89534999999999998</v>
      </c>
      <c r="AZ12" s="49">
        <v>0.88900000000000001</v>
      </c>
      <c r="BA12" s="68"/>
      <c r="BG12" s="49"/>
    </row>
    <row r="13" spans="1:66" x14ac:dyDescent="0.25">
      <c r="B13" t="s">
        <v>2890</v>
      </c>
      <c r="C13" t="s">
        <v>2875</v>
      </c>
      <c r="D13" t="s">
        <v>2889</v>
      </c>
      <c r="E13" s="267">
        <v>79.718417047184161</v>
      </c>
      <c r="F13" s="267">
        <v>70.924022896928619</v>
      </c>
      <c r="G13" s="267">
        <v>61.282536138476374</v>
      </c>
      <c r="H13" s="267">
        <v>52.951723297217207</v>
      </c>
      <c r="I13" s="267">
        <v>45.753409973263686</v>
      </c>
      <c r="J13" s="267">
        <v>39.533642983278639</v>
      </c>
      <c r="K13" s="267">
        <v>34.159397702655035</v>
      </c>
      <c r="M13" s="267">
        <f t="shared" si="0"/>
        <v>92.808457975687517</v>
      </c>
      <c r="N13" s="267">
        <f t="shared" si="1"/>
        <v>82.569993764430919</v>
      </c>
      <c r="O13" s="267">
        <f t="shared" si="2"/>
        <v>71.345341396894099</v>
      </c>
      <c r="P13" s="267">
        <f t="shared" si="3"/>
        <v>61.646580155515068</v>
      </c>
      <c r="Q13" s="267">
        <f t="shared" si="4"/>
        <v>53.266278785173576</v>
      </c>
      <c r="R13" s="267">
        <f t="shared" si="5"/>
        <v>46.025204455173622</v>
      </c>
      <c r="S13" s="267">
        <f t="shared" si="6"/>
        <v>39.768489435574388</v>
      </c>
      <c r="U13" s="743">
        <f t="shared" si="7"/>
        <v>2926.8075307212816</v>
      </c>
      <c r="V13" s="743">
        <f t="shared" si="8"/>
        <v>2603.9273233550934</v>
      </c>
      <c r="W13" s="743">
        <f t="shared" si="9"/>
        <v>2249.9466862924523</v>
      </c>
      <c r="X13" s="743">
        <f t="shared" si="10"/>
        <v>1944.0865517843233</v>
      </c>
      <c r="Y13" s="743">
        <f t="shared" si="11"/>
        <v>1679.805367769234</v>
      </c>
      <c r="Z13" s="743">
        <f t="shared" si="12"/>
        <v>1451.4508476983553</v>
      </c>
      <c r="AA13" s="743">
        <f t="shared" si="13"/>
        <v>1254.1390828402739</v>
      </c>
      <c r="AC13" s="910"/>
      <c r="AD13" s="910"/>
      <c r="AE13" t="s">
        <v>682</v>
      </c>
      <c r="AF13" s="68">
        <v>1.2445999999999999</v>
      </c>
      <c r="AG13">
        <v>1.2192000000000001</v>
      </c>
      <c r="AH13">
        <v>1.2064999999999999</v>
      </c>
      <c r="AI13">
        <v>1.2001500000000001</v>
      </c>
      <c r="AJ13">
        <v>1.1938</v>
      </c>
      <c r="AK13">
        <v>1.1938</v>
      </c>
      <c r="AL13" s="49">
        <v>1.1938</v>
      </c>
      <c r="AM13" s="68">
        <v>1.2319</v>
      </c>
      <c r="AN13">
        <v>1.2064999999999999</v>
      </c>
      <c r="AO13">
        <v>1.1874499999999999</v>
      </c>
      <c r="AP13">
        <v>1.171575</v>
      </c>
      <c r="AQ13">
        <v>1.1811</v>
      </c>
      <c r="AR13">
        <v>1.1493499999999999</v>
      </c>
      <c r="AS13" s="49">
        <v>1.143</v>
      </c>
      <c r="AT13" s="68">
        <v>0.93979999999999997</v>
      </c>
      <c r="AU13">
        <v>0.89534999999999998</v>
      </c>
      <c r="AV13">
        <v>0.88264999999999993</v>
      </c>
      <c r="AW13">
        <v>0.87629999999999997</v>
      </c>
      <c r="AX13">
        <v>0.86995</v>
      </c>
      <c r="AY13">
        <v>0.86804499999999996</v>
      </c>
      <c r="AZ13" s="49">
        <v>0.86614000000000002</v>
      </c>
      <c r="BA13" s="68"/>
      <c r="BG13" s="49"/>
    </row>
    <row r="14" spans="1:66" x14ac:dyDescent="0.25">
      <c r="B14" t="s">
        <v>2891</v>
      </c>
      <c r="C14" t="s">
        <v>2875</v>
      </c>
      <c r="D14" t="s">
        <v>2889</v>
      </c>
      <c r="E14" s="267">
        <v>79.718417047184161</v>
      </c>
      <c r="F14" s="267">
        <v>70.924022896928619</v>
      </c>
      <c r="G14" s="267">
        <v>61.282536138476374</v>
      </c>
      <c r="H14" s="267">
        <v>52.951723297217207</v>
      </c>
      <c r="I14" s="267">
        <v>45.753409973263686</v>
      </c>
      <c r="J14" s="267">
        <v>39.533642983278639</v>
      </c>
      <c r="K14" s="267">
        <v>34.159397702655035</v>
      </c>
      <c r="M14" s="267">
        <f t="shared" si="0"/>
        <v>92.808457975687517</v>
      </c>
      <c r="N14" s="267">
        <f t="shared" si="1"/>
        <v>82.569993764430919</v>
      </c>
      <c r="O14" s="267">
        <f t="shared" si="2"/>
        <v>71.345341396894099</v>
      </c>
      <c r="P14" s="267">
        <f t="shared" si="3"/>
        <v>61.646580155515068</v>
      </c>
      <c r="Q14" s="267">
        <f t="shared" si="4"/>
        <v>53.266278785173576</v>
      </c>
      <c r="R14" s="267">
        <f t="shared" si="5"/>
        <v>46.025204455173622</v>
      </c>
      <c r="S14" s="267">
        <f t="shared" si="6"/>
        <v>39.768489435574388</v>
      </c>
      <c r="U14" s="743">
        <f t="shared" si="7"/>
        <v>2926.8075307212816</v>
      </c>
      <c r="V14" s="743">
        <f t="shared" si="8"/>
        <v>2603.9273233550934</v>
      </c>
      <c r="W14" s="743">
        <f t="shared" si="9"/>
        <v>2249.9466862924523</v>
      </c>
      <c r="X14" s="743">
        <f t="shared" si="10"/>
        <v>1944.0865517843233</v>
      </c>
      <c r="Y14" s="743">
        <f t="shared" si="11"/>
        <v>1679.805367769234</v>
      </c>
      <c r="Z14" s="743">
        <f t="shared" si="12"/>
        <v>1451.4508476983553</v>
      </c>
      <c r="AA14" s="743">
        <f t="shared" si="13"/>
        <v>1254.1390828402739</v>
      </c>
      <c r="AC14" t="s">
        <v>2938</v>
      </c>
      <c r="AD14" t="s">
        <v>93</v>
      </c>
      <c r="AF14" s="68">
        <v>30</v>
      </c>
      <c r="AG14">
        <v>30</v>
      </c>
      <c r="AH14">
        <v>30</v>
      </c>
      <c r="AI14">
        <v>30</v>
      </c>
      <c r="AJ14">
        <v>30</v>
      </c>
      <c r="AK14">
        <v>30</v>
      </c>
      <c r="AL14" s="49">
        <v>30</v>
      </c>
      <c r="AM14" s="68">
        <v>30</v>
      </c>
      <c r="AN14">
        <v>30</v>
      </c>
      <c r="AO14">
        <v>30</v>
      </c>
      <c r="AP14">
        <v>30</v>
      </c>
      <c r="AQ14">
        <v>30</v>
      </c>
      <c r="AR14">
        <v>30</v>
      </c>
      <c r="AS14" s="49">
        <v>30</v>
      </c>
      <c r="AT14" s="68">
        <v>30</v>
      </c>
      <c r="AU14">
        <v>30</v>
      </c>
      <c r="AV14">
        <v>30</v>
      </c>
      <c r="AW14">
        <v>30</v>
      </c>
      <c r="AX14">
        <v>30</v>
      </c>
      <c r="AY14">
        <v>30</v>
      </c>
      <c r="AZ14" s="49">
        <v>30</v>
      </c>
      <c r="BA14" s="68">
        <v>40</v>
      </c>
      <c r="BB14">
        <v>40</v>
      </c>
      <c r="BC14">
        <v>40</v>
      </c>
      <c r="BD14">
        <v>40</v>
      </c>
      <c r="BE14">
        <v>40</v>
      </c>
      <c r="BF14">
        <v>40</v>
      </c>
      <c r="BG14" s="49">
        <v>40</v>
      </c>
      <c r="BH14">
        <v>40</v>
      </c>
      <c r="BI14">
        <v>40</v>
      </c>
      <c r="BJ14">
        <v>40</v>
      </c>
      <c r="BK14">
        <v>40</v>
      </c>
      <c r="BL14">
        <v>40</v>
      </c>
      <c r="BM14">
        <v>40</v>
      </c>
      <c r="BN14">
        <v>40</v>
      </c>
    </row>
    <row r="15" spans="1:66" x14ac:dyDescent="0.25">
      <c r="B15" t="s">
        <v>2892</v>
      </c>
      <c r="C15" t="s">
        <v>2875</v>
      </c>
      <c r="D15" t="s">
        <v>2893</v>
      </c>
      <c r="E15" s="267">
        <v>19.399999999999999</v>
      </c>
      <c r="F15" s="267">
        <v>18.267120843795748</v>
      </c>
      <c r="G15" s="267">
        <v>16.943595180530103</v>
      </c>
      <c r="H15" s="267">
        <v>15.715964223184564</v>
      </c>
      <c r="I15" s="267">
        <v>14.577280018365601</v>
      </c>
      <c r="J15" s="267">
        <v>13.521098019576824</v>
      </c>
      <c r="K15" s="267">
        <v>12.541440613384198</v>
      </c>
      <c r="M15" s="267">
        <f t="shared" si="0"/>
        <v>22.585547373107744</v>
      </c>
      <c r="N15" s="267">
        <f t="shared" si="1"/>
        <v>21.266645525146021</v>
      </c>
      <c r="O15" s="267">
        <f t="shared" si="2"/>
        <v>19.725792351578491</v>
      </c>
      <c r="P15" s="267">
        <f t="shared" si="3"/>
        <v>18.296580127670175</v>
      </c>
      <c r="Q15" s="267">
        <f t="shared" si="4"/>
        <v>16.970920021951198</v>
      </c>
      <c r="R15" s="267">
        <f t="shared" si="5"/>
        <v>15.741309271009571</v>
      </c>
      <c r="S15" s="267">
        <f t="shared" si="6"/>
        <v>14.600788716526097</v>
      </c>
      <c r="U15" s="743">
        <f t="shared" si="7"/>
        <v>712.25782195832585</v>
      </c>
      <c r="V15" s="743">
        <f t="shared" si="8"/>
        <v>670.66493328100501</v>
      </c>
      <c r="W15" s="743">
        <f t="shared" si="9"/>
        <v>622.07258759937929</v>
      </c>
      <c r="X15" s="743">
        <f t="shared" si="10"/>
        <v>577.00095090620664</v>
      </c>
      <c r="Y15" s="743">
        <f t="shared" si="11"/>
        <v>535.194933812253</v>
      </c>
      <c r="Z15" s="743">
        <f t="shared" si="12"/>
        <v>496.41792917055784</v>
      </c>
      <c r="AA15" s="743">
        <f t="shared" si="13"/>
        <v>460.45047296436701</v>
      </c>
      <c r="AC15" s="910" t="s">
        <v>2902</v>
      </c>
      <c r="AD15" s="910" t="s">
        <v>2939</v>
      </c>
      <c r="AE15" t="s">
        <v>680</v>
      </c>
      <c r="AF15" s="749">
        <v>729.44</v>
      </c>
      <c r="AG15" s="330">
        <v>579.73</v>
      </c>
      <c r="AH15" s="330">
        <v>493.65000000000003</v>
      </c>
      <c r="AI15" s="330">
        <v>467.82</v>
      </c>
      <c r="AJ15" s="330">
        <v>442.24</v>
      </c>
      <c r="AK15" s="330">
        <v>435.64</v>
      </c>
      <c r="AL15" s="752">
        <v>429.04</v>
      </c>
      <c r="AM15" s="749">
        <v>953.59</v>
      </c>
      <c r="AN15" s="330">
        <v>600.38</v>
      </c>
      <c r="AO15" s="330">
        <v>433.33</v>
      </c>
      <c r="AP15" s="330">
        <v>391.91</v>
      </c>
      <c r="AQ15" s="330">
        <v>359.17</v>
      </c>
      <c r="AR15" s="330">
        <v>343.16</v>
      </c>
      <c r="AS15" s="752">
        <v>334.95</v>
      </c>
      <c r="AT15" s="749">
        <v>1351.03</v>
      </c>
      <c r="AU15" s="330">
        <v>891.09</v>
      </c>
      <c r="AV15" s="330">
        <v>683.24</v>
      </c>
      <c r="AW15" s="330">
        <v>629.87</v>
      </c>
      <c r="AX15" s="330">
        <v>577.21</v>
      </c>
      <c r="AY15" s="330">
        <v>551.95000000000005</v>
      </c>
      <c r="AZ15" s="752">
        <v>526.79</v>
      </c>
      <c r="BA15" s="749"/>
      <c r="BB15" s="330"/>
      <c r="BC15" s="330"/>
      <c r="BD15" s="330"/>
      <c r="BE15" s="330"/>
      <c r="BF15" s="330"/>
      <c r="BG15" s="752"/>
      <c r="BH15" s="267"/>
      <c r="BI15" s="267"/>
      <c r="BJ15" s="267"/>
      <c r="BK15" s="267"/>
      <c r="BL15" s="267"/>
      <c r="BM15" s="267"/>
      <c r="BN15" s="267"/>
    </row>
    <row r="16" spans="1:66" x14ac:dyDescent="0.25">
      <c r="A16" t="s">
        <v>2894</v>
      </c>
      <c r="B16" t="s">
        <v>2895</v>
      </c>
      <c r="C16" t="s">
        <v>2875</v>
      </c>
      <c r="D16" t="s">
        <v>2896</v>
      </c>
      <c r="E16" s="267">
        <v>27.708333333333332</v>
      </c>
      <c r="F16" s="267">
        <v>27.708333333333332</v>
      </c>
      <c r="G16" s="267">
        <v>27.708333333333332</v>
      </c>
      <c r="H16" s="267">
        <v>27.708333333333332</v>
      </c>
      <c r="I16" s="267">
        <v>27.708333333333332</v>
      </c>
      <c r="J16" s="267">
        <v>27.708333333333332</v>
      </c>
      <c r="K16" s="267">
        <v>27.708333333333332</v>
      </c>
      <c r="M16" s="267">
        <f t="shared" si="0"/>
        <v>32.258137893291774</v>
      </c>
      <c r="N16" s="267">
        <f t="shared" si="1"/>
        <v>32.258137893291774</v>
      </c>
      <c r="O16" s="267">
        <f t="shared" si="2"/>
        <v>32.258137893291774</v>
      </c>
      <c r="P16" s="267">
        <f t="shared" si="3"/>
        <v>32.258137893291774</v>
      </c>
      <c r="Q16" s="267">
        <f t="shared" si="4"/>
        <v>32.258137893291774</v>
      </c>
      <c r="R16" s="267">
        <f t="shared" si="5"/>
        <v>32.258137893291774</v>
      </c>
      <c r="S16" s="267">
        <f t="shared" si="6"/>
        <v>32.258137893291774</v>
      </c>
      <c r="U16" s="743">
        <f t="shared" si="7"/>
        <v>1017.2926366028495</v>
      </c>
      <c r="V16" s="743">
        <f t="shared" si="8"/>
        <v>1017.2926366028495</v>
      </c>
      <c r="W16" s="743">
        <f t="shared" si="9"/>
        <v>1017.2926366028495</v>
      </c>
      <c r="X16" s="743">
        <f t="shared" si="10"/>
        <v>1017.2926366028495</v>
      </c>
      <c r="Y16" s="743">
        <f t="shared" si="11"/>
        <v>1017.2926366028495</v>
      </c>
      <c r="Z16" s="743">
        <f t="shared" si="12"/>
        <v>1017.2926366028495</v>
      </c>
      <c r="AA16" s="743">
        <f t="shared" si="13"/>
        <v>1017.2926366028495</v>
      </c>
      <c r="AC16" s="910"/>
      <c r="AD16" s="910"/>
      <c r="AE16" t="s">
        <v>1028</v>
      </c>
      <c r="AF16" s="749">
        <v>859.49</v>
      </c>
      <c r="AG16" s="330">
        <v>744.33</v>
      </c>
      <c r="AH16" s="330">
        <v>670.92</v>
      </c>
      <c r="AI16" s="330">
        <v>652.08000000000004</v>
      </c>
      <c r="AJ16" s="330">
        <v>633.45000000000005</v>
      </c>
      <c r="AK16" s="330">
        <v>623.41</v>
      </c>
      <c r="AL16" s="752">
        <v>613.44000000000005</v>
      </c>
      <c r="AM16" s="749">
        <v>1158.6300000000001</v>
      </c>
      <c r="AN16" s="330">
        <v>730.29</v>
      </c>
      <c r="AO16" s="330">
        <v>561.76</v>
      </c>
      <c r="AP16" s="330">
        <v>518.75</v>
      </c>
      <c r="AQ16" s="330">
        <v>476.79</v>
      </c>
      <c r="AR16" s="330">
        <v>467.56</v>
      </c>
      <c r="AS16" s="752">
        <v>458.40000000000003</v>
      </c>
      <c r="AT16" s="749">
        <v>1796.5</v>
      </c>
      <c r="AU16" s="330">
        <v>1304.19</v>
      </c>
      <c r="AV16" s="330">
        <v>1032.23</v>
      </c>
      <c r="AW16" s="330">
        <v>913.21</v>
      </c>
      <c r="AX16" s="330">
        <v>797.7</v>
      </c>
      <c r="AY16" s="330">
        <v>742.57</v>
      </c>
      <c r="AZ16" s="752">
        <v>688.15</v>
      </c>
      <c r="BA16" s="749">
        <v>774.08</v>
      </c>
      <c r="BB16" s="330">
        <v>727.25</v>
      </c>
      <c r="BC16" s="330">
        <v>681.89</v>
      </c>
      <c r="BD16" s="330">
        <v>639.45000000000005</v>
      </c>
      <c r="BE16" s="330">
        <v>599.95000000000005</v>
      </c>
      <c r="BF16" s="330">
        <v>563.36</v>
      </c>
      <c r="BG16" s="752">
        <v>528.25</v>
      </c>
      <c r="BH16" s="267">
        <v>584.98</v>
      </c>
      <c r="BI16" s="267">
        <v>549.59</v>
      </c>
      <c r="BJ16" s="267">
        <v>515.31000000000006</v>
      </c>
      <c r="BK16" s="267">
        <v>483.25</v>
      </c>
      <c r="BL16" s="267">
        <v>453.39</v>
      </c>
      <c r="BM16" s="267">
        <v>425.74</v>
      </c>
      <c r="BN16" s="267">
        <v>399.2</v>
      </c>
    </row>
    <row r="17" spans="1:66" x14ac:dyDescent="0.25">
      <c r="B17" t="s">
        <v>2897</v>
      </c>
      <c r="C17" t="s">
        <v>2875</v>
      </c>
      <c r="D17" t="s">
        <v>2889</v>
      </c>
      <c r="E17" s="267">
        <v>18.22</v>
      </c>
      <c r="F17" s="267">
        <v>15.911651089210164</v>
      </c>
      <c r="G17" s="267">
        <v>13.433025524695411</v>
      </c>
      <c r="H17" s="267">
        <v>11.340506006286214</v>
      </c>
      <c r="I17" s="267">
        <v>9.5739471530208231</v>
      </c>
      <c r="J17" s="267">
        <v>8.0825726857361353</v>
      </c>
      <c r="K17" s="267">
        <v>6.8235159622324844</v>
      </c>
      <c r="M17" s="267">
        <f t="shared" si="0"/>
        <v>21.211787275155828</v>
      </c>
      <c r="N17" s="267">
        <f t="shared" si="1"/>
        <v>18.524399456686474</v>
      </c>
      <c r="O17" s="267">
        <f t="shared" si="2"/>
        <v>15.638774966606894</v>
      </c>
      <c r="P17" s="267">
        <f t="shared" si="3"/>
        <v>13.202656476288155</v>
      </c>
      <c r="Q17" s="267">
        <f t="shared" si="4"/>
        <v>11.146022524339269</v>
      </c>
      <c r="R17" s="267">
        <f t="shared" si="5"/>
        <v>9.4097591902206279</v>
      </c>
      <c r="S17" s="267">
        <f t="shared" si="6"/>
        <v>7.9439609802143636</v>
      </c>
      <c r="U17" s="743">
        <f t="shared" si="7"/>
        <v>668.93492350931422</v>
      </c>
      <c r="V17" s="743">
        <f t="shared" si="8"/>
        <v>584.18546126606464</v>
      </c>
      <c r="W17" s="743">
        <f t="shared" si="9"/>
        <v>493.18440734691501</v>
      </c>
      <c r="X17" s="743">
        <f t="shared" si="10"/>
        <v>416.35897463622325</v>
      </c>
      <c r="Y17" s="743">
        <f t="shared" si="11"/>
        <v>351.50096632756322</v>
      </c>
      <c r="Z17" s="743">
        <f t="shared" si="12"/>
        <v>296.74616582279771</v>
      </c>
      <c r="AA17" s="743">
        <f t="shared" si="13"/>
        <v>250.52075347204018</v>
      </c>
      <c r="AC17" s="910"/>
      <c r="AD17" s="910"/>
      <c r="AE17" t="s">
        <v>682</v>
      </c>
      <c r="AF17" s="749">
        <v>1179.69</v>
      </c>
      <c r="AG17" s="330">
        <v>1033.6400000000001</v>
      </c>
      <c r="AH17" s="330">
        <v>975.21</v>
      </c>
      <c r="AI17" s="330">
        <v>942.35</v>
      </c>
      <c r="AJ17" s="330">
        <v>910.05000000000007</v>
      </c>
      <c r="AK17" s="330">
        <v>894.11</v>
      </c>
      <c r="AL17" s="752">
        <v>878.31000000000006</v>
      </c>
      <c r="AM17" s="749">
        <v>1887.51</v>
      </c>
      <c r="AN17" s="330">
        <v>1458.33</v>
      </c>
      <c r="AO17" s="330">
        <v>1215.93</v>
      </c>
      <c r="AP17" s="330">
        <v>1092.06</v>
      </c>
      <c r="AQ17" s="330">
        <v>973.25</v>
      </c>
      <c r="AR17" s="330">
        <v>934.77</v>
      </c>
      <c r="AS17" s="752">
        <v>896.85</v>
      </c>
      <c r="AT17" s="749">
        <v>2584.09</v>
      </c>
      <c r="AU17" s="330">
        <v>2081.3200000000002</v>
      </c>
      <c r="AV17" s="330">
        <v>1707.75</v>
      </c>
      <c r="AW17" s="330">
        <v>1585.21</v>
      </c>
      <c r="AX17" s="330">
        <v>1412.47</v>
      </c>
      <c r="AY17" s="330">
        <v>1355.59</v>
      </c>
      <c r="AZ17" s="752">
        <v>1299.07</v>
      </c>
      <c r="BA17" s="749"/>
      <c r="BB17" s="330"/>
      <c r="BC17" s="330"/>
      <c r="BD17" s="330"/>
      <c r="BE17" s="330"/>
      <c r="BF17" s="330"/>
      <c r="BG17" s="752"/>
      <c r="BH17" s="267"/>
      <c r="BI17" s="267"/>
      <c r="BJ17" s="267"/>
      <c r="BK17" s="267"/>
      <c r="BL17" s="267"/>
      <c r="BM17" s="267"/>
      <c r="BN17" s="267"/>
    </row>
    <row r="18" spans="1:66" x14ac:dyDescent="0.25">
      <c r="B18" t="s">
        <v>2898</v>
      </c>
      <c r="C18" t="s">
        <v>2875</v>
      </c>
      <c r="D18" t="s">
        <v>2876</v>
      </c>
      <c r="E18" s="267">
        <v>30.536529680365295</v>
      </c>
      <c r="F18" s="267">
        <v>28.466017983371884</v>
      </c>
      <c r="G18" s="267">
        <v>26.07417153929493</v>
      </c>
      <c r="H18" s="267">
        <v>23.883299092191674</v>
      </c>
      <c r="I18" s="267">
        <v>21.87651387762973</v>
      </c>
      <c r="J18" s="267">
        <v>20.038348035200556</v>
      </c>
      <c r="K18" s="267">
        <v>18.354633385643041</v>
      </c>
      <c r="M18" s="267">
        <f t="shared" si="0"/>
        <v>35.550733902381502</v>
      </c>
      <c r="N18" s="267">
        <f t="shared" si="1"/>
        <v>33.140236994184676</v>
      </c>
      <c r="O18" s="267">
        <f t="shared" si="2"/>
        <v>30.355641057488832</v>
      </c>
      <c r="P18" s="267">
        <f t="shared" si="3"/>
        <v>27.805019746020427</v>
      </c>
      <c r="Q18" s="267">
        <f t="shared" si="4"/>
        <v>25.46871342998223</v>
      </c>
      <c r="R18" s="267">
        <f t="shared" si="5"/>
        <v>23.328714372569209</v>
      </c>
      <c r="S18" s="267">
        <f t="shared" si="6"/>
        <v>21.368527930281747</v>
      </c>
      <c r="U18" s="743">
        <f t="shared" si="7"/>
        <v>1121.127944345503</v>
      </c>
      <c r="V18" s="743">
        <f t="shared" si="8"/>
        <v>1045.110513848608</v>
      </c>
      <c r="W18" s="743">
        <f t="shared" si="9"/>
        <v>957.29549638896788</v>
      </c>
      <c r="X18" s="743">
        <f t="shared" si="10"/>
        <v>876.85910271050022</v>
      </c>
      <c r="Y18" s="743">
        <f t="shared" si="11"/>
        <v>803.18134672791962</v>
      </c>
      <c r="Z18" s="743">
        <f t="shared" si="12"/>
        <v>735.69433645334266</v>
      </c>
      <c r="AA18" s="743">
        <f t="shared" si="13"/>
        <v>673.87789680936521</v>
      </c>
      <c r="AC18" t="s">
        <v>2940</v>
      </c>
      <c r="AD18" t="s">
        <v>93</v>
      </c>
      <c r="AF18" s="68">
        <v>3</v>
      </c>
      <c r="AG18">
        <v>3</v>
      </c>
      <c r="AH18">
        <v>3</v>
      </c>
      <c r="AI18">
        <v>3</v>
      </c>
      <c r="AJ18">
        <v>3</v>
      </c>
      <c r="AK18">
        <v>3</v>
      </c>
      <c r="AL18" s="49">
        <v>3</v>
      </c>
      <c r="AM18" s="68">
        <v>3</v>
      </c>
      <c r="AN18">
        <v>3</v>
      </c>
      <c r="AO18">
        <v>3</v>
      </c>
      <c r="AP18">
        <v>3</v>
      </c>
      <c r="AQ18">
        <v>3</v>
      </c>
      <c r="AR18">
        <v>3</v>
      </c>
      <c r="AS18" s="49">
        <v>3</v>
      </c>
      <c r="AT18" s="68">
        <v>3</v>
      </c>
      <c r="AU18">
        <v>3</v>
      </c>
      <c r="AV18">
        <v>3</v>
      </c>
      <c r="AW18">
        <v>3</v>
      </c>
      <c r="AX18">
        <v>3</v>
      </c>
      <c r="AY18">
        <v>3</v>
      </c>
      <c r="AZ18" s="49">
        <v>3</v>
      </c>
      <c r="BA18" s="68">
        <v>3</v>
      </c>
      <c r="BB18">
        <v>3</v>
      </c>
      <c r="BC18">
        <v>3</v>
      </c>
      <c r="BD18">
        <v>3</v>
      </c>
      <c r="BE18">
        <v>3</v>
      </c>
      <c r="BF18">
        <v>3</v>
      </c>
      <c r="BG18" s="49">
        <v>3</v>
      </c>
      <c r="BH18">
        <v>3</v>
      </c>
      <c r="BI18">
        <v>3</v>
      </c>
      <c r="BJ18">
        <v>3</v>
      </c>
      <c r="BK18">
        <v>3</v>
      </c>
      <c r="BL18">
        <v>3</v>
      </c>
      <c r="BM18">
        <v>3</v>
      </c>
      <c r="BN18">
        <v>3</v>
      </c>
    </row>
    <row r="19" spans="1:66" x14ac:dyDescent="0.25">
      <c r="B19" t="s">
        <v>2899</v>
      </c>
      <c r="C19" t="s">
        <v>2875</v>
      </c>
      <c r="D19" t="s">
        <v>2876</v>
      </c>
      <c r="E19" s="267">
        <v>6.8022656646372397</v>
      </c>
      <c r="F19" s="267">
        <v>6.7412515827211736</v>
      </c>
      <c r="G19" s="267">
        <v>6.6657530112697136</v>
      </c>
      <c r="H19" s="267">
        <v>6.5910999852219927</v>
      </c>
      <c r="I19" s="267">
        <v>6.5172830349017481</v>
      </c>
      <c r="J19" s="267">
        <v>6.4442927966882522</v>
      </c>
      <c r="K19" s="267">
        <v>6.3721200118285468</v>
      </c>
      <c r="M19" s="267">
        <f t="shared" si="0"/>
        <v>7.9192213099550832</v>
      </c>
      <c r="N19" s="267">
        <f t="shared" si="1"/>
        <v>7.8481885038962185</v>
      </c>
      <c r="O19" s="267">
        <f t="shared" si="2"/>
        <v>7.7602928048179241</v>
      </c>
      <c r="P19" s="267">
        <f t="shared" si="3"/>
        <v>7.6733814926351069</v>
      </c>
      <c r="Q19" s="267">
        <f t="shared" si="4"/>
        <v>7.587443542717776</v>
      </c>
      <c r="R19" s="267">
        <f t="shared" si="5"/>
        <v>7.5024680539061608</v>
      </c>
      <c r="S19" s="267">
        <f t="shared" si="6"/>
        <v>7.4184442471279137</v>
      </c>
      <c r="U19" s="743">
        <f t="shared" si="7"/>
        <v>249.7405632307435</v>
      </c>
      <c r="V19" s="743">
        <f t="shared" si="8"/>
        <v>247.50047265887116</v>
      </c>
      <c r="W19" s="743">
        <f t="shared" si="9"/>
        <v>244.72859389273808</v>
      </c>
      <c r="X19" s="743">
        <f t="shared" si="10"/>
        <v>241.98775875174076</v>
      </c>
      <c r="Y19" s="743">
        <f t="shared" si="11"/>
        <v>239.27761956314779</v>
      </c>
      <c r="Z19" s="743">
        <f t="shared" si="12"/>
        <v>236.59783254798469</v>
      </c>
      <c r="AA19" s="743">
        <f t="shared" si="13"/>
        <v>233.9480577774259</v>
      </c>
      <c r="AC19" s="910" t="s">
        <v>2941</v>
      </c>
      <c r="AD19" t="s">
        <v>2932</v>
      </c>
      <c r="AE19" t="s">
        <v>2942</v>
      </c>
      <c r="AF19" s="750">
        <v>0.33333333333333331</v>
      </c>
      <c r="AG19" s="342">
        <v>0.33333333333333331</v>
      </c>
      <c r="AH19" s="342">
        <v>0.33333333333333331</v>
      </c>
      <c r="AI19" s="342">
        <v>0.33333333333333331</v>
      </c>
      <c r="AJ19" s="342">
        <v>0.33333333333333331</v>
      </c>
      <c r="AK19" s="342">
        <v>0.33333333333333331</v>
      </c>
      <c r="AL19" s="753">
        <v>0.33333333333333331</v>
      </c>
      <c r="AM19" s="750">
        <v>0.33333333333333331</v>
      </c>
      <c r="AN19" s="342">
        <v>0.33333333333333331</v>
      </c>
      <c r="AO19" s="342">
        <v>0.33333333333333331</v>
      </c>
      <c r="AP19" s="342">
        <v>0.33333333333333331</v>
      </c>
      <c r="AQ19" s="342">
        <v>0.33333333333333331</v>
      </c>
      <c r="AR19" s="342">
        <v>0.33333333333333331</v>
      </c>
      <c r="AS19" s="753">
        <v>0.33333333333333331</v>
      </c>
      <c r="AT19" s="750">
        <v>0.33333333333333331</v>
      </c>
      <c r="AU19" s="342">
        <v>0.33333333333333331</v>
      </c>
      <c r="AV19" s="342">
        <v>0.33333333333333331</v>
      </c>
      <c r="AW19" s="342">
        <v>0.33333333333333331</v>
      </c>
      <c r="AX19" s="342">
        <v>0.33333333333333331</v>
      </c>
      <c r="AY19" s="342">
        <v>0.33333333333333331</v>
      </c>
      <c r="AZ19" s="753">
        <v>0.33333333333333331</v>
      </c>
      <c r="BA19" s="750">
        <v>0.33333333333333331</v>
      </c>
      <c r="BB19" s="342">
        <v>0.33333333333333331</v>
      </c>
      <c r="BC19" s="342">
        <v>0.33333333333333331</v>
      </c>
      <c r="BD19" s="342">
        <v>0.33333333333333331</v>
      </c>
      <c r="BE19" s="342">
        <v>0.33333333333333331</v>
      </c>
      <c r="BF19" s="342">
        <v>0.33333333333333331</v>
      </c>
      <c r="BG19" s="753">
        <v>0.33333333333333331</v>
      </c>
      <c r="BH19" s="80">
        <v>0.33333333333333331</v>
      </c>
      <c r="BI19" s="80">
        <v>0.33333333333333331</v>
      </c>
      <c r="BJ19" s="80">
        <v>0.33333333333333331</v>
      </c>
      <c r="BK19" s="80">
        <v>0.33333333333333331</v>
      </c>
      <c r="BL19" s="80">
        <v>0.33333333333333331</v>
      </c>
      <c r="BM19" s="80">
        <v>0.33333333333333331</v>
      </c>
      <c r="BN19" s="80">
        <v>0.33333333333333331</v>
      </c>
    </row>
    <row r="20" spans="1:66" x14ac:dyDescent="0.25">
      <c r="B20" t="s">
        <v>2900</v>
      </c>
      <c r="C20" t="s">
        <v>2875</v>
      </c>
      <c r="D20" t="s">
        <v>2876</v>
      </c>
      <c r="E20" s="267">
        <v>13.109962455606292</v>
      </c>
      <c r="F20" s="267">
        <v>12.789699628745863</v>
      </c>
      <c r="G20" s="267">
        <v>12.40035065791813</v>
      </c>
      <c r="H20" s="267">
        <v>12.022854398685276</v>
      </c>
      <c r="I20" s="267">
        <v>11.656850026227717</v>
      </c>
      <c r="J20" s="267">
        <v>11.301987700094262</v>
      </c>
      <c r="K20" s="267">
        <v>10.957928229811699</v>
      </c>
      <c r="M20" s="267">
        <f t="shared" si="0"/>
        <v>15.262663819626797</v>
      </c>
      <c r="N20" s="267">
        <f t="shared" si="1"/>
        <v>14.889812724374135</v>
      </c>
      <c r="O20" s="267">
        <f t="shared" si="2"/>
        <v>14.436531300389573</v>
      </c>
      <c r="P20" s="267">
        <f t="shared" si="3"/>
        <v>13.997048844406347</v>
      </c>
      <c r="Q20" s="267">
        <f t="shared" si="4"/>
        <v>13.57094528291641</v>
      </c>
      <c r="R20" s="267">
        <f t="shared" si="5"/>
        <v>13.157813330451546</v>
      </c>
      <c r="S20" s="267">
        <f t="shared" si="6"/>
        <v>12.757258100284888</v>
      </c>
      <c r="U20" s="743">
        <f t="shared" si="7"/>
        <v>481.3233662157507</v>
      </c>
      <c r="V20" s="743">
        <f t="shared" si="8"/>
        <v>469.56513407586272</v>
      </c>
      <c r="W20" s="743">
        <f t="shared" si="9"/>
        <v>455.27045108908561</v>
      </c>
      <c r="X20" s="743">
        <f t="shared" si="10"/>
        <v>441.41093235719859</v>
      </c>
      <c r="Y20" s="743">
        <f t="shared" si="11"/>
        <v>427.97333044205192</v>
      </c>
      <c r="Z20" s="743">
        <f t="shared" si="12"/>
        <v>414.94480118911997</v>
      </c>
      <c r="AA20" s="743">
        <f t="shared" si="13"/>
        <v>402.31289145058423</v>
      </c>
      <c r="AC20" s="910"/>
      <c r="AD20" t="s">
        <v>2932</v>
      </c>
      <c r="AE20" t="s">
        <v>2943</v>
      </c>
      <c r="AF20" s="750">
        <v>0.33333333333333331</v>
      </c>
      <c r="AG20" s="342">
        <v>0.33333333333333331</v>
      </c>
      <c r="AH20" s="342">
        <v>0.33333333333333331</v>
      </c>
      <c r="AI20" s="342">
        <v>0.33333333333333331</v>
      </c>
      <c r="AJ20" s="342">
        <v>0.33333333333333331</v>
      </c>
      <c r="AK20" s="342">
        <v>0.33333333333333331</v>
      </c>
      <c r="AL20" s="753">
        <v>0.33333333333333331</v>
      </c>
      <c r="AM20" s="750">
        <v>0.33333333333333331</v>
      </c>
      <c r="AN20" s="342">
        <v>0.33333333333333331</v>
      </c>
      <c r="AO20" s="342">
        <v>0.33333333333333331</v>
      </c>
      <c r="AP20" s="342">
        <v>0.33333333333333331</v>
      </c>
      <c r="AQ20" s="342">
        <v>0.33333333333333331</v>
      </c>
      <c r="AR20" s="342">
        <v>0.33333333333333331</v>
      </c>
      <c r="AS20" s="753">
        <v>0.33333333333333331</v>
      </c>
      <c r="AT20" s="750">
        <v>0.33333333333333331</v>
      </c>
      <c r="AU20" s="342">
        <v>0.33333333333333331</v>
      </c>
      <c r="AV20" s="342">
        <v>0.33333333333333331</v>
      </c>
      <c r="AW20" s="342">
        <v>0.33333333333333331</v>
      </c>
      <c r="AX20" s="342">
        <v>0.33333333333333331</v>
      </c>
      <c r="AY20" s="342">
        <v>0.33333333333333331</v>
      </c>
      <c r="AZ20" s="753">
        <v>0.33333333333333331</v>
      </c>
      <c r="BA20" s="750">
        <v>0.33333333333333331</v>
      </c>
      <c r="BB20" s="342">
        <v>0.33333333333333331</v>
      </c>
      <c r="BC20" s="342">
        <v>0.33333333333333331</v>
      </c>
      <c r="BD20" s="342">
        <v>0.33333333333333331</v>
      </c>
      <c r="BE20" s="342">
        <v>0.33333333333333331</v>
      </c>
      <c r="BF20" s="342">
        <v>0.33333333333333331</v>
      </c>
      <c r="BG20" s="753">
        <v>0.33333333333333331</v>
      </c>
      <c r="BH20" s="80">
        <v>0.33333333333333331</v>
      </c>
      <c r="BI20" s="80">
        <v>0.33333333333333331</v>
      </c>
      <c r="BJ20" s="80">
        <v>0.33333333333333331</v>
      </c>
      <c r="BK20" s="80">
        <v>0.33333333333333331</v>
      </c>
      <c r="BL20" s="80">
        <v>0.33333333333333331</v>
      </c>
      <c r="BM20" s="80">
        <v>0.33333333333333331</v>
      </c>
      <c r="BN20" s="80">
        <v>0.33333333333333331</v>
      </c>
    </row>
    <row r="21" spans="1:66" x14ac:dyDescent="0.25">
      <c r="B21" t="s">
        <v>2901</v>
      </c>
      <c r="C21" t="s">
        <v>2875</v>
      </c>
      <c r="D21" t="s">
        <v>2876</v>
      </c>
      <c r="E21" s="267">
        <v>38.131754185692536</v>
      </c>
      <c r="F21" s="267">
        <v>37.075223579011336</v>
      </c>
      <c r="G21" s="267">
        <v>35.795630889747713</v>
      </c>
      <c r="H21" s="267">
        <v>34.56020131785349</v>
      </c>
      <c r="I21" s="267">
        <v>33.367410643198205</v>
      </c>
      <c r="J21" s="267">
        <v>32.215787251697883</v>
      </c>
      <c r="K21" s="267">
        <v>31.103910319700589</v>
      </c>
      <c r="M21" s="267">
        <f t="shared" si="0"/>
        <v>44.393120648487546</v>
      </c>
      <c r="N21" s="267">
        <f t="shared" si="1"/>
        <v>43.163104047026899</v>
      </c>
      <c r="O21" s="267">
        <f t="shared" si="2"/>
        <v>41.673397794364739</v>
      </c>
      <c r="P21" s="267">
        <f t="shared" si="3"/>
        <v>40.235106396315501</v>
      </c>
      <c r="Q21" s="267">
        <f t="shared" si="4"/>
        <v>38.846455350509927</v>
      </c>
      <c r="R21" s="267">
        <f t="shared" si="5"/>
        <v>37.505731398720776</v>
      </c>
      <c r="S21" s="267">
        <f t="shared" si="6"/>
        <v>36.211280413118175</v>
      </c>
      <c r="U21" s="743">
        <f t="shared" si="7"/>
        <v>1399.9814527707033</v>
      </c>
      <c r="V21" s="743">
        <f t="shared" si="8"/>
        <v>1361.1916492270404</v>
      </c>
      <c r="W21" s="743">
        <f t="shared" si="9"/>
        <v>1314.2122728430866</v>
      </c>
      <c r="X21" s="743">
        <f t="shared" si="10"/>
        <v>1268.8543153142057</v>
      </c>
      <c r="Y21" s="743">
        <f t="shared" si="11"/>
        <v>1225.0618159336811</v>
      </c>
      <c r="Z21" s="743">
        <f t="shared" si="12"/>
        <v>1182.7807453900584</v>
      </c>
      <c r="AA21" s="743">
        <f t="shared" si="13"/>
        <v>1141.9589391080949</v>
      </c>
      <c r="AC21" s="910"/>
      <c r="AD21" t="s">
        <v>2932</v>
      </c>
      <c r="AE21" t="s">
        <v>2944</v>
      </c>
      <c r="AF21" s="750">
        <v>0.33333333333333331</v>
      </c>
      <c r="AG21" s="342">
        <v>0.33333333333333331</v>
      </c>
      <c r="AH21" s="342">
        <v>0.33333333333333331</v>
      </c>
      <c r="AI21" s="342">
        <v>0.33333333333333331</v>
      </c>
      <c r="AJ21" s="342">
        <v>0.33333333333333331</v>
      </c>
      <c r="AK21" s="342">
        <v>0.33333333333333331</v>
      </c>
      <c r="AL21" s="753">
        <v>0.33333333333333331</v>
      </c>
      <c r="AM21" s="750">
        <v>0.33333333333333331</v>
      </c>
      <c r="AN21" s="342">
        <v>0.33333333333333331</v>
      </c>
      <c r="AO21" s="342">
        <v>0.33333333333333331</v>
      </c>
      <c r="AP21" s="342">
        <v>0.33333333333333331</v>
      </c>
      <c r="AQ21" s="342">
        <v>0.33333333333333331</v>
      </c>
      <c r="AR21" s="342">
        <v>0.33333333333333331</v>
      </c>
      <c r="AS21" s="753">
        <v>0.33333333333333331</v>
      </c>
      <c r="AT21" s="750">
        <v>0.33333333333333331</v>
      </c>
      <c r="AU21" s="342">
        <v>0.33333333333333331</v>
      </c>
      <c r="AV21" s="342">
        <v>0.33333333333333331</v>
      </c>
      <c r="AW21" s="342">
        <v>0.33333333333333331</v>
      </c>
      <c r="AX21" s="342">
        <v>0.33333333333333331</v>
      </c>
      <c r="AY21" s="342">
        <v>0.33333333333333331</v>
      </c>
      <c r="AZ21" s="753">
        <v>0.33333333333333331</v>
      </c>
      <c r="BA21" s="750">
        <v>0.33333333333333331</v>
      </c>
      <c r="BB21" s="342">
        <v>0.33333333333333331</v>
      </c>
      <c r="BC21" s="342">
        <v>0.33333333333333331</v>
      </c>
      <c r="BD21" s="342">
        <v>0.33333333333333331</v>
      </c>
      <c r="BE21" s="342">
        <v>0.33333333333333331</v>
      </c>
      <c r="BF21" s="342">
        <v>0.33333333333333331</v>
      </c>
      <c r="BG21" s="753">
        <v>0.33333333333333331</v>
      </c>
      <c r="BH21" s="80">
        <v>0.33333333333333331</v>
      </c>
      <c r="BI21" s="80">
        <v>0.33333333333333331</v>
      </c>
      <c r="BJ21" s="80">
        <v>0.33333333333333331</v>
      </c>
      <c r="BK21" s="80">
        <v>0.33333333333333331</v>
      </c>
      <c r="BL21" s="80">
        <v>0.33333333333333331</v>
      </c>
      <c r="BM21" s="80">
        <v>0.33333333333333331</v>
      </c>
      <c r="BN21" s="80">
        <v>0.33333333333333331</v>
      </c>
    </row>
    <row r="22" spans="1:66" x14ac:dyDescent="0.25">
      <c r="AC22" s="910" t="s">
        <v>2945</v>
      </c>
      <c r="AD22" s="910" t="s">
        <v>2946</v>
      </c>
      <c r="AE22" t="s">
        <v>680</v>
      </c>
      <c r="AF22" s="751">
        <v>29.89</v>
      </c>
      <c r="AG22" s="457">
        <v>29.28</v>
      </c>
      <c r="AH22" s="457">
        <v>28.98</v>
      </c>
      <c r="AI22" s="457">
        <v>28.830000000000002</v>
      </c>
      <c r="AJ22" s="457">
        <v>28.67</v>
      </c>
      <c r="AK22" s="457">
        <v>28.67</v>
      </c>
      <c r="AL22" s="754">
        <v>28.67</v>
      </c>
      <c r="AM22" s="751">
        <v>32.380000000000003</v>
      </c>
      <c r="AN22" s="457">
        <v>31.71</v>
      </c>
      <c r="AO22" s="457">
        <v>31.21</v>
      </c>
      <c r="AP22" s="457">
        <v>30.8</v>
      </c>
      <c r="AQ22" s="457">
        <v>31.05</v>
      </c>
      <c r="AR22" s="457">
        <v>30.21</v>
      </c>
      <c r="AS22" s="754">
        <v>30.04</v>
      </c>
      <c r="AT22" s="751">
        <v>51.96</v>
      </c>
      <c r="AU22" s="457">
        <v>49.5</v>
      </c>
      <c r="AV22" s="457">
        <v>48.800000000000004</v>
      </c>
      <c r="AW22" s="457">
        <v>48.45</v>
      </c>
      <c r="AX22" s="457">
        <v>48.1</v>
      </c>
      <c r="AY22" s="457">
        <v>48</v>
      </c>
      <c r="AZ22" s="754">
        <v>47.89</v>
      </c>
      <c r="BA22" s="751"/>
      <c r="BB22" s="457"/>
      <c r="BC22" s="457"/>
      <c r="BD22" s="457"/>
      <c r="BE22" s="457"/>
      <c r="BF22" s="457"/>
      <c r="BG22" s="754"/>
      <c r="BH22" s="189"/>
      <c r="BI22" s="189"/>
      <c r="BJ22" s="189"/>
      <c r="BK22" s="189"/>
      <c r="BL22" s="189"/>
      <c r="BM22" s="189"/>
      <c r="BN22" s="189"/>
    </row>
    <row r="23" spans="1:66" x14ac:dyDescent="0.25">
      <c r="A23" s="848" t="s">
        <v>2908</v>
      </c>
      <c r="B23" s="848"/>
      <c r="C23" s="848"/>
      <c r="D23" s="848"/>
      <c r="E23" s="848"/>
      <c r="F23" s="848"/>
      <c r="G23" s="848"/>
      <c r="H23" s="848"/>
      <c r="I23" s="848"/>
      <c r="J23" s="848"/>
      <c r="K23" s="848"/>
      <c r="M23" s="879" t="s">
        <v>2916</v>
      </c>
      <c r="N23" s="879"/>
      <c r="O23" s="879"/>
      <c r="P23" s="879"/>
      <c r="Q23" s="879"/>
      <c r="R23" s="879"/>
      <c r="S23" s="879"/>
      <c r="U23" s="879" t="s">
        <v>2958</v>
      </c>
      <c r="V23" s="879"/>
      <c r="W23" s="879"/>
      <c r="X23" s="879"/>
      <c r="Y23" s="879"/>
      <c r="Z23" s="879"/>
      <c r="AA23" s="879"/>
      <c r="AC23" s="910"/>
      <c r="AD23" s="910"/>
      <c r="AE23" t="s">
        <v>1028</v>
      </c>
      <c r="AF23" s="751">
        <v>31.11</v>
      </c>
      <c r="AG23" s="457">
        <v>30.5</v>
      </c>
      <c r="AH23" s="457">
        <v>30.05</v>
      </c>
      <c r="AI23" s="457">
        <v>29.82</v>
      </c>
      <c r="AJ23" s="457">
        <v>29.59</v>
      </c>
      <c r="AK23" s="457">
        <v>29.44</v>
      </c>
      <c r="AL23" s="754">
        <v>29.28</v>
      </c>
      <c r="AM23" s="751">
        <v>36.72</v>
      </c>
      <c r="AN23" s="457">
        <v>34.72</v>
      </c>
      <c r="AO23" s="457">
        <v>33.380000000000003</v>
      </c>
      <c r="AP23" s="457">
        <v>32.880000000000003</v>
      </c>
      <c r="AQ23" s="457">
        <v>32.380000000000003</v>
      </c>
      <c r="AR23" s="457">
        <v>32.21</v>
      </c>
      <c r="AS23" s="754">
        <v>32.049999999999997</v>
      </c>
      <c r="AT23" s="751">
        <v>54.77</v>
      </c>
      <c r="AU23" s="457">
        <v>53.02</v>
      </c>
      <c r="AV23" s="457">
        <v>51.61</v>
      </c>
      <c r="AW23" s="457">
        <v>50.730000000000004</v>
      </c>
      <c r="AX23" s="457">
        <v>49.86</v>
      </c>
      <c r="AY23" s="457">
        <v>49.5</v>
      </c>
      <c r="AZ23" s="754">
        <v>49.15</v>
      </c>
      <c r="BA23" s="751">
        <v>28.07</v>
      </c>
      <c r="BB23" s="457">
        <v>28.07</v>
      </c>
      <c r="BC23" s="457">
        <v>28.07</v>
      </c>
      <c r="BD23" s="457">
        <v>28.07</v>
      </c>
      <c r="BE23" s="457">
        <v>28.07</v>
      </c>
      <c r="BF23" s="457">
        <v>28.07</v>
      </c>
      <c r="BG23" s="754">
        <v>28.07</v>
      </c>
      <c r="BH23" s="189">
        <v>28.07</v>
      </c>
      <c r="BI23" s="189">
        <v>28.07</v>
      </c>
      <c r="BJ23" s="189">
        <v>28.07</v>
      </c>
      <c r="BK23" s="189">
        <v>28.07</v>
      </c>
      <c r="BL23" s="189">
        <v>28.07</v>
      </c>
      <c r="BM23" s="189">
        <v>28.07</v>
      </c>
      <c r="BN23" s="189">
        <v>28.07</v>
      </c>
    </row>
    <row r="24" spans="1:66" ht="15.75" thickBot="1" x14ac:dyDescent="0.3">
      <c r="A24" s="83" t="s">
        <v>1223</v>
      </c>
      <c r="B24" s="83" t="s">
        <v>82</v>
      </c>
      <c r="C24" s="83" t="s">
        <v>83</v>
      </c>
      <c r="D24" s="83" t="s">
        <v>166</v>
      </c>
      <c r="E24" s="83">
        <v>2021</v>
      </c>
      <c r="F24" s="83">
        <v>2025</v>
      </c>
      <c r="G24" s="83">
        <v>2030</v>
      </c>
      <c r="H24" s="83">
        <v>2035</v>
      </c>
      <c r="I24" s="83">
        <v>2040</v>
      </c>
      <c r="J24" s="83">
        <v>2045</v>
      </c>
      <c r="K24" s="83">
        <v>2050</v>
      </c>
      <c r="M24" s="83">
        <v>2021</v>
      </c>
      <c r="N24" s="83">
        <v>2025</v>
      </c>
      <c r="O24" s="83">
        <v>2030</v>
      </c>
      <c r="P24" s="83">
        <v>2035</v>
      </c>
      <c r="Q24" s="83">
        <v>2040</v>
      </c>
      <c r="R24" s="83">
        <v>2045</v>
      </c>
      <c r="S24" s="83">
        <v>2050</v>
      </c>
      <c r="U24" s="83">
        <v>2021</v>
      </c>
      <c r="V24" s="83">
        <v>2025</v>
      </c>
      <c r="W24" s="83">
        <v>2030</v>
      </c>
      <c r="X24" s="83">
        <v>2035</v>
      </c>
      <c r="Y24" s="83">
        <v>2040</v>
      </c>
      <c r="Z24" s="83">
        <v>2045</v>
      </c>
      <c r="AA24" s="83">
        <v>2050</v>
      </c>
      <c r="AC24" s="910"/>
      <c r="AD24" s="910"/>
      <c r="AE24" t="s">
        <v>682</v>
      </c>
      <c r="AF24" s="751">
        <v>36.6</v>
      </c>
      <c r="AG24" s="457">
        <v>35.08</v>
      </c>
      <c r="AH24" s="457">
        <v>34.160000000000004</v>
      </c>
      <c r="AI24" s="457">
        <v>33.549999999999997</v>
      </c>
      <c r="AJ24" s="457">
        <v>32.94</v>
      </c>
      <c r="AK24" s="457">
        <v>32.64</v>
      </c>
      <c r="AL24" s="754">
        <v>32.33</v>
      </c>
      <c r="AM24" s="751">
        <v>42.730000000000004</v>
      </c>
      <c r="AN24" s="457">
        <v>39.39</v>
      </c>
      <c r="AO24" s="457">
        <v>37.050000000000004</v>
      </c>
      <c r="AP24" s="457">
        <v>36.050000000000004</v>
      </c>
      <c r="AQ24" s="457">
        <v>35.050000000000004</v>
      </c>
      <c r="AR24" s="457">
        <v>34.72</v>
      </c>
      <c r="AS24" s="754">
        <v>34.380000000000003</v>
      </c>
      <c r="AT24" s="751">
        <v>56.18</v>
      </c>
      <c r="AU24" s="457">
        <v>54.77</v>
      </c>
      <c r="AV24" s="457">
        <v>53.370000000000005</v>
      </c>
      <c r="AW24" s="457">
        <v>52.84</v>
      </c>
      <c r="AX24" s="457">
        <v>52.31</v>
      </c>
      <c r="AY24" s="457">
        <v>52.14</v>
      </c>
      <c r="AZ24" s="754">
        <v>51.96</v>
      </c>
      <c r="BA24" s="751"/>
      <c r="BB24" s="457"/>
      <c r="BC24" s="457"/>
      <c r="BD24" s="457"/>
      <c r="BE24" s="457"/>
      <c r="BF24" s="457"/>
      <c r="BG24" s="754"/>
      <c r="BH24" s="189"/>
      <c r="BI24" s="189"/>
      <c r="BJ24" s="189"/>
      <c r="BK24" s="189"/>
      <c r="BL24" s="189"/>
      <c r="BM24" s="189"/>
      <c r="BN24" s="189"/>
    </row>
    <row r="25" spans="1:66" ht="15.75" thickTop="1" x14ac:dyDescent="0.25">
      <c r="A25" t="s">
        <v>2873</v>
      </c>
      <c r="B25" t="s">
        <v>2874</v>
      </c>
      <c r="C25" t="s">
        <v>2875</v>
      </c>
      <c r="D25" t="s">
        <v>2876</v>
      </c>
      <c r="E25" s="267">
        <v>0.81893074581430736</v>
      </c>
      <c r="F25" s="267">
        <v>0.79720298906752707</v>
      </c>
      <c r="G25" s="267">
        <v>0.77085216368543485</v>
      </c>
      <c r="H25" s="267">
        <v>0.74537234105651806</v>
      </c>
      <c r="I25" s="267">
        <v>0.72073473097079133</v>
      </c>
      <c r="J25" s="267">
        <v>0.696911494852679</v>
      </c>
      <c r="K25" s="267">
        <v>0.67387571430559901</v>
      </c>
      <c r="M25" s="267">
        <f t="shared" ref="M25:M43" si="14">E25*USD2021_to_CAD2020</f>
        <v>0.95340201829296378</v>
      </c>
      <c r="N25" s="267">
        <f t="shared" ref="N25:N43" si="15">F25*USD2021_to_CAD2020</f>
        <v>0.92810648843132626</v>
      </c>
      <c r="O25" s="267">
        <f t="shared" ref="O25:O43" si="16">G25*USD2021_to_CAD2020</f>
        <v>0.89742876600927812</v>
      </c>
      <c r="P25" s="267">
        <f t="shared" ref="P25:P43" si="17">H25*USD2021_to_CAD2020</f>
        <v>0.86776506801733055</v>
      </c>
      <c r="Q25" s="267">
        <f t="shared" ref="Q25:Q43" si="18">I25*USD2021_to_CAD2020</f>
        <v>0.8390818767930347</v>
      </c>
      <c r="R25" s="267">
        <f t="shared" ref="R25:R43" si="19">J25*USD2021_to_CAD2020</f>
        <v>0.81134678257002657</v>
      </c>
      <c r="S25" s="267">
        <f t="shared" ref="S25:S43" si="20">K25*USD2021_to_CAD2020</f>
        <v>0.78452844685752199</v>
      </c>
      <c r="U25" s="762">
        <f t="shared" ref="U25:U43" si="21">M25*GWy_PJ</f>
        <v>30.066486048886908</v>
      </c>
      <c r="V25" s="762">
        <f t="shared" ref="V25:V43" si="22">N25*GWy_PJ</f>
        <v>29.268766219170306</v>
      </c>
      <c r="W25" s="762">
        <f t="shared" ref="W25:W43" si="23">O25*GWy_PJ</f>
        <v>28.301313564868597</v>
      </c>
      <c r="X25" s="762">
        <f t="shared" ref="X25:X43" si="24">P25*GWy_PJ</f>
        <v>27.365839184994538</v>
      </c>
      <c r="Y25" s="762">
        <f t="shared" ref="Y25:Y43" si="25">Q25*GWy_PJ</f>
        <v>26.461286066545142</v>
      </c>
      <c r="Z25" s="762">
        <f t="shared" ref="Z25:Z43" si="26">R25*GWy_PJ</f>
        <v>25.586632135128358</v>
      </c>
      <c r="AA25" s="762">
        <f t="shared" ref="AA25:AA43" si="27">S25*GWy_PJ</f>
        <v>24.740889100098816</v>
      </c>
      <c r="AC25" s="910" t="s">
        <v>2947</v>
      </c>
      <c r="AD25" s="910" t="s">
        <v>2948</v>
      </c>
      <c r="AE25" t="s">
        <v>680</v>
      </c>
      <c r="AF25" s="751">
        <v>3.3E-3</v>
      </c>
      <c r="AG25" s="457">
        <v>3.1000000000000003E-3</v>
      </c>
      <c r="AH25" s="457">
        <v>2.9000000000000002E-3</v>
      </c>
      <c r="AI25" s="457">
        <v>2.8E-3</v>
      </c>
      <c r="AJ25" s="457">
        <v>2.8E-3</v>
      </c>
      <c r="AK25" s="457">
        <v>2.8E-3</v>
      </c>
      <c r="AL25" s="754">
        <v>2.8E-3</v>
      </c>
      <c r="AM25" s="751">
        <v>2.9000000000000002E-3</v>
      </c>
      <c r="AN25" s="457">
        <v>2.6000000000000003E-3</v>
      </c>
      <c r="AO25" s="457">
        <v>2.3E-3</v>
      </c>
      <c r="AP25" s="457">
        <v>2.2000000000000001E-3</v>
      </c>
      <c r="AQ25" s="457">
        <v>2.1000000000000003E-3</v>
      </c>
      <c r="AR25" s="457">
        <v>2.1000000000000003E-3</v>
      </c>
      <c r="AS25" s="754">
        <v>2.1000000000000003E-3</v>
      </c>
      <c r="AT25" s="751">
        <v>7.9000000000000008E-3</v>
      </c>
      <c r="AU25" s="457">
        <v>7.0000000000000001E-3</v>
      </c>
      <c r="AV25" s="457">
        <v>6.4000000000000003E-3</v>
      </c>
      <c r="AW25" s="457">
        <v>6.1000000000000004E-3</v>
      </c>
      <c r="AX25" s="457">
        <v>5.7000000000000002E-3</v>
      </c>
      <c r="AY25" s="457">
        <v>5.7000000000000002E-3</v>
      </c>
      <c r="AZ25" s="754">
        <v>5.7000000000000002E-3</v>
      </c>
      <c r="BA25" s="751"/>
      <c r="BB25" s="457"/>
      <c r="BC25" s="457"/>
      <c r="BD25" s="457"/>
      <c r="BE25" s="457"/>
      <c r="BF25" s="457"/>
      <c r="BG25" s="754"/>
      <c r="BH25" s="189"/>
      <c r="BI25" s="189"/>
      <c r="BJ25" s="189"/>
      <c r="BK25" s="189"/>
      <c r="BL25" s="189"/>
      <c r="BM25" s="189"/>
      <c r="BN25" s="189"/>
    </row>
    <row r="26" spans="1:66" x14ac:dyDescent="0.25">
      <c r="B26" t="s">
        <v>2877</v>
      </c>
      <c r="C26" t="s">
        <v>2875</v>
      </c>
      <c r="D26" t="s">
        <v>2876</v>
      </c>
      <c r="E26" s="267">
        <v>1.3582033231861996</v>
      </c>
      <c r="F26" s="267">
        <v>1.3371389790249297</v>
      </c>
      <c r="G26" s="267">
        <v>1.311267356140672</v>
      </c>
      <c r="H26" s="267">
        <v>1.2858963101457015</v>
      </c>
      <c r="I26" s="267">
        <v>1.2610161556320636</v>
      </c>
      <c r="J26" s="267">
        <v>1.2366173945898424</v>
      </c>
      <c r="K26" s="267">
        <v>1.2126907127812903</v>
      </c>
      <c r="M26" s="267">
        <f t="shared" si="14"/>
        <v>1.5812250256770248</v>
      </c>
      <c r="N26" s="267">
        <f t="shared" si="15"/>
        <v>1.5567018430513646</v>
      </c>
      <c r="O26" s="267">
        <f t="shared" si="16"/>
        <v>1.5265820098414893</v>
      </c>
      <c r="P26" s="267">
        <f t="shared" si="17"/>
        <v>1.497044949984546</v>
      </c>
      <c r="Q26" s="267">
        <f t="shared" si="18"/>
        <v>1.4680793876949578</v>
      </c>
      <c r="R26" s="267">
        <f t="shared" si="19"/>
        <v>1.4396742653565959</v>
      </c>
      <c r="S26" s="267">
        <f t="shared" si="20"/>
        <v>1.4118187393015273</v>
      </c>
      <c r="U26" s="762">
        <f t="shared" si="21"/>
        <v>49.865512409750657</v>
      </c>
      <c r="V26" s="762">
        <f t="shared" si="22"/>
        <v>49.092149322467833</v>
      </c>
      <c r="W26" s="762">
        <f t="shared" si="23"/>
        <v>48.142290262361207</v>
      </c>
      <c r="X26" s="762">
        <f t="shared" si="24"/>
        <v>47.210809542712646</v>
      </c>
      <c r="Y26" s="762">
        <f t="shared" si="25"/>
        <v>46.297351570348191</v>
      </c>
      <c r="Z26" s="762">
        <f t="shared" si="26"/>
        <v>45.401567632285612</v>
      </c>
      <c r="AA26" s="762">
        <f t="shared" si="27"/>
        <v>44.523115762612967</v>
      </c>
      <c r="AC26" s="910"/>
      <c r="AD26" s="910"/>
      <c r="AE26" t="s">
        <v>1028</v>
      </c>
      <c r="AF26" s="751">
        <v>4.5000000000000005E-3</v>
      </c>
      <c r="AG26" s="457">
        <v>4.3E-3</v>
      </c>
      <c r="AH26" s="457">
        <v>4.2000000000000006E-3</v>
      </c>
      <c r="AI26" s="457">
        <v>4.1000000000000003E-3</v>
      </c>
      <c r="AJ26" s="457">
        <v>4.0000000000000001E-3</v>
      </c>
      <c r="AK26" s="457">
        <v>4.0000000000000001E-3</v>
      </c>
      <c r="AL26" s="754">
        <v>4.0000000000000001E-3</v>
      </c>
      <c r="AM26" s="751">
        <v>3.9000000000000003E-3</v>
      </c>
      <c r="AN26" s="457">
        <v>3.5000000000000001E-3</v>
      </c>
      <c r="AO26" s="457">
        <v>3.1000000000000003E-3</v>
      </c>
      <c r="AP26" s="457">
        <v>3.0000000000000001E-3</v>
      </c>
      <c r="AQ26" s="457">
        <v>2.9000000000000002E-3</v>
      </c>
      <c r="AR26" s="457">
        <v>2.9000000000000002E-3</v>
      </c>
      <c r="AS26" s="754">
        <v>2.9000000000000002E-3</v>
      </c>
      <c r="AT26" s="751">
        <v>1.1900000000000001E-2</v>
      </c>
      <c r="AU26" s="457">
        <v>1.0400000000000001E-2</v>
      </c>
      <c r="AV26" s="457">
        <v>9.0000000000000011E-3</v>
      </c>
      <c r="AW26" s="457">
        <v>8.3000000000000001E-3</v>
      </c>
      <c r="AX26" s="457">
        <v>7.6E-3</v>
      </c>
      <c r="AY26" s="457">
        <v>7.5000000000000006E-3</v>
      </c>
      <c r="AZ26" s="754">
        <v>7.5000000000000006E-3</v>
      </c>
      <c r="BA26" s="751">
        <v>1E-4</v>
      </c>
      <c r="BB26" s="457">
        <v>1E-4</v>
      </c>
      <c r="BC26" s="457">
        <v>1E-4</v>
      </c>
      <c r="BD26" s="457">
        <v>1E-4</v>
      </c>
      <c r="BE26" s="457">
        <v>1E-4</v>
      </c>
      <c r="BF26" s="457">
        <v>1E-4</v>
      </c>
      <c r="BG26" s="754">
        <v>1E-4</v>
      </c>
      <c r="BH26" s="189">
        <v>1E-4</v>
      </c>
      <c r="BI26" s="189">
        <v>1E-4</v>
      </c>
      <c r="BJ26" s="189">
        <v>1E-4</v>
      </c>
      <c r="BK26" s="189">
        <v>1E-4</v>
      </c>
      <c r="BL26" s="189">
        <v>1E-4</v>
      </c>
      <c r="BM26" s="189">
        <v>1E-4</v>
      </c>
      <c r="BN26" s="189">
        <v>1E-4</v>
      </c>
    </row>
    <row r="27" spans="1:66" x14ac:dyDescent="0.25">
      <c r="B27" t="s">
        <v>2878</v>
      </c>
      <c r="C27" t="s">
        <v>2875</v>
      </c>
      <c r="D27" t="s">
        <v>2879</v>
      </c>
      <c r="E27" s="267">
        <v>4.6296296296296298</v>
      </c>
      <c r="F27" s="267">
        <v>4.6296296296296298</v>
      </c>
      <c r="G27" s="267">
        <v>4.6296296296296298</v>
      </c>
      <c r="H27" s="267">
        <v>4.6296296296296298</v>
      </c>
      <c r="I27" s="267">
        <v>4.6296296296296298</v>
      </c>
      <c r="J27" s="267">
        <v>4.6296296296296298</v>
      </c>
      <c r="K27" s="267">
        <v>4.6296296296296298</v>
      </c>
      <c r="M27" s="267">
        <f t="shared" si="14"/>
        <v>5.3898308927805809</v>
      </c>
      <c r="N27" s="267">
        <f t="shared" si="15"/>
        <v>5.3898308927805809</v>
      </c>
      <c r="O27" s="267">
        <f t="shared" si="16"/>
        <v>5.3898308927805809</v>
      </c>
      <c r="P27" s="267">
        <f t="shared" si="17"/>
        <v>5.3898308927805809</v>
      </c>
      <c r="Q27" s="267">
        <f t="shared" si="18"/>
        <v>5.3898308927805809</v>
      </c>
      <c r="R27" s="267">
        <f t="shared" si="19"/>
        <v>5.3898308927805809</v>
      </c>
      <c r="S27" s="267">
        <f t="shared" si="20"/>
        <v>5.3898308927805809</v>
      </c>
      <c r="U27" s="743">
        <f t="shared" si="21"/>
        <v>169.97370703472842</v>
      </c>
      <c r="V27" s="743">
        <f t="shared" si="22"/>
        <v>169.97370703472842</v>
      </c>
      <c r="W27" s="743">
        <f t="shared" si="23"/>
        <v>169.97370703472842</v>
      </c>
      <c r="X27" s="743">
        <f t="shared" si="24"/>
        <v>169.97370703472842</v>
      </c>
      <c r="Y27" s="743">
        <f t="shared" si="25"/>
        <v>169.97370703472842</v>
      </c>
      <c r="Z27" s="743">
        <f t="shared" si="26"/>
        <v>169.97370703472842</v>
      </c>
      <c r="AA27" s="743">
        <f t="shared" si="27"/>
        <v>169.97370703472842</v>
      </c>
      <c r="AC27" s="910"/>
      <c r="AD27" s="910"/>
      <c r="AE27" t="s">
        <v>682</v>
      </c>
      <c r="AF27" s="751">
        <v>6.8000000000000005E-3</v>
      </c>
      <c r="AG27" s="457">
        <v>6.4000000000000003E-3</v>
      </c>
      <c r="AH27" s="457">
        <v>6.1000000000000004E-3</v>
      </c>
      <c r="AI27" s="457">
        <v>5.8999999999999999E-3</v>
      </c>
      <c r="AJ27" s="457">
        <v>5.8000000000000005E-3</v>
      </c>
      <c r="AK27" s="457">
        <v>5.7000000000000002E-3</v>
      </c>
      <c r="AL27" s="754">
        <v>5.7000000000000002E-3</v>
      </c>
      <c r="AM27" s="751">
        <v>8.8999999999999999E-3</v>
      </c>
      <c r="AN27" s="457">
        <v>7.6E-3</v>
      </c>
      <c r="AO27" s="457">
        <v>6.5000000000000006E-3</v>
      </c>
      <c r="AP27" s="457">
        <v>6.2000000000000006E-3</v>
      </c>
      <c r="AQ27" s="457">
        <v>5.8000000000000005E-3</v>
      </c>
      <c r="AR27" s="457">
        <v>5.7000000000000002E-3</v>
      </c>
      <c r="AS27" s="754">
        <v>5.7000000000000002E-3</v>
      </c>
      <c r="AT27" s="751">
        <v>2.01E-2</v>
      </c>
      <c r="AU27" s="457">
        <v>1.78E-2</v>
      </c>
      <c r="AV27" s="457">
        <v>1.5600000000000001E-2</v>
      </c>
      <c r="AW27" s="457">
        <v>1.49E-2</v>
      </c>
      <c r="AX27" s="457">
        <v>1.4200000000000001E-2</v>
      </c>
      <c r="AY27" s="457">
        <v>1.4200000000000001E-2</v>
      </c>
      <c r="AZ27" s="754">
        <v>1.4100000000000001E-2</v>
      </c>
      <c r="BA27" s="751"/>
      <c r="BB27" s="457"/>
      <c r="BC27" s="457"/>
      <c r="BD27" s="457"/>
      <c r="BE27" s="457"/>
      <c r="BF27" s="457"/>
      <c r="BG27" s="754"/>
      <c r="BH27" s="189"/>
      <c r="BI27" s="189"/>
      <c r="BJ27" s="189"/>
      <c r="BK27" s="189"/>
      <c r="BL27" s="189"/>
      <c r="BM27" s="189"/>
      <c r="BN27" s="189"/>
    </row>
    <row r="28" spans="1:66" x14ac:dyDescent="0.25">
      <c r="B28" t="s">
        <v>2880</v>
      </c>
      <c r="C28" t="s">
        <v>2875</v>
      </c>
      <c r="D28" t="s">
        <v>2904</v>
      </c>
      <c r="E28" s="267">
        <v>7.3883815322171484</v>
      </c>
      <c r="F28" s="267">
        <v>7.3883815322171484</v>
      </c>
      <c r="G28" s="267">
        <v>7.3883815322171484</v>
      </c>
      <c r="H28" s="267">
        <v>7.3883815322171484</v>
      </c>
      <c r="I28" s="267">
        <v>7.3883815322171484</v>
      </c>
      <c r="J28" s="267">
        <v>7.3883815322171484</v>
      </c>
      <c r="K28" s="267">
        <v>7.3883815322171484</v>
      </c>
      <c r="M28" s="267">
        <f t="shared" si="14"/>
        <v>8.6015794384785984</v>
      </c>
      <c r="N28" s="267">
        <f t="shared" si="15"/>
        <v>8.6015794384785984</v>
      </c>
      <c r="O28" s="267">
        <f t="shared" si="16"/>
        <v>8.6015794384785984</v>
      </c>
      <c r="P28" s="267">
        <f t="shared" si="17"/>
        <v>8.6015794384785984</v>
      </c>
      <c r="Q28" s="267">
        <f t="shared" si="18"/>
        <v>8.6015794384785984</v>
      </c>
      <c r="R28" s="267">
        <f t="shared" si="19"/>
        <v>8.6015794384785984</v>
      </c>
      <c r="S28" s="267">
        <f t="shared" si="20"/>
        <v>8.6015794384785984</v>
      </c>
      <c r="U28" s="743">
        <f t="shared" si="21"/>
        <v>271.25940917186108</v>
      </c>
      <c r="V28" s="743">
        <f t="shared" si="22"/>
        <v>271.25940917186108</v>
      </c>
      <c r="W28" s="743">
        <f t="shared" si="23"/>
        <v>271.25940917186108</v>
      </c>
      <c r="X28" s="743">
        <f t="shared" si="24"/>
        <v>271.25940917186108</v>
      </c>
      <c r="Y28" s="743">
        <f t="shared" si="25"/>
        <v>271.25940917186108</v>
      </c>
      <c r="Z28" s="743">
        <f t="shared" si="26"/>
        <v>271.25940917186108</v>
      </c>
      <c r="AA28" s="743">
        <f t="shared" si="27"/>
        <v>271.25940917186108</v>
      </c>
      <c r="AC28" s="194" t="s">
        <v>2949</v>
      </c>
      <c r="AD28" s="194" t="s">
        <v>2932</v>
      </c>
      <c r="AE28" s="194"/>
      <c r="AF28" s="757">
        <v>0.1</v>
      </c>
      <c r="AG28" s="758">
        <v>0.1</v>
      </c>
      <c r="AH28" s="758">
        <v>0.1</v>
      </c>
      <c r="AI28" s="758">
        <v>0.1</v>
      </c>
      <c r="AJ28" s="758">
        <v>0.1</v>
      </c>
      <c r="AK28" s="758">
        <v>0.1</v>
      </c>
      <c r="AL28" s="759">
        <v>0.1</v>
      </c>
      <c r="AM28" s="757">
        <v>0.1</v>
      </c>
      <c r="AN28" s="758">
        <v>0.1</v>
      </c>
      <c r="AO28" s="758">
        <v>0.1</v>
      </c>
      <c r="AP28" s="758">
        <v>0.1</v>
      </c>
      <c r="AQ28" s="758">
        <v>0.1</v>
      </c>
      <c r="AR28" s="758">
        <v>0.1</v>
      </c>
      <c r="AS28" s="759">
        <v>0.1</v>
      </c>
      <c r="AT28" s="757">
        <v>0.1</v>
      </c>
      <c r="AU28" s="758">
        <v>0.1</v>
      </c>
      <c r="AV28" s="758">
        <v>0.1</v>
      </c>
      <c r="AW28" s="758">
        <v>0.1</v>
      </c>
      <c r="AX28" s="758">
        <v>0.1</v>
      </c>
      <c r="AY28" s="758">
        <v>0.1</v>
      </c>
      <c r="AZ28" s="759">
        <v>0.1</v>
      </c>
      <c r="BA28" s="757">
        <v>0.1</v>
      </c>
      <c r="BB28" s="758">
        <v>0.1</v>
      </c>
      <c r="BC28" s="758">
        <v>0.1</v>
      </c>
      <c r="BD28" s="758">
        <v>0.1</v>
      </c>
      <c r="BE28" s="758">
        <v>0.1</v>
      </c>
      <c r="BF28" s="758">
        <v>0.1</v>
      </c>
      <c r="BG28" s="759">
        <v>0.1</v>
      </c>
      <c r="BH28" s="758">
        <v>0.1</v>
      </c>
      <c r="BI28" s="758">
        <v>0.1</v>
      </c>
      <c r="BJ28" s="758">
        <v>0.1</v>
      </c>
      <c r="BK28" s="758">
        <v>0.1</v>
      </c>
      <c r="BL28" s="758">
        <v>0.1</v>
      </c>
      <c r="BM28" s="758">
        <v>0.1</v>
      </c>
      <c r="BN28" s="758">
        <v>0.1</v>
      </c>
    </row>
    <row r="29" spans="1:66" x14ac:dyDescent="0.25">
      <c r="B29" t="s">
        <v>2881</v>
      </c>
      <c r="C29" t="s">
        <v>2875</v>
      </c>
      <c r="D29" t="s">
        <v>2879</v>
      </c>
      <c r="E29" s="267">
        <v>9.6714865550481992</v>
      </c>
      <c r="F29" s="267">
        <v>9.6714865550481992</v>
      </c>
      <c r="G29" s="267">
        <v>9.6714865550481992</v>
      </c>
      <c r="H29" s="267">
        <v>9.6714865550481992</v>
      </c>
      <c r="I29" s="267">
        <v>9.6714865550481992</v>
      </c>
      <c r="J29" s="267">
        <v>9.6714865550481992</v>
      </c>
      <c r="K29" s="267">
        <v>9.6714865550481992</v>
      </c>
      <c r="M29" s="267">
        <f t="shared" si="14"/>
        <v>11.259578234918337</v>
      </c>
      <c r="N29" s="267">
        <f t="shared" si="15"/>
        <v>11.259578234918337</v>
      </c>
      <c r="O29" s="267">
        <f t="shared" si="16"/>
        <v>11.259578234918337</v>
      </c>
      <c r="P29" s="267">
        <f t="shared" si="17"/>
        <v>11.259578234918337</v>
      </c>
      <c r="Q29" s="267">
        <f t="shared" si="18"/>
        <v>11.259578234918337</v>
      </c>
      <c r="R29" s="267">
        <f t="shared" si="19"/>
        <v>11.259578234918337</v>
      </c>
      <c r="S29" s="267">
        <f t="shared" si="20"/>
        <v>11.259578234918337</v>
      </c>
      <c r="U29" s="743">
        <f t="shared" si="21"/>
        <v>355.08205921638466</v>
      </c>
      <c r="V29" s="743">
        <f t="shared" si="22"/>
        <v>355.08205921638466</v>
      </c>
      <c r="W29" s="743">
        <f t="shared" si="23"/>
        <v>355.08205921638466</v>
      </c>
      <c r="X29" s="743">
        <f t="shared" si="24"/>
        <v>355.08205921638466</v>
      </c>
      <c r="Y29" s="743">
        <f t="shared" si="25"/>
        <v>355.08205921638466</v>
      </c>
      <c r="Z29" s="743">
        <f t="shared" si="26"/>
        <v>355.08205921638466</v>
      </c>
      <c r="AA29" s="743">
        <f t="shared" si="27"/>
        <v>355.08205921638466</v>
      </c>
      <c r="AC29" s="58" t="s">
        <v>2951</v>
      </c>
    </row>
    <row r="30" spans="1:66" x14ac:dyDescent="0.25">
      <c r="B30" t="s">
        <v>2882</v>
      </c>
      <c r="C30" t="s">
        <v>2875</v>
      </c>
      <c r="D30" t="s">
        <v>2883</v>
      </c>
      <c r="E30" s="267">
        <v>0.98649162861491624</v>
      </c>
      <c r="F30" s="267">
        <v>0.97823116497863349</v>
      </c>
      <c r="G30" s="267">
        <v>0.96800278724182898</v>
      </c>
      <c r="H30" s="267">
        <v>0.95788135734605828</v>
      </c>
      <c r="I30" s="267">
        <v>0.94786575704549703</v>
      </c>
      <c r="J30" s="267">
        <v>0.93795487978668923</v>
      </c>
      <c r="K30" s="267">
        <v>0.92814763058629524</v>
      </c>
      <c r="M30" s="267">
        <f t="shared" si="14"/>
        <v>1.1484769799616703</v>
      </c>
      <c r="N30" s="267">
        <f t="shared" si="15"/>
        <v>1.1388601195090364</v>
      </c>
      <c r="O30" s="267">
        <f t="shared" si="16"/>
        <v>1.1269522066263229</v>
      </c>
      <c r="P30" s="267">
        <f t="shared" si="17"/>
        <v>1.1151688027915541</v>
      </c>
      <c r="Q30" s="267">
        <f t="shared" si="18"/>
        <v>1.1035086061390571</v>
      </c>
      <c r="R30" s="267">
        <f t="shared" si="19"/>
        <v>1.0919703284154563</v>
      </c>
      <c r="S30" s="267">
        <f t="shared" si="20"/>
        <v>1.0805526948373443</v>
      </c>
      <c r="U30" s="762">
        <f t="shared" si="21"/>
        <v>36.218370040071235</v>
      </c>
      <c r="V30" s="762">
        <f t="shared" si="22"/>
        <v>35.915092728836974</v>
      </c>
      <c r="W30" s="762">
        <f t="shared" si="23"/>
        <v>35.539564788167723</v>
      </c>
      <c r="X30" s="762">
        <f t="shared" si="24"/>
        <v>35.167963364834449</v>
      </c>
      <c r="Y30" s="762">
        <f t="shared" si="25"/>
        <v>34.800247403201304</v>
      </c>
      <c r="Z30" s="762">
        <f t="shared" si="26"/>
        <v>34.436376276909833</v>
      </c>
      <c r="AA30" s="762">
        <f t="shared" si="27"/>
        <v>34.076309784390489</v>
      </c>
    </row>
    <row r="31" spans="1:66" x14ac:dyDescent="0.25">
      <c r="B31" t="s">
        <v>2884</v>
      </c>
      <c r="C31" t="s">
        <v>2875</v>
      </c>
      <c r="D31" t="s">
        <v>2883</v>
      </c>
      <c r="E31" s="267">
        <v>1.1643835616438356</v>
      </c>
      <c r="F31" s="267">
        <v>1.1426469950911953</v>
      </c>
      <c r="G31" s="267">
        <v>1.1160460178826339</v>
      </c>
      <c r="H31" s="267">
        <v>1.0900643150356994</v>
      </c>
      <c r="I31" s="267">
        <v>1.0646874697591608</v>
      </c>
      <c r="J31" s="267">
        <v>1.0399014008866441</v>
      </c>
      <c r="K31" s="267">
        <v>1.0156923550632408</v>
      </c>
      <c r="M31" s="267">
        <f t="shared" si="14"/>
        <v>1.3555793861842667</v>
      </c>
      <c r="N31" s="267">
        <f t="shared" si="15"/>
        <v>1.3302735999160518</v>
      </c>
      <c r="O31" s="267">
        <f t="shared" si="16"/>
        <v>1.2993046498688909</v>
      </c>
      <c r="P31" s="267">
        <f t="shared" si="17"/>
        <v>1.2690566611841771</v>
      </c>
      <c r="Q31" s="267">
        <f t="shared" si="18"/>
        <v>1.2395128497834922</v>
      </c>
      <c r="R31" s="267">
        <f t="shared" si="19"/>
        <v>1.2106568223240417</v>
      </c>
      <c r="S31" s="267">
        <f t="shared" si="20"/>
        <v>1.1824725671022782</v>
      </c>
      <c r="U31" s="762">
        <f t="shared" si="21"/>
        <v>42.749551522707037</v>
      </c>
      <c r="V31" s="762">
        <f t="shared" si="22"/>
        <v>41.951508246952613</v>
      </c>
      <c r="W31" s="762">
        <f t="shared" si="23"/>
        <v>40.974871438265346</v>
      </c>
      <c r="X31" s="762">
        <f t="shared" si="24"/>
        <v>40.020970867104211</v>
      </c>
      <c r="Y31" s="762">
        <f t="shared" si="25"/>
        <v>39.089277230772211</v>
      </c>
      <c r="Z31" s="762">
        <f t="shared" si="26"/>
        <v>38.179273548810983</v>
      </c>
      <c r="AA31" s="762">
        <f t="shared" si="27"/>
        <v>37.290454876137446</v>
      </c>
      <c r="AF31" s="879" t="s">
        <v>2914</v>
      </c>
      <c r="AG31" s="879"/>
      <c r="AH31" s="879"/>
      <c r="AI31" s="879"/>
      <c r="AJ31" s="879"/>
      <c r="AK31" s="879"/>
      <c r="AL31" s="879"/>
      <c r="AM31" s="879" t="s">
        <v>2914</v>
      </c>
      <c r="AN31" s="879"/>
      <c r="AO31" s="879"/>
      <c r="AP31" s="879"/>
      <c r="AQ31" s="879"/>
      <c r="AR31" s="879"/>
      <c r="AS31" s="879"/>
      <c r="AT31" s="879" t="s">
        <v>2914</v>
      </c>
      <c r="AU31" s="879"/>
      <c r="AV31" s="879"/>
      <c r="AW31" s="879"/>
      <c r="AX31" s="879"/>
      <c r="AY31" s="879"/>
      <c r="AZ31" s="879"/>
      <c r="BA31" s="879" t="s">
        <v>2914</v>
      </c>
      <c r="BB31" s="879"/>
      <c r="BC31" s="879"/>
      <c r="BD31" s="879"/>
      <c r="BE31" s="879"/>
      <c r="BF31" s="879"/>
      <c r="BG31" s="879"/>
      <c r="BH31" s="879" t="s">
        <v>2914</v>
      </c>
      <c r="BI31" s="879"/>
      <c r="BJ31" s="879"/>
      <c r="BK31" s="879"/>
      <c r="BL31" s="879"/>
      <c r="BM31" s="879"/>
      <c r="BN31" s="879"/>
    </row>
    <row r="32" spans="1:66" ht="15.75" thickBot="1" x14ac:dyDescent="0.3">
      <c r="B32" t="s">
        <v>2885</v>
      </c>
      <c r="C32" t="s">
        <v>2875</v>
      </c>
      <c r="D32" t="s">
        <v>2883</v>
      </c>
      <c r="E32" s="267">
        <v>1.7367453069507863</v>
      </c>
      <c r="F32" s="267">
        <v>1.710977685775543</v>
      </c>
      <c r="G32" s="267">
        <v>1.6793051122911253</v>
      </c>
      <c r="H32" s="267">
        <v>1.6482188421346036</v>
      </c>
      <c r="I32" s="267">
        <v>1.6177080220170124</v>
      </c>
      <c r="J32" s="267">
        <v>1.5877619995588401</v>
      </c>
      <c r="K32" s="267">
        <v>1.5583703195709164</v>
      </c>
      <c r="M32" s="267">
        <f t="shared" si="14"/>
        <v>2.0219249177917287</v>
      </c>
      <c r="N32" s="267">
        <f t="shared" si="15"/>
        <v>1.9919261637326693</v>
      </c>
      <c r="O32" s="267">
        <f t="shared" si="16"/>
        <v>1.955052843688311</v>
      </c>
      <c r="P32" s="267">
        <f t="shared" si="17"/>
        <v>1.918862100014427</v>
      </c>
      <c r="Q32" s="267">
        <f t="shared" si="18"/>
        <v>1.8833412972743124</v>
      </c>
      <c r="R32" s="267">
        <f t="shared" si="19"/>
        <v>1.8484780339307456</v>
      </c>
      <c r="S32" s="267">
        <f t="shared" si="20"/>
        <v>1.8142601380161849</v>
      </c>
      <c r="U32" s="743">
        <f t="shared" si="21"/>
        <v>63.763424207479957</v>
      </c>
      <c r="V32" s="743">
        <f t="shared" si="22"/>
        <v>62.817383499473465</v>
      </c>
      <c r="W32" s="743">
        <f t="shared" si="23"/>
        <v>61.654546478554579</v>
      </c>
      <c r="X32" s="743">
        <f t="shared" si="24"/>
        <v>60.51323518605497</v>
      </c>
      <c r="Y32" s="743">
        <f t="shared" si="25"/>
        <v>59.393051150842716</v>
      </c>
      <c r="Z32" s="743">
        <f t="shared" si="26"/>
        <v>58.293603278039996</v>
      </c>
      <c r="AA32" s="743">
        <f t="shared" si="27"/>
        <v>57.214507712478408</v>
      </c>
      <c r="AE32" s="105" t="s">
        <v>2953</v>
      </c>
      <c r="AF32" s="83">
        <v>2021</v>
      </c>
      <c r="AG32" s="83">
        <v>2025</v>
      </c>
      <c r="AH32" s="83">
        <v>2030</v>
      </c>
      <c r="AI32" s="83">
        <v>2035</v>
      </c>
      <c r="AJ32" s="83">
        <v>2040</v>
      </c>
      <c r="AK32" s="83">
        <v>2045</v>
      </c>
      <c r="AL32" s="105">
        <v>2050</v>
      </c>
      <c r="AM32" s="83">
        <v>2021</v>
      </c>
      <c r="AN32" s="83">
        <v>2025</v>
      </c>
      <c r="AO32" s="83">
        <v>2030</v>
      </c>
      <c r="AP32" s="83">
        <v>2035</v>
      </c>
      <c r="AQ32" s="83">
        <v>2040</v>
      </c>
      <c r="AR32" s="83">
        <v>2045</v>
      </c>
      <c r="AS32" s="105">
        <v>2050</v>
      </c>
      <c r="AT32" s="83">
        <v>2021</v>
      </c>
      <c r="AU32" s="83">
        <v>2025</v>
      </c>
      <c r="AV32" s="83">
        <v>2030</v>
      </c>
      <c r="AW32" s="83">
        <v>2035</v>
      </c>
      <c r="AX32" s="83">
        <v>2040</v>
      </c>
      <c r="AY32" s="83">
        <v>2045</v>
      </c>
      <c r="AZ32" s="105">
        <v>2050</v>
      </c>
      <c r="BA32" s="83">
        <v>2021</v>
      </c>
      <c r="BB32" s="83">
        <v>2025</v>
      </c>
      <c r="BC32" s="83">
        <v>2030</v>
      </c>
      <c r="BD32" s="83">
        <v>2035</v>
      </c>
      <c r="BE32" s="83">
        <v>2040</v>
      </c>
      <c r="BF32" s="83">
        <v>2045</v>
      </c>
      <c r="BG32" s="105">
        <v>2050</v>
      </c>
      <c r="BH32" s="83">
        <v>2021</v>
      </c>
      <c r="BI32" s="83">
        <v>2025</v>
      </c>
      <c r="BJ32" s="83">
        <v>2030</v>
      </c>
      <c r="BK32" s="83">
        <v>2035</v>
      </c>
      <c r="BL32" s="83">
        <v>2040</v>
      </c>
      <c r="BM32" s="83">
        <v>2045</v>
      </c>
      <c r="BN32" s="83">
        <v>2050</v>
      </c>
    </row>
    <row r="33" spans="1:66" ht="15.75" thickTop="1" x14ac:dyDescent="0.25">
      <c r="A33" t="s">
        <v>2886</v>
      </c>
      <c r="B33" t="s">
        <v>2887</v>
      </c>
      <c r="C33" t="s">
        <v>2888</v>
      </c>
      <c r="D33" t="s">
        <v>2889</v>
      </c>
      <c r="E33" s="267">
        <v>47.945205479452056</v>
      </c>
      <c r="F33" s="267">
        <v>44.367709934274977</v>
      </c>
      <c r="G33" s="267">
        <v>40.268856640754535</v>
      </c>
      <c r="H33" s="267">
        <v>36.548670588493344</v>
      </c>
      <c r="I33" s="267">
        <v>33.172169095913262</v>
      </c>
      <c r="J33" s="267">
        <v>30.107601311066571</v>
      </c>
      <c r="K33" s="267">
        <v>27.32614964325056</v>
      </c>
      <c r="M33" s="267">
        <f t="shared" si="14"/>
        <v>55.817974725234507</v>
      </c>
      <c r="N33" s="267">
        <f t="shared" si="15"/>
        <v>51.65304198746756</v>
      </c>
      <c r="O33" s="267">
        <f t="shared" si="16"/>
        <v>46.881142748486909</v>
      </c>
      <c r="P33" s="267">
        <f t="shared" si="17"/>
        <v>42.550089226831247</v>
      </c>
      <c r="Q33" s="267">
        <f t="shared" si="18"/>
        <v>38.619154463118029</v>
      </c>
      <c r="R33" s="267">
        <f t="shared" si="19"/>
        <v>35.051374005244064</v>
      </c>
      <c r="S33" s="267">
        <f t="shared" si="20"/>
        <v>31.813198314034373</v>
      </c>
      <c r="U33" s="743">
        <f t="shared" si="21"/>
        <v>1760.2756509349954</v>
      </c>
      <c r="V33" s="743">
        <f t="shared" si="22"/>
        <v>1628.930332116777</v>
      </c>
      <c r="W33" s="743">
        <f t="shared" si="23"/>
        <v>1478.4437177162831</v>
      </c>
      <c r="X33" s="743">
        <f t="shared" si="24"/>
        <v>1341.8596138573503</v>
      </c>
      <c r="Y33" s="743">
        <f t="shared" si="25"/>
        <v>1217.8936551488903</v>
      </c>
      <c r="Z33" s="743">
        <f t="shared" si="26"/>
        <v>1105.3801306293769</v>
      </c>
      <c r="AA33" s="743">
        <f t="shared" si="27"/>
        <v>1003.2610220313881</v>
      </c>
      <c r="AE33" s="656" t="s">
        <v>680</v>
      </c>
      <c r="AF33" s="743">
        <f t="shared" ref="AF33:AZ33" si="28">AF15*GBP2020_to_CAD2020</f>
        <v>1254.563856</v>
      </c>
      <c r="AG33" s="743">
        <f t="shared" si="28"/>
        <v>997.07762700000001</v>
      </c>
      <c r="AH33" s="743">
        <f t="shared" si="28"/>
        <v>849.02863500000001</v>
      </c>
      <c r="AI33" s="743">
        <f t="shared" si="28"/>
        <v>804.60361799999998</v>
      </c>
      <c r="AJ33" s="743">
        <f t="shared" si="28"/>
        <v>760.60857599999997</v>
      </c>
      <c r="AK33" s="743">
        <f t="shared" si="28"/>
        <v>749.25723599999992</v>
      </c>
      <c r="AL33" s="761">
        <f t="shared" si="28"/>
        <v>737.90589599999998</v>
      </c>
      <c r="AM33" s="743">
        <f t="shared" si="28"/>
        <v>1640.0794410000001</v>
      </c>
      <c r="AN33" s="743">
        <f t="shared" si="28"/>
        <v>1032.593562</v>
      </c>
      <c r="AO33" s="743">
        <f t="shared" si="28"/>
        <v>745.284267</v>
      </c>
      <c r="AP33" s="743">
        <f t="shared" si="28"/>
        <v>674.04600900000003</v>
      </c>
      <c r="AQ33" s="743">
        <f t="shared" si="28"/>
        <v>617.73648300000002</v>
      </c>
      <c r="AR33" s="743">
        <f t="shared" si="28"/>
        <v>590.20088400000009</v>
      </c>
      <c r="AS33" s="761">
        <f t="shared" si="28"/>
        <v>576.08050500000002</v>
      </c>
      <c r="AT33" s="743">
        <f t="shared" si="28"/>
        <v>2323.636497</v>
      </c>
      <c r="AU33" s="743">
        <f t="shared" si="28"/>
        <v>1532.585691</v>
      </c>
      <c r="AV33" s="743">
        <f t="shared" si="28"/>
        <v>1175.104476</v>
      </c>
      <c r="AW33" s="743">
        <f t="shared" si="28"/>
        <v>1083.3134130000001</v>
      </c>
      <c r="AX33" s="743">
        <f t="shared" si="28"/>
        <v>992.74347900000009</v>
      </c>
      <c r="AY33" s="743">
        <f t="shared" si="28"/>
        <v>949.29880500000002</v>
      </c>
      <c r="AZ33" s="761">
        <f t="shared" si="28"/>
        <v>906.02612099999988</v>
      </c>
      <c r="BA33" s="743"/>
      <c r="BB33" s="743"/>
      <c r="BC33" s="743"/>
      <c r="BD33" s="743"/>
      <c r="BE33" s="743"/>
      <c r="BF33" s="743"/>
      <c r="BG33" s="761"/>
      <c r="BH33" s="743"/>
      <c r="BI33" s="743"/>
      <c r="BJ33" s="743"/>
      <c r="BK33" s="743"/>
      <c r="BL33" s="743"/>
      <c r="BM33" s="743"/>
      <c r="BN33" s="743"/>
    </row>
    <row r="34" spans="1:66" x14ac:dyDescent="0.25">
      <c r="B34" t="s">
        <v>2890</v>
      </c>
      <c r="C34" t="s">
        <v>2875</v>
      </c>
      <c r="D34" t="s">
        <v>2889</v>
      </c>
      <c r="E34" s="267">
        <v>5.6194444448939995</v>
      </c>
      <c r="F34" s="267">
        <v>5.0139466722351784</v>
      </c>
      <c r="G34" s="267">
        <v>4.3479808352940132</v>
      </c>
      <c r="H34" s="267">
        <v>3.7704703659435506</v>
      </c>
      <c r="I34" s="267">
        <v>3.2696663851548853</v>
      </c>
      <c r="J34" s="267">
        <v>2.8353805315047174</v>
      </c>
      <c r="K34" s="267">
        <v>2.4587776890439996</v>
      </c>
      <c r="M34" s="267">
        <f t="shared" si="14"/>
        <v>6.5421767381804425</v>
      </c>
      <c r="N34" s="267">
        <f t="shared" si="15"/>
        <v>5.8372541284537913</v>
      </c>
      <c r="O34" s="267">
        <f t="shared" si="16"/>
        <v>5.0619343882936869</v>
      </c>
      <c r="P34" s="267">
        <f t="shared" si="17"/>
        <v>4.38959469427407</v>
      </c>
      <c r="Q34" s="267">
        <f t="shared" si="18"/>
        <v>3.806556960627506</v>
      </c>
      <c r="R34" s="267">
        <f t="shared" si="19"/>
        <v>3.3009598616024336</v>
      </c>
      <c r="S34" s="267">
        <f t="shared" si="20"/>
        <v>2.8625175245280228</v>
      </c>
      <c r="U34" s="743">
        <f t="shared" si="21"/>
        <v>206.31408561525845</v>
      </c>
      <c r="V34" s="743">
        <f t="shared" si="22"/>
        <v>184.08364619491877</v>
      </c>
      <c r="W34" s="743">
        <f t="shared" si="23"/>
        <v>159.63316286922972</v>
      </c>
      <c r="X34" s="743">
        <f t="shared" si="24"/>
        <v>138.43025827862706</v>
      </c>
      <c r="Y34" s="743">
        <f t="shared" si="25"/>
        <v>120.04358031034903</v>
      </c>
      <c r="Z34" s="743">
        <f t="shared" si="26"/>
        <v>104.09907019549435</v>
      </c>
      <c r="AA34" s="743">
        <f t="shared" si="27"/>
        <v>90.272352653515725</v>
      </c>
      <c r="AE34" s="656" t="s">
        <v>1028</v>
      </c>
      <c r="AF34" s="743">
        <f t="shared" ref="AF34:AZ34" si="29">AF16*GBP2020_to_CAD2020</f>
        <v>1478.2368510000001</v>
      </c>
      <c r="AG34" s="743">
        <f t="shared" si="29"/>
        <v>1280.1731670000001</v>
      </c>
      <c r="AH34" s="743">
        <f t="shared" si="29"/>
        <v>1153.9153079999999</v>
      </c>
      <c r="AI34" s="743">
        <f t="shared" si="29"/>
        <v>1121.5123920000001</v>
      </c>
      <c r="AJ34" s="743">
        <f t="shared" si="29"/>
        <v>1089.4706550000001</v>
      </c>
      <c r="AK34" s="743">
        <f t="shared" si="29"/>
        <v>1072.202859</v>
      </c>
      <c r="AL34" s="761">
        <f t="shared" si="29"/>
        <v>1055.055456</v>
      </c>
      <c r="AM34" s="743">
        <f t="shared" si="29"/>
        <v>1992.7277370000002</v>
      </c>
      <c r="AN34" s="743">
        <f t="shared" si="29"/>
        <v>1256.0257709999998</v>
      </c>
      <c r="AO34" s="743">
        <f t="shared" si="29"/>
        <v>966.17102399999999</v>
      </c>
      <c r="AP34" s="743">
        <f t="shared" si="29"/>
        <v>892.198125</v>
      </c>
      <c r="AQ34" s="743">
        <f t="shared" si="29"/>
        <v>820.03112099999998</v>
      </c>
      <c r="AR34" s="743">
        <f t="shared" si="29"/>
        <v>804.15644399999996</v>
      </c>
      <c r="AS34" s="761">
        <f t="shared" si="29"/>
        <v>788.40216000000009</v>
      </c>
      <c r="AT34" s="743">
        <f t="shared" si="29"/>
        <v>3089.80035</v>
      </c>
      <c r="AU34" s="743">
        <f t="shared" si="29"/>
        <v>2243.0763809999999</v>
      </c>
      <c r="AV34" s="743">
        <f t="shared" si="29"/>
        <v>1775.332377</v>
      </c>
      <c r="AW34" s="743">
        <f t="shared" si="29"/>
        <v>1570.6298790000001</v>
      </c>
      <c r="AX34" s="743">
        <f t="shared" si="29"/>
        <v>1371.96423</v>
      </c>
      <c r="AY34" s="743">
        <f t="shared" si="29"/>
        <v>1277.1461430000002</v>
      </c>
      <c r="AZ34" s="761">
        <f t="shared" si="29"/>
        <v>1183.5491849999999</v>
      </c>
      <c r="BA34" s="743">
        <f t="shared" ref="BA34:BN34" si="30">BA16*GBP2020_to_CAD2020</f>
        <v>1331.3401920000001</v>
      </c>
      <c r="BB34" s="743">
        <f t="shared" si="30"/>
        <v>1250.7972749999999</v>
      </c>
      <c r="BC34" s="743">
        <f t="shared" si="30"/>
        <v>1172.7826109999999</v>
      </c>
      <c r="BD34" s="743">
        <f t="shared" si="30"/>
        <v>1099.7900550000002</v>
      </c>
      <c r="BE34" s="743">
        <f t="shared" si="30"/>
        <v>1031.8540050000001</v>
      </c>
      <c r="BF34" s="743">
        <f t="shared" si="30"/>
        <v>968.922864</v>
      </c>
      <c r="BG34" s="761">
        <f t="shared" si="30"/>
        <v>908.53717500000005</v>
      </c>
      <c r="BH34" s="743">
        <f t="shared" si="30"/>
        <v>1006.1071020000001</v>
      </c>
      <c r="BI34" s="743">
        <f t="shared" si="30"/>
        <v>945.23984100000007</v>
      </c>
      <c r="BJ34" s="743">
        <f t="shared" si="30"/>
        <v>886.28166900000008</v>
      </c>
      <c r="BK34" s="743">
        <f t="shared" si="30"/>
        <v>831.14167499999996</v>
      </c>
      <c r="BL34" s="743">
        <f t="shared" si="30"/>
        <v>779.78546099999994</v>
      </c>
      <c r="BM34" s="743">
        <f t="shared" si="30"/>
        <v>732.23022600000002</v>
      </c>
      <c r="BN34" s="743">
        <f t="shared" si="30"/>
        <v>686.58407999999997</v>
      </c>
    </row>
    <row r="35" spans="1:66" x14ac:dyDescent="0.25">
      <c r="B35" t="s">
        <v>2891</v>
      </c>
      <c r="C35" t="s">
        <v>2875</v>
      </c>
      <c r="D35" t="s">
        <v>2889</v>
      </c>
      <c r="E35" s="267">
        <v>5.6194444448939995</v>
      </c>
      <c r="F35" s="267">
        <v>5.0139466722351784</v>
      </c>
      <c r="G35" s="267">
        <v>4.3479808352940132</v>
      </c>
      <c r="H35" s="267">
        <v>3.7704703659435506</v>
      </c>
      <c r="I35" s="267">
        <v>3.2696663851548853</v>
      </c>
      <c r="J35" s="267">
        <v>2.8353805315047174</v>
      </c>
      <c r="K35" s="267">
        <v>2.4587776890439996</v>
      </c>
      <c r="M35" s="267">
        <f t="shared" si="14"/>
        <v>6.5421767381804425</v>
      </c>
      <c r="N35" s="267">
        <f t="shared" si="15"/>
        <v>5.8372541284537913</v>
      </c>
      <c r="O35" s="267">
        <f t="shared" si="16"/>
        <v>5.0619343882936869</v>
      </c>
      <c r="P35" s="267">
        <f t="shared" si="17"/>
        <v>4.38959469427407</v>
      </c>
      <c r="Q35" s="267">
        <f t="shared" si="18"/>
        <v>3.806556960627506</v>
      </c>
      <c r="R35" s="267">
        <f t="shared" si="19"/>
        <v>3.3009598616024336</v>
      </c>
      <c r="S35" s="267">
        <f t="shared" si="20"/>
        <v>2.8625175245280228</v>
      </c>
      <c r="U35" s="743">
        <f t="shared" si="21"/>
        <v>206.31408561525845</v>
      </c>
      <c r="V35" s="743">
        <f t="shared" si="22"/>
        <v>184.08364619491877</v>
      </c>
      <c r="W35" s="743">
        <f t="shared" si="23"/>
        <v>159.63316286922972</v>
      </c>
      <c r="X35" s="743">
        <f t="shared" si="24"/>
        <v>138.43025827862706</v>
      </c>
      <c r="Y35" s="743">
        <f t="shared" si="25"/>
        <v>120.04358031034903</v>
      </c>
      <c r="Z35" s="743">
        <f t="shared" si="26"/>
        <v>104.09907019549435</v>
      </c>
      <c r="AA35" s="743">
        <f t="shared" si="27"/>
        <v>90.272352653515725</v>
      </c>
      <c r="AE35" s="656" t="s">
        <v>682</v>
      </c>
      <c r="AF35" s="743">
        <f t="shared" ref="AF35:AZ35" si="31">AF17*GBP2020_to_CAD2020</f>
        <v>2028.9488310000002</v>
      </c>
      <c r="AG35" s="743">
        <f t="shared" si="31"/>
        <v>1777.7574360000001</v>
      </c>
      <c r="AH35" s="743">
        <f t="shared" si="31"/>
        <v>1677.2636790000001</v>
      </c>
      <c r="AI35" s="743">
        <f t="shared" si="31"/>
        <v>1620.7477650000001</v>
      </c>
      <c r="AJ35" s="743">
        <f t="shared" si="31"/>
        <v>1565.1949950000001</v>
      </c>
      <c r="AK35" s="743">
        <f t="shared" si="31"/>
        <v>1537.7797889999999</v>
      </c>
      <c r="AL35" s="761">
        <f t="shared" si="31"/>
        <v>1510.6053690000001</v>
      </c>
      <c r="AM35" s="743">
        <f t="shared" si="31"/>
        <v>3246.3284490000001</v>
      </c>
      <c r="AN35" s="743">
        <f t="shared" si="31"/>
        <v>2508.181767</v>
      </c>
      <c r="AO35" s="743">
        <f t="shared" si="31"/>
        <v>2091.2780069999999</v>
      </c>
      <c r="AP35" s="743">
        <f t="shared" si="31"/>
        <v>1878.2339939999999</v>
      </c>
      <c r="AQ35" s="743">
        <f t="shared" si="31"/>
        <v>1673.8926750000001</v>
      </c>
      <c r="AR35" s="743">
        <f t="shared" si="31"/>
        <v>1607.7109229999999</v>
      </c>
      <c r="AS35" s="761">
        <f t="shared" si="31"/>
        <v>1542.492315</v>
      </c>
      <c r="AT35" s="743">
        <f t="shared" si="31"/>
        <v>4444.3763909999998</v>
      </c>
      <c r="AU35" s="743">
        <f t="shared" si="31"/>
        <v>3579.662268</v>
      </c>
      <c r="AV35" s="743">
        <f t="shared" si="31"/>
        <v>2937.1592249999999</v>
      </c>
      <c r="AW35" s="743">
        <f t="shared" si="31"/>
        <v>2726.4026790000003</v>
      </c>
      <c r="AX35" s="743">
        <f t="shared" si="31"/>
        <v>2429.3071530000002</v>
      </c>
      <c r="AY35" s="743">
        <f t="shared" si="31"/>
        <v>2331.479241</v>
      </c>
      <c r="AZ35" s="761">
        <f t="shared" si="31"/>
        <v>2234.270493</v>
      </c>
      <c r="BA35" s="743"/>
      <c r="BB35" s="743"/>
      <c r="BC35" s="743"/>
      <c r="BD35" s="743"/>
      <c r="BE35" s="743"/>
      <c r="BF35" s="743"/>
      <c r="BG35" s="761"/>
      <c r="BH35" s="743"/>
      <c r="BI35" s="743"/>
      <c r="BJ35" s="743"/>
      <c r="BK35" s="743"/>
      <c r="BL35" s="743"/>
      <c r="BM35" s="743"/>
      <c r="BN35" s="743"/>
    </row>
    <row r="36" spans="1:66" x14ac:dyDescent="0.25">
      <c r="B36" t="s">
        <v>2892</v>
      </c>
      <c r="C36" t="s">
        <v>2875</v>
      </c>
      <c r="D36" t="s">
        <v>2893</v>
      </c>
      <c r="E36" s="267">
        <v>0.78</v>
      </c>
      <c r="F36" s="267">
        <v>0.68967452609737356</v>
      </c>
      <c r="G36" s="267">
        <v>0.59133170269695301</v>
      </c>
      <c r="H36" s="267">
        <v>0.50701188659693674</v>
      </c>
      <c r="I36" s="267">
        <v>0.43471549382212682</v>
      </c>
      <c r="J36" s="267">
        <v>0.37272806725978908</v>
      </c>
      <c r="K36" s="267">
        <v>0.3195796195386183</v>
      </c>
      <c r="M36" s="267">
        <f t="shared" si="14"/>
        <v>0.90807870881567232</v>
      </c>
      <c r="N36" s="267">
        <f t="shared" si="15"/>
        <v>0.80292147841226102</v>
      </c>
      <c r="O36" s="267">
        <f t="shared" si="16"/>
        <v>0.68843042188054115</v>
      </c>
      <c r="P36" s="267">
        <f t="shared" si="17"/>
        <v>0.59026499914762098</v>
      </c>
      <c r="Q36" s="267">
        <f t="shared" si="18"/>
        <v>0.50609728760533879</v>
      </c>
      <c r="R36" s="267">
        <f t="shared" si="19"/>
        <v>0.43393131032901322</v>
      </c>
      <c r="S36" s="267">
        <f t="shared" si="20"/>
        <v>0.37205570291593881</v>
      </c>
      <c r="U36" s="743">
        <f t="shared" si="21"/>
        <v>28.637170161211042</v>
      </c>
      <c r="V36" s="743">
        <f t="shared" si="22"/>
        <v>25.320931743209066</v>
      </c>
      <c r="W36" s="743">
        <f t="shared" si="23"/>
        <v>21.710341784424745</v>
      </c>
      <c r="X36" s="743">
        <f t="shared" si="24"/>
        <v>18.614597013119376</v>
      </c>
      <c r="Y36" s="743">
        <f t="shared" si="25"/>
        <v>15.960284061921964</v>
      </c>
      <c r="Z36" s="743">
        <f t="shared" si="26"/>
        <v>13.684457802535762</v>
      </c>
      <c r="AA36" s="743">
        <f t="shared" si="27"/>
        <v>11.733148647157046</v>
      </c>
    </row>
    <row r="37" spans="1:66" x14ac:dyDescent="0.25">
      <c r="B37" t="s">
        <v>2905</v>
      </c>
      <c r="C37" t="s">
        <v>2906</v>
      </c>
      <c r="D37" t="s">
        <v>2906</v>
      </c>
      <c r="E37" s="267">
        <v>0</v>
      </c>
      <c r="F37" s="267">
        <v>0</v>
      </c>
      <c r="G37" s="267">
        <v>0</v>
      </c>
      <c r="H37" s="267">
        <v>0</v>
      </c>
      <c r="I37" s="267">
        <v>0</v>
      </c>
      <c r="J37" s="267">
        <v>0</v>
      </c>
      <c r="K37" s="267">
        <v>0</v>
      </c>
      <c r="M37" s="267">
        <f t="shared" si="14"/>
        <v>0</v>
      </c>
      <c r="N37" s="267">
        <f t="shared" si="15"/>
        <v>0</v>
      </c>
      <c r="O37" s="267">
        <f t="shared" si="16"/>
        <v>0</v>
      </c>
      <c r="P37" s="267">
        <f t="shared" si="17"/>
        <v>0</v>
      </c>
      <c r="Q37" s="267">
        <f t="shared" si="18"/>
        <v>0</v>
      </c>
      <c r="R37" s="267">
        <f t="shared" si="19"/>
        <v>0</v>
      </c>
      <c r="S37" s="267">
        <f t="shared" si="20"/>
        <v>0</v>
      </c>
      <c r="U37" s="743">
        <f t="shared" si="21"/>
        <v>0</v>
      </c>
      <c r="V37" s="743">
        <f t="shared" si="22"/>
        <v>0</v>
      </c>
      <c r="W37" s="743">
        <f t="shared" si="23"/>
        <v>0</v>
      </c>
      <c r="X37" s="743">
        <f t="shared" si="24"/>
        <v>0</v>
      </c>
      <c r="Y37" s="743">
        <f t="shared" si="25"/>
        <v>0</v>
      </c>
      <c r="Z37" s="743">
        <f t="shared" si="26"/>
        <v>0</v>
      </c>
      <c r="AA37" s="743">
        <f t="shared" si="27"/>
        <v>0</v>
      </c>
      <c r="AF37" s="879" t="s">
        <v>2954</v>
      </c>
      <c r="AG37" s="879"/>
      <c r="AH37" s="879"/>
      <c r="AI37" s="879"/>
      <c r="AJ37" s="879"/>
      <c r="AK37" s="879"/>
      <c r="AL37" s="879"/>
      <c r="AM37" s="879" t="s">
        <v>2954</v>
      </c>
      <c r="AN37" s="879"/>
      <c r="AO37" s="879"/>
      <c r="AP37" s="879"/>
      <c r="AQ37" s="879"/>
      <c r="AR37" s="879"/>
      <c r="AS37" s="879"/>
      <c r="AT37" s="879" t="s">
        <v>2954</v>
      </c>
      <c r="AU37" s="879"/>
      <c r="AV37" s="879"/>
      <c r="AW37" s="879"/>
      <c r="AX37" s="879"/>
      <c r="AY37" s="879"/>
      <c r="AZ37" s="879"/>
      <c r="BA37" s="879" t="s">
        <v>2954</v>
      </c>
      <c r="BB37" s="879"/>
      <c r="BC37" s="879"/>
      <c r="BD37" s="879"/>
      <c r="BE37" s="879"/>
      <c r="BF37" s="879"/>
      <c r="BG37" s="879"/>
      <c r="BH37" s="879" t="s">
        <v>2954</v>
      </c>
      <c r="BI37" s="879"/>
      <c r="BJ37" s="879"/>
      <c r="BK37" s="879"/>
      <c r="BL37" s="879"/>
      <c r="BM37" s="879"/>
      <c r="BN37" s="879"/>
    </row>
    <row r="38" spans="1:66" ht="15.75" thickBot="1" x14ac:dyDescent="0.3">
      <c r="A38" t="s">
        <v>2894</v>
      </c>
      <c r="B38" t="s">
        <v>2895</v>
      </c>
      <c r="C38" t="s">
        <v>2875</v>
      </c>
      <c r="D38" t="s">
        <v>2896</v>
      </c>
      <c r="E38" s="267">
        <v>1.1082572298325724</v>
      </c>
      <c r="F38" s="267">
        <v>1.1082572298325724</v>
      </c>
      <c r="G38" s="267">
        <v>1.1082572298325724</v>
      </c>
      <c r="H38" s="267">
        <v>1.1082572298325724</v>
      </c>
      <c r="I38" s="267">
        <v>1.1082572298325724</v>
      </c>
      <c r="J38" s="267">
        <v>1.1082572298325724</v>
      </c>
      <c r="K38" s="267">
        <v>1.1082572298325724</v>
      </c>
      <c r="M38" s="267">
        <f t="shared" si="14"/>
        <v>1.2902369157717897</v>
      </c>
      <c r="N38" s="267">
        <f t="shared" si="15"/>
        <v>1.2902369157717897</v>
      </c>
      <c r="O38" s="267">
        <f t="shared" si="16"/>
        <v>1.2902369157717897</v>
      </c>
      <c r="P38" s="267">
        <f t="shared" si="17"/>
        <v>1.2902369157717897</v>
      </c>
      <c r="Q38" s="267">
        <f t="shared" si="18"/>
        <v>1.2902369157717897</v>
      </c>
      <c r="R38" s="267">
        <f t="shared" si="19"/>
        <v>1.2902369157717897</v>
      </c>
      <c r="S38" s="267">
        <f t="shared" si="20"/>
        <v>1.2902369157717897</v>
      </c>
      <c r="U38" s="743">
        <f t="shared" si="21"/>
        <v>40.688911375779163</v>
      </c>
      <c r="V38" s="743">
        <f t="shared" si="22"/>
        <v>40.688911375779163</v>
      </c>
      <c r="W38" s="743">
        <f t="shared" si="23"/>
        <v>40.688911375779163</v>
      </c>
      <c r="X38" s="743">
        <f t="shared" si="24"/>
        <v>40.688911375779163</v>
      </c>
      <c r="Y38" s="743">
        <f t="shared" si="25"/>
        <v>40.688911375779163</v>
      </c>
      <c r="Z38" s="743">
        <f t="shared" si="26"/>
        <v>40.688911375779163</v>
      </c>
      <c r="AA38" s="743">
        <f t="shared" si="27"/>
        <v>40.688911375779163</v>
      </c>
      <c r="AE38" s="105" t="s">
        <v>2953</v>
      </c>
      <c r="AF38" s="83">
        <v>2021</v>
      </c>
      <c r="AG38" s="83">
        <v>2025</v>
      </c>
      <c r="AH38" s="83">
        <v>2030</v>
      </c>
      <c r="AI38" s="83">
        <v>2035</v>
      </c>
      <c r="AJ38" s="83">
        <v>2040</v>
      </c>
      <c r="AK38" s="83">
        <v>2045</v>
      </c>
      <c r="AL38" s="105">
        <v>2050</v>
      </c>
      <c r="AM38" s="83">
        <v>2021</v>
      </c>
      <c r="AN38" s="83">
        <v>2025</v>
      </c>
      <c r="AO38" s="83">
        <v>2030</v>
      </c>
      <c r="AP38" s="83">
        <v>2035</v>
      </c>
      <c r="AQ38" s="83">
        <v>2040</v>
      </c>
      <c r="AR38" s="83">
        <v>2045</v>
      </c>
      <c r="AS38" s="105">
        <v>2050</v>
      </c>
      <c r="AT38" s="83">
        <v>2021</v>
      </c>
      <c r="AU38" s="83">
        <v>2025</v>
      </c>
      <c r="AV38" s="83">
        <v>2030</v>
      </c>
      <c r="AW38" s="83">
        <v>2035</v>
      </c>
      <c r="AX38" s="83">
        <v>2040</v>
      </c>
      <c r="AY38" s="83">
        <v>2045</v>
      </c>
      <c r="AZ38" s="105">
        <v>2050</v>
      </c>
      <c r="BA38" s="83">
        <v>2021</v>
      </c>
      <c r="BB38" s="83">
        <v>2025</v>
      </c>
      <c r="BC38" s="83">
        <v>2030</v>
      </c>
      <c r="BD38" s="83">
        <v>2035</v>
      </c>
      <c r="BE38" s="83">
        <v>2040</v>
      </c>
      <c r="BF38" s="83">
        <v>2045</v>
      </c>
      <c r="BG38" s="105">
        <v>2050</v>
      </c>
      <c r="BH38" s="83">
        <v>2021</v>
      </c>
      <c r="BI38" s="83">
        <v>2025</v>
      </c>
      <c r="BJ38" s="83">
        <v>2030</v>
      </c>
      <c r="BK38" s="83">
        <v>2035</v>
      </c>
      <c r="BL38" s="83">
        <v>2040</v>
      </c>
      <c r="BM38" s="83">
        <v>2045</v>
      </c>
      <c r="BN38" s="83">
        <v>2050</v>
      </c>
    </row>
    <row r="39" spans="1:66" ht="15.75" thickTop="1" x14ac:dyDescent="0.25">
      <c r="B39" t="s">
        <v>2897</v>
      </c>
      <c r="C39" t="s">
        <v>2875</v>
      </c>
      <c r="D39" t="s">
        <v>2889</v>
      </c>
      <c r="E39" s="267">
        <v>0.38</v>
      </c>
      <c r="F39" s="267">
        <v>0.38</v>
      </c>
      <c r="G39" s="267">
        <v>0.38</v>
      </c>
      <c r="H39" s="267">
        <v>0.38</v>
      </c>
      <c r="I39" s="267">
        <v>0.38</v>
      </c>
      <c r="J39" s="267">
        <v>0.38</v>
      </c>
      <c r="K39" s="267">
        <v>0.38</v>
      </c>
      <c r="M39" s="267">
        <f t="shared" si="14"/>
        <v>0.44239731967943008</v>
      </c>
      <c r="N39" s="267">
        <f t="shared" si="15"/>
        <v>0.44239731967943008</v>
      </c>
      <c r="O39" s="267">
        <f t="shared" si="16"/>
        <v>0.44239731967943008</v>
      </c>
      <c r="P39" s="267">
        <f t="shared" si="17"/>
        <v>0.44239731967943008</v>
      </c>
      <c r="Q39" s="267">
        <f t="shared" si="18"/>
        <v>0.44239731967943008</v>
      </c>
      <c r="R39" s="267">
        <f t="shared" si="19"/>
        <v>0.44239731967943008</v>
      </c>
      <c r="S39" s="267">
        <f t="shared" si="20"/>
        <v>0.44239731967943008</v>
      </c>
      <c r="U39" s="743">
        <f t="shared" si="21"/>
        <v>13.951441873410507</v>
      </c>
      <c r="V39" s="743">
        <f t="shared" si="22"/>
        <v>13.951441873410507</v>
      </c>
      <c r="W39" s="743">
        <f t="shared" si="23"/>
        <v>13.951441873410507</v>
      </c>
      <c r="X39" s="743">
        <f t="shared" si="24"/>
        <v>13.951441873410507</v>
      </c>
      <c r="Y39" s="743">
        <f t="shared" si="25"/>
        <v>13.951441873410507</v>
      </c>
      <c r="Z39" s="743">
        <f t="shared" si="26"/>
        <v>13.951441873410507</v>
      </c>
      <c r="AA39" s="743">
        <f t="shared" si="27"/>
        <v>13.951441873410507</v>
      </c>
      <c r="AE39" s="656" t="s">
        <v>680</v>
      </c>
      <c r="AF39" s="80">
        <f>1/AF11</f>
        <v>0.65616797900262469</v>
      </c>
      <c r="AG39" s="80">
        <f t="shared" ref="AG39:AL39" si="32">1/AG11</f>
        <v>0.6846970215679562</v>
      </c>
      <c r="AH39" s="80">
        <f t="shared" si="32"/>
        <v>0.70303712035995503</v>
      </c>
      <c r="AI39" s="80">
        <f t="shared" si="32"/>
        <v>0.71581961345740874</v>
      </c>
      <c r="AJ39" s="80">
        <f t="shared" si="32"/>
        <v>0.72907553222513855</v>
      </c>
      <c r="AK39" s="80">
        <f t="shared" si="32"/>
        <v>0.73588932224593417</v>
      </c>
      <c r="AL39" s="753">
        <f t="shared" si="32"/>
        <v>0.7428316743425939</v>
      </c>
      <c r="AM39" s="80">
        <f>1/AM11</f>
        <v>0.61515748031496065</v>
      </c>
      <c r="AN39" s="80">
        <f t="shared" ref="AN39:AS39" si="33">1/AN11</f>
        <v>0.66728947017216067</v>
      </c>
      <c r="AO39" s="80">
        <f t="shared" si="33"/>
        <v>0.70937078811094556</v>
      </c>
      <c r="AP39" s="80">
        <f t="shared" si="33"/>
        <v>0.72907553222513855</v>
      </c>
      <c r="AQ39" s="80">
        <f t="shared" si="33"/>
        <v>0.74990626171728536</v>
      </c>
      <c r="AR39" s="80">
        <f t="shared" si="33"/>
        <v>0.75711689884918232</v>
      </c>
      <c r="AS39" s="753">
        <f t="shared" si="33"/>
        <v>0.76446754835257236</v>
      </c>
      <c r="AT39" s="80">
        <f>1/AT11</f>
        <v>0.98425196850393704</v>
      </c>
      <c r="AU39" s="80">
        <f t="shared" ref="AU39:AZ39" si="34">1/AU11</f>
        <v>1.0094891984655765</v>
      </c>
      <c r="AV39" s="80">
        <f t="shared" si="34"/>
        <v>1.0360547036883547</v>
      </c>
      <c r="AW39" s="80">
        <f t="shared" si="34"/>
        <v>1.046380830303189</v>
      </c>
      <c r="AX39" s="80">
        <f t="shared" si="34"/>
        <v>1.0569148655075835</v>
      </c>
      <c r="AY39" s="80">
        <f t="shared" si="34"/>
        <v>1.0604735014183833</v>
      </c>
      <c r="AZ39" s="753">
        <f t="shared" si="34"/>
        <v>1.0640561821664185</v>
      </c>
      <c r="BA39" s="80"/>
      <c r="BB39" s="80"/>
      <c r="BC39" s="80"/>
      <c r="BD39" s="80"/>
      <c r="BE39" s="80"/>
      <c r="BF39" s="80"/>
      <c r="BG39" s="753"/>
      <c r="BH39" s="80"/>
      <c r="BI39" s="80"/>
      <c r="BJ39" s="80"/>
      <c r="BK39" s="80"/>
      <c r="BL39" s="80"/>
      <c r="BM39" s="80"/>
      <c r="BN39" s="80"/>
    </row>
    <row r="40" spans="1:66" x14ac:dyDescent="0.25">
      <c r="B40" t="s">
        <v>2898</v>
      </c>
      <c r="C40" t="s">
        <v>2875</v>
      </c>
      <c r="D40" t="s">
        <v>2907</v>
      </c>
      <c r="E40" s="267">
        <v>0.92275494672754943</v>
      </c>
      <c r="F40" s="267">
        <v>0.92275494672754943</v>
      </c>
      <c r="G40" s="267">
        <v>0.92275494672754943</v>
      </c>
      <c r="H40" s="267">
        <v>0.92275494672754943</v>
      </c>
      <c r="I40" s="267">
        <v>0.92275494672754943</v>
      </c>
      <c r="J40" s="267">
        <v>0.92275494672754943</v>
      </c>
      <c r="K40" s="267">
        <v>0.92275494672754943</v>
      </c>
      <c r="M40" s="267">
        <f t="shared" si="14"/>
        <v>1.074274513561061</v>
      </c>
      <c r="N40" s="267">
        <f t="shared" si="15"/>
        <v>1.074274513561061</v>
      </c>
      <c r="O40" s="267">
        <f t="shared" si="16"/>
        <v>1.074274513561061</v>
      </c>
      <c r="P40" s="267">
        <f t="shared" si="17"/>
        <v>1.074274513561061</v>
      </c>
      <c r="Q40" s="267">
        <f t="shared" si="18"/>
        <v>1.074274513561061</v>
      </c>
      <c r="R40" s="267">
        <f t="shared" si="19"/>
        <v>1.074274513561061</v>
      </c>
      <c r="S40" s="267">
        <f t="shared" si="20"/>
        <v>1.074274513561061</v>
      </c>
      <c r="U40" s="743">
        <f t="shared" si="21"/>
        <v>33.878321059661623</v>
      </c>
      <c r="V40" s="743">
        <f t="shared" si="22"/>
        <v>33.878321059661623</v>
      </c>
      <c r="W40" s="743">
        <f t="shared" si="23"/>
        <v>33.878321059661623</v>
      </c>
      <c r="X40" s="743">
        <f t="shared" si="24"/>
        <v>33.878321059661623</v>
      </c>
      <c r="Y40" s="743">
        <f t="shared" si="25"/>
        <v>33.878321059661623</v>
      </c>
      <c r="Z40" s="743">
        <f t="shared" si="26"/>
        <v>33.878321059661623</v>
      </c>
      <c r="AA40" s="743">
        <f t="shared" si="27"/>
        <v>33.878321059661623</v>
      </c>
      <c r="AE40" s="656" t="s">
        <v>1028</v>
      </c>
      <c r="AF40" s="763">
        <f t="shared" ref="AF40:AL41" si="35">1/AF12</f>
        <v>0.77196232823838207</v>
      </c>
      <c r="AG40" s="763">
        <f t="shared" si="35"/>
        <v>0.78740157480314954</v>
      </c>
      <c r="AH40" s="763">
        <f t="shared" si="35"/>
        <v>0.79939246172908585</v>
      </c>
      <c r="AI40" s="763">
        <f t="shared" si="35"/>
        <v>0.80552590772700727</v>
      </c>
      <c r="AJ40" s="763">
        <f t="shared" si="35"/>
        <v>0.81175420082798933</v>
      </c>
      <c r="AK40" s="763">
        <f t="shared" si="35"/>
        <v>0.81596018114316027</v>
      </c>
      <c r="AL40" s="764">
        <f t="shared" si="35"/>
        <v>0.82020997375328075</v>
      </c>
      <c r="AM40" s="763">
        <f t="shared" ref="AM40:AZ40" si="36">1/AM12</f>
        <v>0.71581961345740874</v>
      </c>
      <c r="AN40" s="763">
        <f t="shared" si="36"/>
        <v>0.75711689884918232</v>
      </c>
      <c r="AO40" s="763">
        <f t="shared" si="36"/>
        <v>0.78740157480314954</v>
      </c>
      <c r="AP40" s="763">
        <f t="shared" si="36"/>
        <v>0.79939246172908585</v>
      </c>
      <c r="AQ40" s="763">
        <f t="shared" si="36"/>
        <v>0.81175420082798933</v>
      </c>
      <c r="AR40" s="763">
        <f t="shared" si="36"/>
        <v>0.81596018114316027</v>
      </c>
      <c r="AS40" s="764">
        <f t="shared" si="36"/>
        <v>0.82020997375328075</v>
      </c>
      <c r="AT40" s="80">
        <f t="shared" si="36"/>
        <v>1.0094891984655765</v>
      </c>
      <c r="AU40" s="80">
        <f t="shared" si="36"/>
        <v>1.0429159931167544</v>
      </c>
      <c r="AV40" s="80">
        <f t="shared" si="36"/>
        <v>1.0712946595961219</v>
      </c>
      <c r="AW40" s="80">
        <f t="shared" si="36"/>
        <v>1.0898291692777158</v>
      </c>
      <c r="AX40" s="80">
        <f t="shared" si="36"/>
        <v>1.1090163025396473</v>
      </c>
      <c r="AY40" s="80">
        <f t="shared" si="36"/>
        <v>1.1168816663874463</v>
      </c>
      <c r="AZ40" s="753">
        <f t="shared" si="36"/>
        <v>1.124859392575928</v>
      </c>
      <c r="BA40" s="763">
        <f>1/BA9</f>
        <v>0.73800738007380073</v>
      </c>
      <c r="BB40" s="763">
        <f t="shared" ref="BB40:BN40" si="37">1/BB9</f>
        <v>0.73800738007380073</v>
      </c>
      <c r="BC40" s="763">
        <f t="shared" si="37"/>
        <v>0.73800738007380073</v>
      </c>
      <c r="BD40" s="763">
        <f t="shared" si="37"/>
        <v>0.73800738007380073</v>
      </c>
      <c r="BE40" s="763">
        <f t="shared" si="37"/>
        <v>0.73800738007380073</v>
      </c>
      <c r="BF40" s="763">
        <f t="shared" si="37"/>
        <v>0.73800738007380073</v>
      </c>
      <c r="BG40" s="764">
        <f t="shared" si="37"/>
        <v>0.73800738007380073</v>
      </c>
      <c r="BH40" s="80">
        <f t="shared" si="37"/>
        <v>0.73800738007380073</v>
      </c>
      <c r="BI40" s="80">
        <f t="shared" si="37"/>
        <v>0.73800738007380073</v>
      </c>
      <c r="BJ40" s="80">
        <f t="shared" si="37"/>
        <v>0.73800738007380073</v>
      </c>
      <c r="BK40" s="80">
        <f t="shared" si="37"/>
        <v>0.73800738007380073</v>
      </c>
      <c r="BL40" s="80">
        <f t="shared" si="37"/>
        <v>0.73800738007380073</v>
      </c>
      <c r="BM40" s="80">
        <f t="shared" si="37"/>
        <v>0.73800738007380073</v>
      </c>
      <c r="BN40" s="80">
        <f t="shared" si="37"/>
        <v>0.73800738007380073</v>
      </c>
    </row>
    <row r="41" spans="1:66" x14ac:dyDescent="0.25">
      <c r="B41" t="s">
        <v>2899</v>
      </c>
      <c r="C41" t="s">
        <v>2875</v>
      </c>
      <c r="D41" t="s">
        <v>2876</v>
      </c>
      <c r="E41" s="267">
        <v>0.91958396752917293</v>
      </c>
      <c r="F41" s="267">
        <v>0.91958396752917293</v>
      </c>
      <c r="G41" s="267">
        <v>0.91958396752917293</v>
      </c>
      <c r="H41" s="267">
        <v>0.91958396752917293</v>
      </c>
      <c r="I41" s="267">
        <v>0.91958396752917293</v>
      </c>
      <c r="J41" s="267">
        <v>0.91958396752917293</v>
      </c>
      <c r="K41" s="267">
        <v>0.91958396752917293</v>
      </c>
      <c r="M41" s="267">
        <f t="shared" si="14"/>
        <v>1.0705828485660056</v>
      </c>
      <c r="N41" s="267">
        <f t="shared" si="15"/>
        <v>1.0705828485660056</v>
      </c>
      <c r="O41" s="267">
        <f t="shared" si="16"/>
        <v>1.0705828485660056</v>
      </c>
      <c r="P41" s="267">
        <f t="shared" si="17"/>
        <v>1.0705828485660056</v>
      </c>
      <c r="Q41" s="267">
        <f t="shared" si="18"/>
        <v>1.0705828485660056</v>
      </c>
      <c r="R41" s="267">
        <f t="shared" si="19"/>
        <v>1.0705828485660056</v>
      </c>
      <c r="S41" s="267">
        <f t="shared" si="20"/>
        <v>1.0705828485660056</v>
      </c>
      <c r="U41" s="743">
        <f t="shared" si="21"/>
        <v>33.761900712377553</v>
      </c>
      <c r="V41" s="743">
        <f t="shared" si="22"/>
        <v>33.761900712377553</v>
      </c>
      <c r="W41" s="743">
        <f t="shared" si="23"/>
        <v>33.761900712377553</v>
      </c>
      <c r="X41" s="743">
        <f t="shared" si="24"/>
        <v>33.761900712377553</v>
      </c>
      <c r="Y41" s="743">
        <f t="shared" si="25"/>
        <v>33.761900712377553</v>
      </c>
      <c r="Z41" s="743">
        <f t="shared" si="26"/>
        <v>33.761900712377553</v>
      </c>
      <c r="AA41" s="743">
        <f t="shared" si="27"/>
        <v>33.761900712377553</v>
      </c>
      <c r="AE41" s="656" t="s">
        <v>682</v>
      </c>
      <c r="AF41" s="80">
        <f t="shared" si="35"/>
        <v>0.80347099469709149</v>
      </c>
      <c r="AG41" s="80">
        <f t="shared" si="35"/>
        <v>0.82020997375328075</v>
      </c>
      <c r="AH41" s="80">
        <f t="shared" si="35"/>
        <v>0.82884376295068385</v>
      </c>
      <c r="AI41" s="80">
        <f t="shared" si="35"/>
        <v>0.83322917968587251</v>
      </c>
      <c r="AJ41" s="80">
        <f t="shared" si="35"/>
        <v>0.83766124979058476</v>
      </c>
      <c r="AK41" s="80">
        <f t="shared" si="35"/>
        <v>0.83766124979058476</v>
      </c>
      <c r="AL41" s="753">
        <f t="shared" si="35"/>
        <v>0.83766124979058476</v>
      </c>
      <c r="AM41" s="80">
        <f t="shared" ref="AM41:AZ41" si="38">1/AM13</f>
        <v>0.81175420082798933</v>
      </c>
      <c r="AN41" s="80">
        <f t="shared" si="38"/>
        <v>0.82884376295068385</v>
      </c>
      <c r="AO41" s="80">
        <f t="shared" si="38"/>
        <v>0.84214072171459864</v>
      </c>
      <c r="AP41" s="80">
        <f t="shared" si="38"/>
        <v>0.85355184260504025</v>
      </c>
      <c r="AQ41" s="80">
        <f t="shared" si="38"/>
        <v>0.84666836000338663</v>
      </c>
      <c r="AR41" s="80">
        <f t="shared" si="38"/>
        <v>0.87005698873276205</v>
      </c>
      <c r="AS41" s="753">
        <f t="shared" si="38"/>
        <v>0.87489063867016625</v>
      </c>
      <c r="AT41" s="80">
        <f t="shared" si="38"/>
        <v>1.0640561821664185</v>
      </c>
      <c r="AU41" s="80">
        <f t="shared" si="38"/>
        <v>1.1168816663874463</v>
      </c>
      <c r="AV41" s="80">
        <f t="shared" si="38"/>
        <v>1.1329519061915823</v>
      </c>
      <c r="AW41" s="80">
        <f t="shared" si="38"/>
        <v>1.1411617026132603</v>
      </c>
      <c r="AX41" s="80">
        <f t="shared" si="38"/>
        <v>1.1494913500775907</v>
      </c>
      <c r="AY41" s="80">
        <f t="shared" si="38"/>
        <v>1.1520140084903434</v>
      </c>
      <c r="AZ41" s="753">
        <f t="shared" si="38"/>
        <v>1.1545477636409818</v>
      </c>
      <c r="BA41" s="80"/>
      <c r="BB41" s="80"/>
      <c r="BC41" s="80"/>
      <c r="BD41" s="80"/>
      <c r="BE41" s="80"/>
      <c r="BF41" s="80"/>
      <c r="BG41" s="753"/>
      <c r="BH41" s="80"/>
      <c r="BI41" s="80"/>
      <c r="BJ41" s="80"/>
      <c r="BK41" s="80"/>
      <c r="BL41" s="80"/>
      <c r="BM41" s="80"/>
      <c r="BN41" s="80"/>
    </row>
    <row r="42" spans="1:66" x14ac:dyDescent="0.25">
      <c r="B42" t="s">
        <v>2900</v>
      </c>
      <c r="C42" t="s">
        <v>2875</v>
      </c>
      <c r="D42" t="s">
        <v>2876</v>
      </c>
      <c r="E42" s="267">
        <v>1.8391679350583459</v>
      </c>
      <c r="F42" s="267">
        <v>1.8391679350583459</v>
      </c>
      <c r="G42" s="267">
        <v>1.8391679350583459</v>
      </c>
      <c r="H42" s="267">
        <v>1.8391679350583459</v>
      </c>
      <c r="I42" s="267">
        <v>1.8391679350583459</v>
      </c>
      <c r="J42" s="267">
        <v>1.8391679350583459</v>
      </c>
      <c r="K42" s="267">
        <v>1.8391679350583459</v>
      </c>
      <c r="M42" s="267">
        <f t="shared" si="14"/>
        <v>2.1411656971320112</v>
      </c>
      <c r="N42" s="267">
        <f t="shared" si="15"/>
        <v>2.1411656971320112</v>
      </c>
      <c r="O42" s="267">
        <f t="shared" si="16"/>
        <v>2.1411656971320112</v>
      </c>
      <c r="P42" s="267">
        <f t="shared" si="17"/>
        <v>2.1411656971320112</v>
      </c>
      <c r="Q42" s="267">
        <f t="shared" si="18"/>
        <v>2.1411656971320112</v>
      </c>
      <c r="R42" s="267">
        <f t="shared" si="19"/>
        <v>2.1411656971320112</v>
      </c>
      <c r="S42" s="267">
        <f t="shared" si="20"/>
        <v>2.1411656971320112</v>
      </c>
      <c r="U42" s="743">
        <f t="shared" si="21"/>
        <v>67.523801424755106</v>
      </c>
      <c r="V42" s="743">
        <f t="shared" si="22"/>
        <v>67.523801424755106</v>
      </c>
      <c r="W42" s="743">
        <f t="shared" si="23"/>
        <v>67.523801424755106</v>
      </c>
      <c r="X42" s="743">
        <f t="shared" si="24"/>
        <v>67.523801424755106</v>
      </c>
      <c r="Y42" s="743">
        <f t="shared" si="25"/>
        <v>67.523801424755106</v>
      </c>
      <c r="Z42" s="743">
        <f t="shared" si="26"/>
        <v>67.523801424755106</v>
      </c>
      <c r="AA42" s="743">
        <f t="shared" si="27"/>
        <v>67.523801424755106</v>
      </c>
    </row>
    <row r="43" spans="1:66" x14ac:dyDescent="0.25">
      <c r="B43" t="s">
        <v>2901</v>
      </c>
      <c r="C43" t="s">
        <v>2875</v>
      </c>
      <c r="D43" t="s">
        <v>2876</v>
      </c>
      <c r="E43" s="267">
        <v>0.16489091831557584</v>
      </c>
      <c r="F43" s="267">
        <v>0.16489091831557584</v>
      </c>
      <c r="G43" s="267">
        <v>0.16489091831557584</v>
      </c>
      <c r="H43" s="267">
        <v>0.16489091831557584</v>
      </c>
      <c r="I43" s="267">
        <v>0.16489091831557584</v>
      </c>
      <c r="J43" s="267">
        <v>0.16489091831557584</v>
      </c>
      <c r="K43" s="267">
        <v>0.16489091831557584</v>
      </c>
      <c r="M43" s="267">
        <f t="shared" si="14"/>
        <v>0.19196657974286999</v>
      </c>
      <c r="N43" s="267">
        <f t="shared" si="15"/>
        <v>0.19196657974286999</v>
      </c>
      <c r="O43" s="267">
        <f t="shared" si="16"/>
        <v>0.19196657974286999</v>
      </c>
      <c r="P43" s="267">
        <f t="shared" si="17"/>
        <v>0.19196657974286999</v>
      </c>
      <c r="Q43" s="267">
        <f t="shared" si="18"/>
        <v>0.19196657974286999</v>
      </c>
      <c r="R43" s="267">
        <f t="shared" si="19"/>
        <v>0.19196657974286999</v>
      </c>
      <c r="S43" s="267">
        <f t="shared" si="20"/>
        <v>0.19196657974286999</v>
      </c>
      <c r="U43" s="743">
        <f t="shared" si="21"/>
        <v>6.0538580587711479</v>
      </c>
      <c r="V43" s="743">
        <f t="shared" si="22"/>
        <v>6.0538580587711479</v>
      </c>
      <c r="W43" s="743">
        <f t="shared" si="23"/>
        <v>6.0538580587711479</v>
      </c>
      <c r="X43" s="743">
        <f t="shared" si="24"/>
        <v>6.0538580587711479</v>
      </c>
      <c r="Y43" s="743">
        <f t="shared" si="25"/>
        <v>6.0538580587711479</v>
      </c>
      <c r="Z43" s="743">
        <f t="shared" si="26"/>
        <v>6.0538580587711479</v>
      </c>
      <c r="AA43" s="743">
        <f t="shared" si="27"/>
        <v>6.0538580587711479</v>
      </c>
    </row>
    <row r="45" spans="1:66" x14ac:dyDescent="0.25">
      <c r="A45" s="848" t="s">
        <v>2912</v>
      </c>
      <c r="B45" s="848"/>
      <c r="C45" s="848"/>
      <c r="D45" s="848"/>
      <c r="E45" s="848"/>
      <c r="F45" s="848"/>
      <c r="G45" s="848"/>
      <c r="H45" s="848"/>
      <c r="I45" s="848"/>
      <c r="J45" s="848"/>
      <c r="K45" s="848"/>
      <c r="M45" s="879" t="s">
        <v>2917</v>
      </c>
      <c r="N45" s="879"/>
      <c r="O45" s="879"/>
      <c r="P45" s="879"/>
      <c r="Q45" s="879"/>
      <c r="R45" s="879"/>
      <c r="S45" s="879"/>
    </row>
    <row r="46" spans="1:66" ht="15.75" thickBot="1" x14ac:dyDescent="0.3">
      <c r="A46" s="83" t="s">
        <v>1223</v>
      </c>
      <c r="B46" s="83" t="s">
        <v>82</v>
      </c>
      <c r="C46" s="83" t="s">
        <v>83</v>
      </c>
      <c r="D46" s="83" t="s">
        <v>166</v>
      </c>
      <c r="E46" s="83">
        <v>2021</v>
      </c>
      <c r="F46" s="83">
        <v>2025</v>
      </c>
      <c r="G46" s="83">
        <v>2030</v>
      </c>
      <c r="H46" s="83">
        <v>2035</v>
      </c>
      <c r="I46" s="83">
        <v>2040</v>
      </c>
      <c r="J46" s="83">
        <v>2045</v>
      </c>
      <c r="K46" s="83">
        <v>2050</v>
      </c>
      <c r="M46" s="83">
        <v>2021</v>
      </c>
      <c r="N46" s="83">
        <v>2025</v>
      </c>
      <c r="O46" s="83">
        <v>2030</v>
      </c>
      <c r="P46" s="83">
        <v>2035</v>
      </c>
      <c r="Q46" s="83">
        <v>2040</v>
      </c>
      <c r="R46" s="83">
        <v>2045</v>
      </c>
      <c r="S46" s="83">
        <v>2050</v>
      </c>
    </row>
    <row r="47" spans="1:66" ht="15.75" thickTop="1" x14ac:dyDescent="0.25">
      <c r="A47" t="s">
        <v>2873</v>
      </c>
      <c r="B47" t="s">
        <v>2874</v>
      </c>
      <c r="C47" t="s">
        <v>2909</v>
      </c>
      <c r="D47" t="s">
        <v>2907</v>
      </c>
      <c r="E47" s="267">
        <v>0</v>
      </c>
      <c r="F47" s="267">
        <v>0</v>
      </c>
      <c r="G47" s="267">
        <v>0</v>
      </c>
      <c r="H47" s="267">
        <v>0</v>
      </c>
      <c r="I47" s="267">
        <v>0</v>
      </c>
      <c r="J47" s="267">
        <v>0</v>
      </c>
      <c r="K47" s="267">
        <v>0</v>
      </c>
      <c r="M47" s="267">
        <f t="shared" ref="M47:M65" si="39">E47*USD2021_to_CAD2020</f>
        <v>0</v>
      </c>
      <c r="N47" s="267">
        <f t="shared" ref="N47:N65" si="40">F47*USD2021_to_CAD2020</f>
        <v>0</v>
      </c>
      <c r="O47" s="267">
        <f t="shared" ref="O47:O65" si="41">G47*USD2021_to_CAD2020</f>
        <v>0</v>
      </c>
      <c r="P47" s="267">
        <f t="shared" ref="P47:P65" si="42">H47*USD2021_to_CAD2020</f>
        <v>0</v>
      </c>
      <c r="Q47" s="267">
        <f t="shared" ref="Q47:Q65" si="43">I47*USD2021_to_CAD2020</f>
        <v>0</v>
      </c>
      <c r="R47" s="267">
        <f t="shared" ref="R47:R65" si="44">J47*USD2021_to_CAD2020</f>
        <v>0</v>
      </c>
      <c r="S47" s="267">
        <f t="shared" ref="S47:S65" si="45">K47*USD2021_to_CAD2020</f>
        <v>0</v>
      </c>
    </row>
    <row r="48" spans="1:66" x14ac:dyDescent="0.25">
      <c r="B48" t="s">
        <v>2877</v>
      </c>
      <c r="C48" t="s">
        <v>2909</v>
      </c>
      <c r="D48" t="s">
        <v>2907</v>
      </c>
      <c r="E48" s="267">
        <v>2.7340389150000002</v>
      </c>
      <c r="F48" s="267">
        <v>2.7340389150000002</v>
      </c>
      <c r="G48" s="267">
        <v>2.7340389150000002</v>
      </c>
      <c r="H48" s="267">
        <v>2.7340389150000002</v>
      </c>
      <c r="I48" s="267">
        <v>2.7340389150000002</v>
      </c>
      <c r="J48" s="267">
        <v>2.7340389150000002</v>
      </c>
      <c r="K48" s="267">
        <v>2.7340389150000002</v>
      </c>
      <c r="M48" s="343">
        <f t="shared" si="39"/>
        <v>3.182977599724361</v>
      </c>
      <c r="N48" s="343">
        <f t="shared" si="40"/>
        <v>3.182977599724361</v>
      </c>
      <c r="O48" s="343">
        <f t="shared" si="41"/>
        <v>3.182977599724361</v>
      </c>
      <c r="P48" s="343">
        <f t="shared" si="42"/>
        <v>3.182977599724361</v>
      </c>
      <c r="Q48" s="343">
        <f t="shared" si="43"/>
        <v>3.182977599724361</v>
      </c>
      <c r="R48" s="343">
        <f t="shared" si="44"/>
        <v>3.182977599724361</v>
      </c>
      <c r="S48" s="343">
        <f t="shared" si="45"/>
        <v>3.182977599724361</v>
      </c>
    </row>
    <row r="49" spans="1:19" x14ac:dyDescent="0.25">
      <c r="B49" t="s">
        <v>2878</v>
      </c>
      <c r="C49" t="s">
        <v>2909</v>
      </c>
      <c r="D49" t="s">
        <v>2910</v>
      </c>
      <c r="E49" s="267">
        <v>5.9649133639846754</v>
      </c>
      <c r="F49" s="267">
        <v>5.9649133639846754</v>
      </c>
      <c r="G49" s="267">
        <v>5.9649133639846754</v>
      </c>
      <c r="H49" s="267">
        <v>5.9649133639846754</v>
      </c>
      <c r="I49" s="267">
        <v>5.9649133639846754</v>
      </c>
      <c r="J49" s="267">
        <v>5.9649133639846754</v>
      </c>
      <c r="K49" s="267">
        <v>5.9649133639846754</v>
      </c>
      <c r="M49" s="267">
        <f t="shared" si="39"/>
        <v>6.9443728535442979</v>
      </c>
      <c r="N49" s="267">
        <f t="shared" si="40"/>
        <v>6.9443728535442979</v>
      </c>
      <c r="O49" s="267">
        <f t="shared" si="41"/>
        <v>6.9443728535442979</v>
      </c>
      <c r="P49" s="267">
        <f t="shared" si="42"/>
        <v>6.9443728535442979</v>
      </c>
      <c r="Q49" s="267">
        <f t="shared" si="43"/>
        <v>6.9443728535442979</v>
      </c>
      <c r="R49" s="267">
        <f t="shared" si="44"/>
        <v>6.9443728535442979</v>
      </c>
      <c r="S49" s="267">
        <f t="shared" si="45"/>
        <v>6.9443728535442979</v>
      </c>
    </row>
    <row r="50" spans="1:19" x14ac:dyDescent="0.25">
      <c r="B50" t="s">
        <v>2880</v>
      </c>
      <c r="C50" t="s">
        <v>2909</v>
      </c>
      <c r="D50" t="s">
        <v>2911</v>
      </c>
      <c r="E50" s="267">
        <v>0.73380913260765379</v>
      </c>
      <c r="F50" s="267">
        <v>0.73380913260765379</v>
      </c>
      <c r="G50" s="267">
        <v>0.73380913260765379</v>
      </c>
      <c r="H50" s="267">
        <v>0.73380913260765379</v>
      </c>
      <c r="I50" s="267">
        <v>0.73380913260765379</v>
      </c>
      <c r="J50" s="267">
        <v>0.73380913260765379</v>
      </c>
      <c r="K50" s="267">
        <v>0.73380913260765379</v>
      </c>
      <c r="M50" s="267">
        <f t="shared" si="39"/>
        <v>0.85430314058398293</v>
      </c>
      <c r="N50" s="267">
        <f t="shared" si="40"/>
        <v>0.85430314058398293</v>
      </c>
      <c r="O50" s="267">
        <f t="shared" si="41"/>
        <v>0.85430314058398293</v>
      </c>
      <c r="P50" s="267">
        <f t="shared" si="42"/>
        <v>0.85430314058398293</v>
      </c>
      <c r="Q50" s="267">
        <f t="shared" si="43"/>
        <v>0.85430314058398293</v>
      </c>
      <c r="R50" s="267">
        <f t="shared" si="44"/>
        <v>0.85430314058398293</v>
      </c>
      <c r="S50" s="267">
        <f t="shared" si="45"/>
        <v>0.85430314058398293</v>
      </c>
    </row>
    <row r="51" spans="1:19" x14ac:dyDescent="0.25">
      <c r="B51" t="s">
        <v>2881</v>
      </c>
      <c r="C51" t="s">
        <v>2909</v>
      </c>
      <c r="D51" t="s">
        <v>2910</v>
      </c>
      <c r="E51" s="267">
        <v>7.6462412276767671</v>
      </c>
      <c r="F51" s="267">
        <v>7.6462412276767671</v>
      </c>
      <c r="G51" s="267">
        <v>7.6462412276767671</v>
      </c>
      <c r="H51" s="267">
        <v>7.6462412276767671</v>
      </c>
      <c r="I51" s="267">
        <v>7.6462412276767671</v>
      </c>
      <c r="J51" s="267">
        <v>7.6462412276767671</v>
      </c>
      <c r="K51" s="267">
        <v>7.6462412276767671</v>
      </c>
      <c r="M51" s="267">
        <f t="shared" si="39"/>
        <v>8.9017805914383068</v>
      </c>
      <c r="N51" s="267">
        <f t="shared" si="40"/>
        <v>8.9017805914383068</v>
      </c>
      <c r="O51" s="267">
        <f t="shared" si="41"/>
        <v>8.9017805914383068</v>
      </c>
      <c r="P51" s="267">
        <f t="shared" si="42"/>
        <v>8.9017805914383068</v>
      </c>
      <c r="Q51" s="267">
        <f t="shared" si="43"/>
        <v>8.9017805914383068</v>
      </c>
      <c r="R51" s="267">
        <f t="shared" si="44"/>
        <v>8.9017805914383068</v>
      </c>
      <c r="S51" s="267">
        <f t="shared" si="45"/>
        <v>8.9017805914383068</v>
      </c>
    </row>
    <row r="52" spans="1:19" x14ac:dyDescent="0.25">
      <c r="B52" t="s">
        <v>2882</v>
      </c>
      <c r="C52" t="s">
        <v>2909</v>
      </c>
      <c r="D52" t="s">
        <v>2883</v>
      </c>
      <c r="E52" s="267">
        <v>0</v>
      </c>
      <c r="F52" s="267">
        <v>0</v>
      </c>
      <c r="G52" s="267">
        <v>0</v>
      </c>
      <c r="H52" s="267">
        <v>0</v>
      </c>
      <c r="I52" s="267">
        <v>0</v>
      </c>
      <c r="J52" s="267">
        <v>0</v>
      </c>
      <c r="K52" s="267">
        <v>0</v>
      </c>
      <c r="M52" s="267">
        <f t="shared" si="39"/>
        <v>0</v>
      </c>
      <c r="N52" s="267">
        <f t="shared" si="40"/>
        <v>0</v>
      </c>
      <c r="O52" s="267">
        <f t="shared" si="41"/>
        <v>0</v>
      </c>
      <c r="P52" s="267">
        <f t="shared" si="42"/>
        <v>0</v>
      </c>
      <c r="Q52" s="267">
        <f t="shared" si="43"/>
        <v>0</v>
      </c>
      <c r="R52" s="267">
        <f t="shared" si="44"/>
        <v>0</v>
      </c>
      <c r="S52" s="267">
        <f t="shared" si="45"/>
        <v>0</v>
      </c>
    </row>
    <row r="53" spans="1:19" x14ac:dyDescent="0.25">
      <c r="B53" t="s">
        <v>2884</v>
      </c>
      <c r="C53" t="s">
        <v>2909</v>
      </c>
      <c r="D53" t="s">
        <v>2883</v>
      </c>
      <c r="E53" s="267">
        <v>0</v>
      </c>
      <c r="F53" s="267">
        <v>0</v>
      </c>
      <c r="G53" s="267">
        <v>0</v>
      </c>
      <c r="H53" s="267">
        <v>0</v>
      </c>
      <c r="I53" s="267">
        <v>0</v>
      </c>
      <c r="J53" s="267">
        <v>0</v>
      </c>
      <c r="K53" s="267">
        <v>0</v>
      </c>
      <c r="M53" s="267">
        <f t="shared" si="39"/>
        <v>0</v>
      </c>
      <c r="N53" s="267">
        <f t="shared" si="40"/>
        <v>0</v>
      </c>
      <c r="O53" s="267">
        <f t="shared" si="41"/>
        <v>0</v>
      </c>
      <c r="P53" s="267">
        <f t="shared" si="42"/>
        <v>0</v>
      </c>
      <c r="Q53" s="267">
        <f t="shared" si="43"/>
        <v>0</v>
      </c>
      <c r="R53" s="267">
        <f t="shared" si="44"/>
        <v>0</v>
      </c>
      <c r="S53" s="267">
        <f t="shared" si="45"/>
        <v>0</v>
      </c>
    </row>
    <row r="54" spans="1:19" x14ac:dyDescent="0.25">
      <c r="B54" t="s">
        <v>2885</v>
      </c>
      <c r="C54" t="s">
        <v>2909</v>
      </c>
      <c r="D54" t="s">
        <v>2883</v>
      </c>
      <c r="E54" s="267">
        <v>0</v>
      </c>
      <c r="F54" s="267">
        <v>0</v>
      </c>
      <c r="G54" s="267">
        <v>0</v>
      </c>
      <c r="H54" s="267">
        <v>0</v>
      </c>
      <c r="I54" s="267">
        <v>0</v>
      </c>
      <c r="J54" s="267">
        <v>0</v>
      </c>
      <c r="K54" s="267">
        <v>0</v>
      </c>
      <c r="M54" s="267">
        <f t="shared" si="39"/>
        <v>0</v>
      </c>
      <c r="N54" s="267">
        <f t="shared" si="40"/>
        <v>0</v>
      </c>
      <c r="O54" s="267">
        <f t="shared" si="41"/>
        <v>0</v>
      </c>
      <c r="P54" s="267">
        <f t="shared" si="42"/>
        <v>0</v>
      </c>
      <c r="Q54" s="267">
        <f t="shared" si="43"/>
        <v>0</v>
      </c>
      <c r="R54" s="267">
        <f t="shared" si="44"/>
        <v>0</v>
      </c>
      <c r="S54" s="267">
        <f t="shared" si="45"/>
        <v>0</v>
      </c>
    </row>
    <row r="55" spans="1:19" x14ac:dyDescent="0.25">
      <c r="A55" t="s">
        <v>2886</v>
      </c>
      <c r="B55" t="s">
        <v>2887</v>
      </c>
      <c r="C55" t="s">
        <v>2906</v>
      </c>
      <c r="D55" t="s">
        <v>2889</v>
      </c>
      <c r="E55" s="267">
        <v>0</v>
      </c>
      <c r="F55" s="267">
        <v>0</v>
      </c>
      <c r="G55" s="267">
        <v>0</v>
      </c>
      <c r="H55" s="267">
        <v>0</v>
      </c>
      <c r="I55" s="267">
        <v>0</v>
      </c>
      <c r="J55" s="267">
        <v>0</v>
      </c>
      <c r="K55" s="267">
        <v>0</v>
      </c>
      <c r="M55" s="267">
        <f t="shared" si="39"/>
        <v>0</v>
      </c>
      <c r="N55" s="267">
        <f t="shared" si="40"/>
        <v>0</v>
      </c>
      <c r="O55" s="267">
        <f t="shared" si="41"/>
        <v>0</v>
      </c>
      <c r="P55" s="267">
        <f t="shared" si="42"/>
        <v>0</v>
      </c>
      <c r="Q55" s="267">
        <f t="shared" si="43"/>
        <v>0</v>
      </c>
      <c r="R55" s="267">
        <f t="shared" si="44"/>
        <v>0</v>
      </c>
      <c r="S55" s="267">
        <f t="shared" si="45"/>
        <v>0</v>
      </c>
    </row>
    <row r="56" spans="1:19" x14ac:dyDescent="0.25">
      <c r="B56" t="s">
        <v>2890</v>
      </c>
      <c r="C56" t="s">
        <v>2909</v>
      </c>
      <c r="D56" t="s">
        <v>2889</v>
      </c>
      <c r="E56" s="267">
        <v>1.7611111111111111</v>
      </c>
      <c r="F56" s="267">
        <v>1.5501174882585307</v>
      </c>
      <c r="G56" s="267">
        <v>1.3215601650460436</v>
      </c>
      <c r="H56" s="267">
        <v>1.1267025132389441</v>
      </c>
      <c r="I56" s="267">
        <v>0.9605756793484499</v>
      </c>
      <c r="J56" s="267">
        <v>0.81894344329030022</v>
      </c>
      <c r="K56" s="267">
        <v>0.69819419513419467</v>
      </c>
      <c r="M56" s="267">
        <f t="shared" si="39"/>
        <v>2.0502916716137327</v>
      </c>
      <c r="N56" s="267">
        <f t="shared" si="40"/>
        <v>1.8046521631415378</v>
      </c>
      <c r="O56" s="267">
        <f t="shared" si="41"/>
        <v>1.5385649337144076</v>
      </c>
      <c r="P56" s="267">
        <f t="shared" si="42"/>
        <v>1.3117109787710171</v>
      </c>
      <c r="Q56" s="267">
        <f t="shared" si="43"/>
        <v>1.1183055418236891</v>
      </c>
      <c r="R56" s="267">
        <f t="shared" si="44"/>
        <v>0.9534168007386109</v>
      </c>
      <c r="S56" s="267">
        <f t="shared" si="45"/>
        <v>0.81284010669238083</v>
      </c>
    </row>
    <row r="57" spans="1:19" x14ac:dyDescent="0.25">
      <c r="B57" t="s">
        <v>2891</v>
      </c>
      <c r="C57" t="s">
        <v>2909</v>
      </c>
      <c r="D57" t="s">
        <v>2889</v>
      </c>
      <c r="E57" s="267">
        <v>1.7611111111111111</v>
      </c>
      <c r="F57" s="267">
        <v>1.5501174882585307</v>
      </c>
      <c r="G57" s="267">
        <v>1.3215601650460436</v>
      </c>
      <c r="H57" s="267">
        <v>1.1267025132389441</v>
      </c>
      <c r="I57" s="267">
        <v>0.9605756793484499</v>
      </c>
      <c r="J57" s="267">
        <v>0.81894344329030022</v>
      </c>
      <c r="K57" s="267">
        <v>0.69819419513419467</v>
      </c>
      <c r="M57" s="267">
        <f t="shared" si="39"/>
        <v>2.0502916716137327</v>
      </c>
      <c r="N57" s="267">
        <f t="shared" si="40"/>
        <v>1.8046521631415378</v>
      </c>
      <c r="O57" s="267">
        <f t="shared" si="41"/>
        <v>1.5385649337144076</v>
      </c>
      <c r="P57" s="267">
        <f t="shared" si="42"/>
        <v>1.3117109787710171</v>
      </c>
      <c r="Q57" s="267">
        <f t="shared" si="43"/>
        <v>1.1183055418236891</v>
      </c>
      <c r="R57" s="267">
        <f t="shared" si="44"/>
        <v>0.9534168007386109</v>
      </c>
      <c r="S57" s="267">
        <f t="shared" si="45"/>
        <v>0.81284010669238083</v>
      </c>
    </row>
    <row r="58" spans="1:19" x14ac:dyDescent="0.25">
      <c r="B58" t="s">
        <v>2892</v>
      </c>
      <c r="C58" t="s">
        <v>2909</v>
      </c>
      <c r="D58" t="s">
        <v>2893</v>
      </c>
      <c r="E58" s="267">
        <v>0</v>
      </c>
      <c r="F58" s="267">
        <v>0</v>
      </c>
      <c r="G58" s="267">
        <v>0</v>
      </c>
      <c r="H58" s="267">
        <v>0</v>
      </c>
      <c r="I58" s="267">
        <v>0</v>
      </c>
      <c r="J58" s="267">
        <v>0</v>
      </c>
      <c r="K58" s="267">
        <v>0</v>
      </c>
      <c r="M58" s="267">
        <f t="shared" si="39"/>
        <v>0</v>
      </c>
      <c r="N58" s="267">
        <f t="shared" si="40"/>
        <v>0</v>
      </c>
      <c r="O58" s="267">
        <f t="shared" si="41"/>
        <v>0</v>
      </c>
      <c r="P58" s="267">
        <f t="shared" si="42"/>
        <v>0</v>
      </c>
      <c r="Q58" s="267">
        <f t="shared" si="43"/>
        <v>0</v>
      </c>
      <c r="R58" s="267">
        <f t="shared" si="44"/>
        <v>0</v>
      </c>
      <c r="S58" s="267">
        <f t="shared" si="45"/>
        <v>0</v>
      </c>
    </row>
    <row r="59" spans="1:19" x14ac:dyDescent="0.25">
      <c r="B59" t="s">
        <v>2905</v>
      </c>
      <c r="C59" t="s">
        <v>2906</v>
      </c>
      <c r="D59" t="s">
        <v>2906</v>
      </c>
      <c r="E59" s="267">
        <v>0</v>
      </c>
      <c r="F59" s="267">
        <v>0</v>
      </c>
      <c r="G59" s="267">
        <v>0</v>
      </c>
      <c r="H59" s="267">
        <v>0</v>
      </c>
      <c r="I59" s="267">
        <v>0</v>
      </c>
      <c r="J59" s="267">
        <v>0</v>
      </c>
      <c r="K59" s="267">
        <v>0</v>
      </c>
      <c r="M59" s="267">
        <f t="shared" si="39"/>
        <v>0</v>
      </c>
      <c r="N59" s="267">
        <f t="shared" si="40"/>
        <v>0</v>
      </c>
      <c r="O59" s="267">
        <f t="shared" si="41"/>
        <v>0</v>
      </c>
      <c r="P59" s="267">
        <f t="shared" si="42"/>
        <v>0</v>
      </c>
      <c r="Q59" s="267">
        <f t="shared" si="43"/>
        <v>0</v>
      </c>
      <c r="R59" s="267">
        <f t="shared" si="44"/>
        <v>0</v>
      </c>
      <c r="S59" s="267">
        <f t="shared" si="45"/>
        <v>0</v>
      </c>
    </row>
    <row r="60" spans="1:19" x14ac:dyDescent="0.25">
      <c r="A60" t="s">
        <v>2894</v>
      </c>
      <c r="B60" t="s">
        <v>2895</v>
      </c>
      <c r="C60" t="s">
        <v>2909</v>
      </c>
      <c r="D60" t="s">
        <v>2896</v>
      </c>
      <c r="E60" s="267">
        <v>0</v>
      </c>
      <c r="F60" s="267">
        <v>0</v>
      </c>
      <c r="G60" s="267">
        <v>0</v>
      </c>
      <c r="H60" s="267">
        <v>0</v>
      </c>
      <c r="I60" s="267">
        <v>0</v>
      </c>
      <c r="J60" s="267">
        <v>0</v>
      </c>
      <c r="K60" s="267">
        <v>0</v>
      </c>
      <c r="M60" s="267">
        <f t="shared" si="39"/>
        <v>0</v>
      </c>
      <c r="N60" s="267">
        <f t="shared" si="40"/>
        <v>0</v>
      </c>
      <c r="O60" s="267">
        <f t="shared" si="41"/>
        <v>0</v>
      </c>
      <c r="P60" s="267">
        <f t="shared" si="42"/>
        <v>0</v>
      </c>
      <c r="Q60" s="267">
        <f t="shared" si="43"/>
        <v>0</v>
      </c>
      <c r="R60" s="267">
        <f t="shared" si="44"/>
        <v>0</v>
      </c>
      <c r="S60" s="267">
        <f t="shared" si="45"/>
        <v>0</v>
      </c>
    </row>
    <row r="61" spans="1:19" x14ac:dyDescent="0.25">
      <c r="B61" t="s">
        <v>2897</v>
      </c>
      <c r="C61" t="s">
        <v>2909</v>
      </c>
      <c r="D61" t="s">
        <v>2896</v>
      </c>
      <c r="E61" s="267">
        <v>0</v>
      </c>
      <c r="F61" s="267">
        <v>0</v>
      </c>
      <c r="G61" s="267">
        <v>0</v>
      </c>
      <c r="H61" s="267">
        <v>0</v>
      </c>
      <c r="I61" s="267">
        <v>0</v>
      </c>
      <c r="J61" s="267">
        <v>0</v>
      </c>
      <c r="K61" s="267">
        <v>0</v>
      </c>
      <c r="M61" s="267">
        <f t="shared" si="39"/>
        <v>0</v>
      </c>
      <c r="N61" s="267">
        <f t="shared" si="40"/>
        <v>0</v>
      </c>
      <c r="O61" s="267">
        <f t="shared" si="41"/>
        <v>0</v>
      </c>
      <c r="P61" s="267">
        <f t="shared" si="42"/>
        <v>0</v>
      </c>
      <c r="Q61" s="267">
        <f t="shared" si="43"/>
        <v>0</v>
      </c>
      <c r="R61" s="267">
        <f t="shared" si="44"/>
        <v>0</v>
      </c>
      <c r="S61" s="267">
        <f t="shared" si="45"/>
        <v>0</v>
      </c>
    </row>
    <row r="62" spans="1:19" x14ac:dyDescent="0.25">
      <c r="B62" t="s">
        <v>2898</v>
      </c>
      <c r="C62" t="s">
        <v>2909</v>
      </c>
      <c r="D62" t="s">
        <v>2907</v>
      </c>
      <c r="E62" s="267">
        <v>0</v>
      </c>
      <c r="F62" s="267">
        <v>0</v>
      </c>
      <c r="G62" s="267">
        <v>0</v>
      </c>
      <c r="H62" s="267">
        <v>0</v>
      </c>
      <c r="I62" s="267">
        <v>0</v>
      </c>
      <c r="J62" s="267">
        <v>0</v>
      </c>
      <c r="K62" s="267">
        <v>0</v>
      </c>
      <c r="M62" s="267">
        <f t="shared" si="39"/>
        <v>0</v>
      </c>
      <c r="N62" s="267">
        <f t="shared" si="40"/>
        <v>0</v>
      </c>
      <c r="O62" s="267">
        <f t="shared" si="41"/>
        <v>0</v>
      </c>
      <c r="P62" s="267">
        <f t="shared" si="42"/>
        <v>0</v>
      </c>
      <c r="Q62" s="267">
        <f t="shared" si="43"/>
        <v>0</v>
      </c>
      <c r="R62" s="267">
        <f t="shared" si="44"/>
        <v>0</v>
      </c>
      <c r="S62" s="267">
        <f t="shared" si="45"/>
        <v>0</v>
      </c>
    </row>
    <row r="63" spans="1:19" x14ac:dyDescent="0.25">
      <c r="B63" t="s">
        <v>2899</v>
      </c>
      <c r="C63" t="s">
        <v>2909</v>
      </c>
      <c r="D63" t="s">
        <v>2907</v>
      </c>
      <c r="E63" s="267">
        <v>0</v>
      </c>
      <c r="F63" s="267">
        <v>0</v>
      </c>
      <c r="G63" s="267">
        <v>0</v>
      </c>
      <c r="H63" s="267">
        <v>0</v>
      </c>
      <c r="I63" s="267">
        <v>0</v>
      </c>
      <c r="J63" s="267">
        <v>0</v>
      </c>
      <c r="K63" s="267">
        <v>0</v>
      </c>
      <c r="M63" s="267">
        <f t="shared" si="39"/>
        <v>0</v>
      </c>
      <c r="N63" s="267">
        <f t="shared" si="40"/>
        <v>0</v>
      </c>
      <c r="O63" s="267">
        <f t="shared" si="41"/>
        <v>0</v>
      </c>
      <c r="P63" s="267">
        <f t="shared" si="42"/>
        <v>0</v>
      </c>
      <c r="Q63" s="267">
        <f t="shared" si="43"/>
        <v>0</v>
      </c>
      <c r="R63" s="267">
        <f t="shared" si="44"/>
        <v>0</v>
      </c>
      <c r="S63" s="267">
        <f t="shared" si="45"/>
        <v>0</v>
      </c>
    </row>
    <row r="64" spans="1:19" x14ac:dyDescent="0.25">
      <c r="B64" t="s">
        <v>2900</v>
      </c>
      <c r="C64" t="s">
        <v>2909</v>
      </c>
      <c r="D64" t="s">
        <v>2907</v>
      </c>
      <c r="E64" s="267">
        <v>0</v>
      </c>
      <c r="F64" s="267">
        <v>0</v>
      </c>
      <c r="G64" s="267">
        <v>0</v>
      </c>
      <c r="H64" s="267">
        <v>0</v>
      </c>
      <c r="I64" s="267">
        <v>0</v>
      </c>
      <c r="J64" s="267">
        <v>0</v>
      </c>
      <c r="K64" s="267">
        <v>0</v>
      </c>
      <c r="M64" s="267">
        <f t="shared" si="39"/>
        <v>0</v>
      </c>
      <c r="N64" s="267">
        <f t="shared" si="40"/>
        <v>0</v>
      </c>
      <c r="O64" s="267">
        <f t="shared" si="41"/>
        <v>0</v>
      </c>
      <c r="P64" s="267">
        <f t="shared" si="42"/>
        <v>0</v>
      </c>
      <c r="Q64" s="267">
        <f t="shared" si="43"/>
        <v>0</v>
      </c>
      <c r="R64" s="267">
        <f t="shared" si="44"/>
        <v>0</v>
      </c>
      <c r="S64" s="267">
        <f t="shared" si="45"/>
        <v>0</v>
      </c>
    </row>
    <row r="65" spans="2:19" x14ac:dyDescent="0.25">
      <c r="B65" t="s">
        <v>2901</v>
      </c>
      <c r="C65" t="s">
        <v>2909</v>
      </c>
      <c r="D65" t="s">
        <v>2907</v>
      </c>
      <c r="E65" s="267">
        <v>0</v>
      </c>
      <c r="F65" s="267">
        <v>0</v>
      </c>
      <c r="G65" s="267">
        <v>0</v>
      </c>
      <c r="H65" s="267">
        <v>0</v>
      </c>
      <c r="I65" s="267">
        <v>0</v>
      </c>
      <c r="J65" s="267">
        <v>0</v>
      </c>
      <c r="K65" s="267">
        <v>0</v>
      </c>
      <c r="M65" s="267">
        <f t="shared" si="39"/>
        <v>0</v>
      </c>
      <c r="N65" s="267">
        <f t="shared" si="40"/>
        <v>0</v>
      </c>
      <c r="O65" s="267">
        <f t="shared" si="41"/>
        <v>0</v>
      </c>
      <c r="P65" s="267">
        <f t="shared" si="42"/>
        <v>0</v>
      </c>
      <c r="Q65" s="267">
        <f t="shared" si="43"/>
        <v>0</v>
      </c>
      <c r="R65" s="267">
        <f t="shared" si="44"/>
        <v>0</v>
      </c>
      <c r="S65" s="267">
        <f t="shared" si="45"/>
        <v>0</v>
      </c>
    </row>
  </sheetData>
  <mergeCells count="36">
    <mergeCell ref="A45:K45"/>
    <mergeCell ref="M2:S2"/>
    <mergeCell ref="M23:S23"/>
    <mergeCell ref="M45:S45"/>
    <mergeCell ref="U2:AA2"/>
    <mergeCell ref="AD22:AD24"/>
    <mergeCell ref="AC25:AC27"/>
    <mergeCell ref="AD25:AD27"/>
    <mergeCell ref="C1:K1"/>
    <mergeCell ref="AC2:BN2"/>
    <mergeCell ref="AC8:AC10"/>
    <mergeCell ref="AD8:AD10"/>
    <mergeCell ref="AC11:AC13"/>
    <mergeCell ref="AD11:AD13"/>
    <mergeCell ref="AF3:AL3"/>
    <mergeCell ref="AM3:AS3"/>
    <mergeCell ref="AT3:AZ3"/>
    <mergeCell ref="BA3:BG3"/>
    <mergeCell ref="A2:K2"/>
    <mergeCell ref="A23:K23"/>
    <mergeCell ref="BH37:BN37"/>
    <mergeCell ref="U23:AA23"/>
    <mergeCell ref="BH3:BN3"/>
    <mergeCell ref="AF31:AL31"/>
    <mergeCell ref="AF37:AL37"/>
    <mergeCell ref="AM31:AS31"/>
    <mergeCell ref="AM37:AS37"/>
    <mergeCell ref="AT31:AZ31"/>
    <mergeCell ref="AT37:AZ37"/>
    <mergeCell ref="BA31:BG31"/>
    <mergeCell ref="BA37:BG37"/>
    <mergeCell ref="BH31:BN31"/>
    <mergeCell ref="AC15:AC17"/>
    <mergeCell ref="AD15:AD17"/>
    <mergeCell ref="AC19:AC21"/>
    <mergeCell ref="AC22:AC24"/>
  </mergeCells>
  <hyperlinks>
    <hyperlink ref="A1" r:id="rId1" xr:uid="{BEAAF311-EBBB-41D2-978F-51DF55ECCD8D}"/>
    <hyperlink ref="AC1" r:id="rId2" xr:uid="{F46A503A-E2B6-4764-B50F-0B8697E2CDA2}"/>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BA56-10B6-42DE-887A-C876BEA7B5F9}">
  <sheetPr>
    <tabColor theme="7" tint="0.59999389629810485"/>
  </sheetPr>
  <dimension ref="A1:E7"/>
  <sheetViews>
    <sheetView workbookViewId="0">
      <selection activeCell="J12" sqref="J12"/>
    </sheetView>
  </sheetViews>
  <sheetFormatPr defaultRowHeight="15" x14ac:dyDescent="0.25"/>
  <cols>
    <col min="1" max="1" width="19.28515625" customWidth="1"/>
    <col min="2" max="2" width="11.42578125" customWidth="1"/>
    <col min="3" max="3" width="15.42578125" customWidth="1"/>
    <col min="4" max="4" width="21.140625" customWidth="1"/>
    <col min="5" max="5" width="15.85546875" customWidth="1"/>
  </cols>
  <sheetData>
    <row r="1" spans="1:5" x14ac:dyDescent="0.25">
      <c r="A1" s="26" t="s">
        <v>3054</v>
      </c>
    </row>
    <row r="2" spans="1:5" ht="33" x14ac:dyDescent="0.25">
      <c r="B2" s="132"/>
      <c r="C2" s="792" t="s">
        <v>3061</v>
      </c>
      <c r="D2" s="792" t="s">
        <v>3055</v>
      </c>
      <c r="E2" s="792" t="s">
        <v>3058</v>
      </c>
    </row>
    <row r="3" spans="1:5" ht="16.5" x14ac:dyDescent="0.25">
      <c r="A3" t="s">
        <v>3059</v>
      </c>
      <c r="B3" s="793" t="s">
        <v>3056</v>
      </c>
      <c r="C3" s="794">
        <v>24829340</v>
      </c>
      <c r="D3" s="794">
        <v>8837758</v>
      </c>
      <c r="E3" s="793">
        <v>0.35599999999999998</v>
      </c>
    </row>
    <row r="4" spans="1:5" ht="16.5" x14ac:dyDescent="0.25">
      <c r="A4" t="s">
        <v>3060</v>
      </c>
      <c r="B4" s="793" t="s">
        <v>3057</v>
      </c>
      <c r="C4" s="794">
        <v>114368700000</v>
      </c>
      <c r="D4" s="794">
        <v>86766320000</v>
      </c>
      <c r="E4" s="793">
        <v>0.75900000000000001</v>
      </c>
    </row>
    <row r="6" spans="1:5" x14ac:dyDescent="0.25">
      <c r="A6" t="s">
        <v>3063</v>
      </c>
    </row>
    <row r="7" spans="1:5" x14ac:dyDescent="0.25">
      <c r="A7" t="s">
        <v>3062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C13B-8E09-4902-85A4-D1B44CD64A95}">
  <dimension ref="A1:I17"/>
  <sheetViews>
    <sheetView workbookViewId="0">
      <selection activeCell="C11" sqref="C11"/>
    </sheetView>
  </sheetViews>
  <sheetFormatPr defaultRowHeight="15" x14ac:dyDescent="0.25"/>
  <cols>
    <col min="2" max="2" width="28.28515625" bestFit="1" customWidth="1"/>
  </cols>
  <sheetData>
    <row r="1" spans="1:9" x14ac:dyDescent="0.25">
      <c r="A1" t="s">
        <v>3107</v>
      </c>
    </row>
    <row r="2" spans="1:9" x14ac:dyDescent="0.25">
      <c r="A2" t="s">
        <v>3108</v>
      </c>
    </row>
    <row r="3" spans="1:9" x14ac:dyDescent="0.25">
      <c r="A3" t="s">
        <v>3111</v>
      </c>
    </row>
    <row r="4" spans="1:9" x14ac:dyDescent="0.25">
      <c r="A4" t="s">
        <v>3037</v>
      </c>
      <c r="B4" t="s">
        <v>84</v>
      </c>
    </row>
    <row r="5" spans="1:9" x14ac:dyDescent="0.25">
      <c r="A5" t="s">
        <v>3109</v>
      </c>
      <c r="B5">
        <v>600</v>
      </c>
      <c r="C5" t="s">
        <v>788</v>
      </c>
    </row>
    <row r="8" spans="1:9" x14ac:dyDescent="0.25">
      <c r="C8" t="s">
        <v>3045</v>
      </c>
    </row>
    <row r="9" spans="1:9" x14ac:dyDescent="0.25">
      <c r="B9" t="s">
        <v>2974</v>
      </c>
      <c r="C9">
        <v>2023</v>
      </c>
      <c r="D9">
        <v>2025</v>
      </c>
      <c r="E9">
        <v>2030</v>
      </c>
      <c r="F9">
        <v>2035</v>
      </c>
      <c r="G9">
        <v>2040</v>
      </c>
      <c r="H9">
        <v>2045</v>
      </c>
      <c r="I9">
        <v>2050</v>
      </c>
    </row>
    <row r="10" spans="1:9" x14ac:dyDescent="0.25">
      <c r="B10" t="s">
        <v>2981</v>
      </c>
      <c r="C10">
        <v>1</v>
      </c>
      <c r="D10">
        <v>1</v>
      </c>
      <c r="E10">
        <v>1</v>
      </c>
      <c r="F10">
        <v>1</v>
      </c>
      <c r="G10">
        <v>1</v>
      </c>
      <c r="H10">
        <v>1</v>
      </c>
      <c r="I10">
        <v>1</v>
      </c>
    </row>
    <row r="11" spans="1:9" x14ac:dyDescent="0.25">
      <c r="B11" t="s">
        <v>2982</v>
      </c>
      <c r="C11">
        <v>1</v>
      </c>
      <c r="D11">
        <v>1</v>
      </c>
      <c r="E11">
        <v>1</v>
      </c>
      <c r="F11">
        <v>1</v>
      </c>
      <c r="G11">
        <v>1</v>
      </c>
      <c r="H11">
        <v>1</v>
      </c>
      <c r="I11">
        <v>1</v>
      </c>
    </row>
    <row r="12" spans="1:9" x14ac:dyDescent="0.25">
      <c r="B12" t="s">
        <v>2983</v>
      </c>
      <c r="C12">
        <v>1</v>
      </c>
      <c r="D12">
        <v>1</v>
      </c>
      <c r="E12">
        <v>1</v>
      </c>
      <c r="F12">
        <v>1</v>
      </c>
      <c r="G12">
        <v>1</v>
      </c>
      <c r="H12">
        <v>1</v>
      </c>
      <c r="I12">
        <v>1</v>
      </c>
    </row>
    <row r="13" spans="1:9" x14ac:dyDescent="0.25">
      <c r="B13" t="s">
        <v>2984</v>
      </c>
      <c r="C13">
        <v>1</v>
      </c>
      <c r="D13">
        <v>1</v>
      </c>
      <c r="E13">
        <v>1</v>
      </c>
      <c r="F13">
        <v>1</v>
      </c>
      <c r="G13">
        <v>1</v>
      </c>
      <c r="H13">
        <v>1</v>
      </c>
      <c r="I13">
        <v>1</v>
      </c>
    </row>
    <row r="14" spans="1:9" x14ac:dyDescent="0.25">
      <c r="B14" t="s">
        <v>2985</v>
      </c>
      <c r="C14">
        <v>1</v>
      </c>
      <c r="D14">
        <v>1</v>
      </c>
      <c r="E14">
        <v>1</v>
      </c>
      <c r="F14">
        <v>1</v>
      </c>
      <c r="G14">
        <v>1</v>
      </c>
      <c r="H14">
        <v>1</v>
      </c>
      <c r="I14">
        <v>1</v>
      </c>
    </row>
    <row r="15" spans="1:9" x14ac:dyDescent="0.25">
      <c r="B15" t="s">
        <v>2986</v>
      </c>
      <c r="C15">
        <v>1</v>
      </c>
      <c r="D15">
        <v>1</v>
      </c>
      <c r="E15">
        <v>1</v>
      </c>
      <c r="F15">
        <v>1</v>
      </c>
      <c r="G15">
        <v>1</v>
      </c>
      <c r="H15">
        <v>1</v>
      </c>
      <c r="I15">
        <v>1</v>
      </c>
    </row>
    <row r="16" spans="1:9" x14ac:dyDescent="0.25">
      <c r="B16" t="s">
        <v>2987</v>
      </c>
      <c r="C16">
        <v>1</v>
      </c>
      <c r="D16">
        <v>1</v>
      </c>
      <c r="E16">
        <v>1</v>
      </c>
      <c r="F16">
        <v>1</v>
      </c>
      <c r="G16">
        <v>1</v>
      </c>
      <c r="H16">
        <v>1</v>
      </c>
      <c r="I16">
        <v>1</v>
      </c>
    </row>
    <row r="17" spans="2:9" x14ac:dyDescent="0.25">
      <c r="B17" t="s">
        <v>2977</v>
      </c>
      <c r="C17">
        <v>1</v>
      </c>
      <c r="D17">
        <v>1</v>
      </c>
      <c r="E17">
        <v>1</v>
      </c>
      <c r="F17">
        <v>1</v>
      </c>
      <c r="G17">
        <v>1</v>
      </c>
      <c r="H17">
        <v>1</v>
      </c>
      <c r="I17">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BF5E1-7EC4-41CE-A18C-5317CE21E62A}">
  <sheetPr codeName="Sheet24">
    <tabColor theme="8" tint="-0.249977111117893"/>
  </sheetPr>
  <dimension ref="A1:T147"/>
  <sheetViews>
    <sheetView topLeftCell="F1" zoomScale="80" zoomScaleNormal="80" workbookViewId="0">
      <selection activeCell="R11" sqref="R11"/>
    </sheetView>
  </sheetViews>
  <sheetFormatPr defaultRowHeight="15" x14ac:dyDescent="0.25"/>
  <cols>
    <col min="1" max="1" width="36.28515625" bestFit="1" customWidth="1"/>
    <col min="2" max="2" width="13.28515625" bestFit="1" customWidth="1"/>
    <col min="3" max="3" width="13.5703125" bestFit="1" customWidth="1"/>
    <col min="4" max="4" width="14.85546875" bestFit="1" customWidth="1"/>
    <col min="5" max="5" width="11.85546875" bestFit="1" customWidth="1"/>
    <col min="6" max="6" width="28.85546875" customWidth="1"/>
    <col min="7" max="7" width="18.42578125" customWidth="1"/>
    <col min="8" max="8" width="13.42578125" bestFit="1" customWidth="1"/>
    <col min="9" max="9" width="13.85546875" customWidth="1"/>
    <col min="10" max="10" width="24.42578125" bestFit="1" customWidth="1"/>
    <col min="11" max="11" width="26" customWidth="1"/>
    <col min="12" max="12" width="14" customWidth="1"/>
    <col min="13" max="13" width="12" customWidth="1"/>
    <col min="14" max="14" width="18" bestFit="1" customWidth="1"/>
    <col min="15" max="15" width="26" customWidth="1"/>
    <col min="17" max="17" width="34.28515625" customWidth="1"/>
    <col min="18" max="18" width="15.85546875" bestFit="1" customWidth="1"/>
    <col min="20" max="20" width="0" hidden="1" customWidth="1"/>
  </cols>
  <sheetData>
    <row r="1" spans="1:20" s="72" customFormat="1" ht="16.5" thickBot="1" x14ac:dyDescent="0.3">
      <c r="A1" s="863" t="s">
        <v>1356</v>
      </c>
      <c r="B1" s="863"/>
      <c r="C1" s="863"/>
      <c r="D1" s="863"/>
      <c r="F1" s="948" t="s">
        <v>791</v>
      </c>
      <c r="G1" s="949"/>
      <c r="I1" s="253" t="s">
        <v>1720</v>
      </c>
      <c r="M1" s="253" t="s">
        <v>1721</v>
      </c>
      <c r="Q1" s="642" t="s">
        <v>1722</v>
      </c>
      <c r="R1" s="644">
        <v>2</v>
      </c>
      <c r="T1" s="72">
        <v>1</v>
      </c>
    </row>
    <row r="2" spans="1:20" ht="16.5" thickTop="1" thickBot="1" x14ac:dyDescent="0.3">
      <c r="A2" s="83" t="s">
        <v>208</v>
      </c>
      <c r="B2" s="83" t="s">
        <v>220</v>
      </c>
      <c r="C2" s="336" t="s">
        <v>221</v>
      </c>
      <c r="D2" s="83" t="s">
        <v>887</v>
      </c>
      <c r="F2" s="61" t="s">
        <v>1367</v>
      </c>
      <c r="G2" s="473">
        <f>G50/1000</f>
        <v>1.05505585E-6</v>
      </c>
      <c r="I2" s="83" t="s">
        <v>894</v>
      </c>
      <c r="J2" s="83" t="s">
        <v>896</v>
      </c>
      <c r="K2" s="83" t="s">
        <v>895</v>
      </c>
      <c r="M2" s="83" t="s">
        <v>894</v>
      </c>
      <c r="N2" s="83" t="s">
        <v>1719</v>
      </c>
      <c r="O2" s="83" t="s">
        <v>895</v>
      </c>
      <c r="Q2" t="s">
        <v>1723</v>
      </c>
      <c r="T2">
        <v>2</v>
      </c>
    </row>
    <row r="3" spans="1:20" ht="16.5" thickTop="1" thickBot="1" x14ac:dyDescent="0.3">
      <c r="A3" t="s">
        <v>209</v>
      </c>
      <c r="B3" s="62">
        <v>129670</v>
      </c>
      <c r="C3" s="193">
        <v>138350</v>
      </c>
      <c r="D3" s="57">
        <f>C3/B3</f>
        <v>1.0669391532351353</v>
      </c>
      <c r="F3" s="61" t="s">
        <v>245</v>
      </c>
      <c r="G3" s="63">
        <f>F60</f>
        <v>1.60934</v>
      </c>
      <c r="I3">
        <v>2004</v>
      </c>
      <c r="J3">
        <v>104.7</v>
      </c>
      <c r="M3">
        <v>2004</v>
      </c>
      <c r="N3">
        <v>78.900000000000006</v>
      </c>
      <c r="P3" s="67"/>
    </row>
    <row r="4" spans="1:20" ht="15.75" x14ac:dyDescent="0.25">
      <c r="A4" t="s">
        <v>210</v>
      </c>
      <c r="B4" s="62">
        <v>116090</v>
      </c>
      <c r="C4" s="193">
        <v>124340</v>
      </c>
      <c r="D4" s="57">
        <f t="shared" ref="D4:D12" si="0">C4/B4</f>
        <v>1.0710655525885089</v>
      </c>
      <c r="F4" s="61" t="s">
        <v>397</v>
      </c>
      <c r="G4" s="63">
        <f>E43</f>
        <v>3.7854109999999999</v>
      </c>
      <c r="I4">
        <v>2005</v>
      </c>
      <c r="J4">
        <v>107</v>
      </c>
      <c r="K4" s="27">
        <f t="shared" ref="K4:K9" si="1">(J4-J3)/J3</f>
        <v>2.1967526265520506E-2</v>
      </c>
      <c r="M4">
        <v>2005</v>
      </c>
      <c r="N4">
        <v>81.400000000000006</v>
      </c>
      <c r="O4" s="27">
        <f>(N4-N3)/N3</f>
        <v>3.1685678073510769E-2</v>
      </c>
      <c r="P4" s="67"/>
      <c r="Q4" s="470" t="s">
        <v>1041</v>
      </c>
      <c r="R4" s="471"/>
    </row>
    <row r="5" spans="1:20" ht="15.75" thickBot="1" x14ac:dyDescent="0.3">
      <c r="A5" t="s">
        <v>211</v>
      </c>
      <c r="B5" s="62">
        <v>112193.52</v>
      </c>
      <c r="C5" s="193">
        <v>120438.62000000001</v>
      </c>
      <c r="D5" s="57">
        <f t="shared" si="0"/>
        <v>1.0734899840917729</v>
      </c>
      <c r="F5" s="61" t="s">
        <v>400</v>
      </c>
      <c r="G5" s="63">
        <f>F53</f>
        <v>3412.141641601248</v>
      </c>
      <c r="I5">
        <v>2006</v>
      </c>
      <c r="J5">
        <v>109.1</v>
      </c>
      <c r="K5" s="27">
        <f t="shared" si="1"/>
        <v>1.9626168224299013E-2</v>
      </c>
      <c r="M5">
        <v>2006</v>
      </c>
      <c r="N5">
        <v>83.5</v>
      </c>
      <c r="O5" s="27">
        <f>(N5-N4)/N4</f>
        <v>2.5798525798525727E-2</v>
      </c>
      <c r="P5" s="67"/>
      <c r="Q5" s="216" t="s">
        <v>1361</v>
      </c>
      <c r="R5" s="316" t="s">
        <v>1362</v>
      </c>
    </row>
    <row r="6" spans="1:20" ht="15.75" thickTop="1" x14ac:dyDescent="0.25">
      <c r="A6" t="s">
        <v>212</v>
      </c>
      <c r="B6" s="62">
        <v>129487.84757606639</v>
      </c>
      <c r="C6" s="193">
        <v>138490</v>
      </c>
      <c r="D6" s="57">
        <f t="shared" si="0"/>
        <v>1.0695212144803425</v>
      </c>
      <c r="F6" s="61" t="s">
        <v>566</v>
      </c>
      <c r="G6" s="63">
        <f>C37</f>
        <v>2.2046226218487757</v>
      </c>
      <c r="I6">
        <v>2007</v>
      </c>
      <c r="J6">
        <v>111.5</v>
      </c>
      <c r="K6" s="27">
        <f t="shared" si="1"/>
        <v>2.1998166819431769E-2</v>
      </c>
      <c r="M6">
        <v>2007</v>
      </c>
      <c r="N6">
        <v>86.2</v>
      </c>
      <c r="O6" s="27">
        <f t="shared" ref="O6:O21" si="2">(N6-N5)/N5</f>
        <v>3.2335329341317401E-2</v>
      </c>
      <c r="P6" s="67"/>
      <c r="Q6" s="61" t="s">
        <v>1153</v>
      </c>
      <c r="R6" s="472">
        <f>1.2116 * IF($R$1=1, (1+K4)*(1+K5)*(1+K6)*(1+K7)*(1+K8)*(1+K9)*(1+K10)*(1+K11)*(1+K12)*(1+K13)*(1+K14)*(1+K15)*(1+K16)*(1+K17)*(1+K18),
(1+O4)*(1+O5)*(1+O6)*(1+O7)*(1+O8)*(1+O9)*(1+O10)*(1+O11)*(1+O12)*(1+O13)*(1+O14)*(1+O15)*(1+O16)*(1+O17)*(1+O18))</f>
        <v>1.5847543726235749</v>
      </c>
    </row>
    <row r="7" spans="1:20" x14ac:dyDescent="0.25">
      <c r="A7" t="s">
        <v>213</v>
      </c>
      <c r="B7" s="62">
        <v>119550</v>
      </c>
      <c r="C7" s="193">
        <v>127960</v>
      </c>
      <c r="D7" s="57">
        <f t="shared" si="0"/>
        <v>1.0703471350899205</v>
      </c>
      <c r="F7" s="901" t="s">
        <v>401</v>
      </c>
      <c r="G7" s="902"/>
      <c r="I7">
        <v>2008</v>
      </c>
      <c r="J7">
        <v>114.1</v>
      </c>
      <c r="K7" s="27">
        <f t="shared" si="1"/>
        <v>2.3318385650224163E-2</v>
      </c>
      <c r="M7">
        <v>2008</v>
      </c>
      <c r="N7">
        <v>89.7</v>
      </c>
      <c r="O7" s="27">
        <f t="shared" si="2"/>
        <v>4.0603248259860787E-2</v>
      </c>
      <c r="P7" s="67"/>
      <c r="Q7" s="61" t="s">
        <v>2869</v>
      </c>
      <c r="R7" s="472">
        <f>1.2986 * IF($R$1=1, (1+K16)*(1+K17)*(1+K18), (1+O16)*(1+O17)*(1+O18))</f>
        <v>1.3745181538461539</v>
      </c>
    </row>
    <row r="8" spans="1:20" x14ac:dyDescent="0.25">
      <c r="A8" t="s">
        <v>214</v>
      </c>
      <c r="B8" s="62">
        <v>122887</v>
      </c>
      <c r="C8" s="193">
        <v>130817</v>
      </c>
      <c r="D8" s="57">
        <f t="shared" si="0"/>
        <v>1.0645308291357101</v>
      </c>
      <c r="F8" s="901"/>
      <c r="G8" s="902"/>
      <c r="I8">
        <v>2009</v>
      </c>
      <c r="J8">
        <v>114.4</v>
      </c>
      <c r="K8" s="27">
        <f t="shared" si="1"/>
        <v>2.6292725679229745E-3</v>
      </c>
      <c r="M8">
        <v>2009</v>
      </c>
      <c r="N8">
        <v>87.6</v>
      </c>
      <c r="O8" s="27">
        <f t="shared" si="2"/>
        <v>-2.3411371237458289E-2</v>
      </c>
      <c r="P8" s="67"/>
      <c r="Q8" s="61" t="s">
        <v>1122</v>
      </c>
      <c r="R8" s="472">
        <f>1.2957 * IF($R$1=1, (1+K17)*(1+K18), (1+O17)*(1+O18))</f>
        <v>1.3371624000000004</v>
      </c>
    </row>
    <row r="9" spans="1:20" x14ac:dyDescent="0.25">
      <c r="A9" t="s">
        <v>14</v>
      </c>
      <c r="B9" s="62">
        <v>76330</v>
      </c>
      <c r="C9" s="193">
        <v>84530</v>
      </c>
      <c r="D9" s="57">
        <f t="shared" si="0"/>
        <v>1.1074282719769422</v>
      </c>
      <c r="F9" s="901"/>
      <c r="G9" s="902"/>
      <c r="I9">
        <v>2010</v>
      </c>
      <c r="J9">
        <v>116.5</v>
      </c>
      <c r="K9" s="27">
        <f t="shared" si="1"/>
        <v>1.8356643356643308E-2</v>
      </c>
      <c r="M9">
        <v>2010</v>
      </c>
      <c r="N9">
        <v>90.1</v>
      </c>
      <c r="O9" s="27">
        <f t="shared" si="2"/>
        <v>2.853881278538813E-2</v>
      </c>
      <c r="P9" s="67"/>
      <c r="Q9" s="61" t="s">
        <v>1725</v>
      </c>
      <c r="R9" s="472">
        <f>1.3269 * IF($R$1=1, (1+K18), (1+O18))</f>
        <v>1.346470796460177</v>
      </c>
    </row>
    <row r="10" spans="1:20" x14ac:dyDescent="0.25">
      <c r="A10" t="s">
        <v>215</v>
      </c>
      <c r="B10" s="62">
        <v>84950</v>
      </c>
      <c r="C10" s="193">
        <v>91410</v>
      </c>
      <c r="D10" s="57">
        <f t="shared" si="0"/>
        <v>1.076044732195409</v>
      </c>
      <c r="F10" s="61"/>
      <c r="G10" s="60"/>
      <c r="H10" s="103"/>
      <c r="I10">
        <v>2011</v>
      </c>
      <c r="J10">
        <v>119.9</v>
      </c>
      <c r="K10" s="27">
        <f t="shared" ref="K10:K21" si="3">(J10-J9)/J9</f>
        <v>2.9184549356223225E-2</v>
      </c>
      <c r="M10">
        <v>2011</v>
      </c>
      <c r="N10">
        <v>93</v>
      </c>
      <c r="O10" s="27">
        <f t="shared" si="2"/>
        <v>3.2186459489456226E-2</v>
      </c>
      <c r="P10" s="67"/>
      <c r="Q10" s="61" t="s">
        <v>893</v>
      </c>
      <c r="R10" s="60">
        <v>1.3414999999999999</v>
      </c>
    </row>
    <row r="11" spans="1:20" ht="16.5" thickBot="1" x14ac:dyDescent="0.3">
      <c r="A11" t="s">
        <v>216</v>
      </c>
      <c r="B11" s="62">
        <v>74720</v>
      </c>
      <c r="C11" s="193">
        <v>84820</v>
      </c>
      <c r="D11" s="57">
        <f t="shared" si="0"/>
        <v>1.1351713062098501</v>
      </c>
      <c r="F11" s="950" t="s">
        <v>1716</v>
      </c>
      <c r="G11" s="951"/>
      <c r="I11">
        <v>2012</v>
      </c>
      <c r="J11">
        <v>121.7</v>
      </c>
      <c r="K11" s="27">
        <f t="shared" si="3"/>
        <v>1.5012510425354437E-2</v>
      </c>
      <c r="M11">
        <v>2012</v>
      </c>
      <c r="N11">
        <v>94.1</v>
      </c>
      <c r="O11" s="27">
        <f t="shared" si="2"/>
        <v>1.1827956989247251E-2</v>
      </c>
      <c r="P11" s="67"/>
      <c r="Q11" s="61" t="s">
        <v>1726</v>
      </c>
      <c r="R11" s="472">
        <f>1.2535 / IF($R$1=1, (1+K20), (1+O20))</f>
        <v>1.1642034728406054</v>
      </c>
    </row>
    <row r="12" spans="1:20" ht="15.75" thickTop="1" x14ac:dyDescent="0.25">
      <c r="A12" t="s">
        <v>217</v>
      </c>
      <c r="B12" s="62">
        <v>30500</v>
      </c>
      <c r="C12" s="193">
        <v>36020</v>
      </c>
      <c r="D12" s="57">
        <f t="shared" si="0"/>
        <v>1.1809836065573771</v>
      </c>
      <c r="F12" s="61" t="s">
        <v>402</v>
      </c>
      <c r="G12" s="63">
        <f>(100*L_gal)/km_mile</f>
        <v>235.21511924142814</v>
      </c>
      <c r="H12" s="76"/>
      <c r="I12">
        <v>2013</v>
      </c>
      <c r="J12">
        <v>122.8</v>
      </c>
      <c r="K12" s="27">
        <f t="shared" si="3"/>
        <v>9.0386195562859022E-3</v>
      </c>
      <c r="M12">
        <v>2013</v>
      </c>
      <c r="N12">
        <v>95.8</v>
      </c>
      <c r="O12" s="27">
        <f t="shared" si="2"/>
        <v>1.8065887353878884E-2</v>
      </c>
      <c r="P12" s="67"/>
      <c r="Q12" s="61" t="s">
        <v>1674</v>
      </c>
      <c r="R12" s="472">
        <f>1.3013 / IF($R$1=1, (1+K20)*(1+K21), (1+O20)*(1+O21))</f>
        <v>1.1226268817204299</v>
      </c>
    </row>
    <row r="13" spans="1:20" x14ac:dyDescent="0.25">
      <c r="A13" t="s">
        <v>218</v>
      </c>
      <c r="B13" s="62">
        <v>983</v>
      </c>
      <c r="C13" s="193">
        <v>1089</v>
      </c>
      <c r="D13" s="337">
        <f>ROUND(C13/B13, 2)</f>
        <v>1.1100000000000001</v>
      </c>
      <c r="F13" s="61" t="s">
        <v>451</v>
      </c>
      <c r="G13" s="473">
        <f>PJ_MMBtu/L_gal</f>
        <v>2.7871632697215709E-7</v>
      </c>
      <c r="H13" s="76"/>
      <c r="I13">
        <v>2014</v>
      </c>
      <c r="J13">
        <v>125.2</v>
      </c>
      <c r="K13" s="27">
        <f t="shared" si="3"/>
        <v>1.9543973941368125E-2</v>
      </c>
      <c r="M13">
        <v>2014</v>
      </c>
      <c r="N13">
        <v>97.6</v>
      </c>
      <c r="O13" s="27">
        <f t="shared" si="2"/>
        <v>1.8789144050104355E-2</v>
      </c>
      <c r="P13" s="67"/>
      <c r="Q13" s="61" t="s">
        <v>1724</v>
      </c>
      <c r="R13" s="472">
        <f>1.3497 / IF($R$1=1, (1+K20)*(1+K21)*(1+K22), (1+O20)*(1+O21)*(1+O22))</f>
        <v>1.1463657166123775</v>
      </c>
    </row>
    <row r="14" spans="1:20" x14ac:dyDescent="0.25">
      <c r="A14" t="s">
        <v>219</v>
      </c>
      <c r="B14" s="62">
        <v>290</v>
      </c>
      <c r="C14" s="193">
        <v>343</v>
      </c>
      <c r="D14" s="337">
        <f>ROUND(C14/B14, 2)</f>
        <v>1.18</v>
      </c>
      <c r="F14" s="61" t="s">
        <v>453</v>
      </c>
      <c r="G14" s="63">
        <f>C5*G13</f>
        <v>3.3568209791995381E-2</v>
      </c>
      <c r="I14">
        <v>2015</v>
      </c>
      <c r="J14">
        <v>126.6</v>
      </c>
      <c r="K14" s="27">
        <f t="shared" si="3"/>
        <v>1.1182108626198015E-2</v>
      </c>
      <c r="M14">
        <v>2015</v>
      </c>
      <c r="N14">
        <v>96.8</v>
      </c>
      <c r="O14" s="27">
        <f t="shared" si="2"/>
        <v>-8.1967213114753808E-3</v>
      </c>
      <c r="P14" s="67"/>
      <c r="Q14" s="640" t="s">
        <v>1689</v>
      </c>
      <c r="R14" s="641">
        <f>IF($R$1=1, (1+K18), (1+O18))</f>
        <v>1.0147492625368733</v>
      </c>
    </row>
    <row r="15" spans="1:20" x14ac:dyDescent="0.25">
      <c r="A15" t="s">
        <v>399</v>
      </c>
      <c r="B15" s="193">
        <v>3412.141641601248</v>
      </c>
      <c r="C15" s="62"/>
      <c r="F15" s="61" t="s">
        <v>454</v>
      </c>
      <c r="G15" s="63">
        <f>C6*G13</f>
        <v>3.8599424122374035E-2</v>
      </c>
      <c r="I15">
        <v>2016</v>
      </c>
      <c r="J15">
        <v>128.4</v>
      </c>
      <c r="K15" s="27">
        <f t="shared" si="3"/>
        <v>1.4218009478673077E-2</v>
      </c>
      <c r="M15">
        <v>2016</v>
      </c>
      <c r="N15">
        <v>97.5</v>
      </c>
      <c r="O15" s="27">
        <f t="shared" si="2"/>
        <v>7.2314049586777156E-3</v>
      </c>
      <c r="P15" s="67"/>
      <c r="Q15" s="61" t="s">
        <v>1690</v>
      </c>
      <c r="R15" s="472">
        <f>1 / IF($R$1=1, (1+K20), (1+O20))</f>
        <v>0.92876224398931428</v>
      </c>
    </row>
    <row r="16" spans="1:20" x14ac:dyDescent="0.25">
      <c r="F16" s="61" t="s">
        <v>455</v>
      </c>
      <c r="G16" s="63">
        <f>C5/C26 * G13</f>
        <v>2.5231280337353942E-2</v>
      </c>
      <c r="I16">
        <v>2017</v>
      </c>
      <c r="J16">
        <v>130.4</v>
      </c>
      <c r="K16" s="27">
        <f t="shared" si="3"/>
        <v>1.5576323987538941E-2</v>
      </c>
      <c r="L16" s="267"/>
      <c r="M16">
        <v>2017</v>
      </c>
      <c r="N16">
        <v>100</v>
      </c>
      <c r="O16" s="27">
        <f t="shared" si="2"/>
        <v>2.564102564102564E-2</v>
      </c>
      <c r="P16" s="67"/>
      <c r="Q16" s="639" t="s">
        <v>1687</v>
      </c>
      <c r="R16" s="760">
        <f>1 / IF($R$1=1, (1+K20)*(1+K21), (1+O20)*(1+O21))</f>
        <v>0.86269644334160445</v>
      </c>
    </row>
    <row r="17" spans="1:18" ht="15.75" thickBot="1" x14ac:dyDescent="0.3">
      <c r="A17" s="83" t="s">
        <v>398</v>
      </c>
      <c r="B17" s="83" t="s">
        <v>83</v>
      </c>
      <c r="C17" s="83" t="s">
        <v>185</v>
      </c>
      <c r="D17" s="83" t="s">
        <v>186</v>
      </c>
      <c r="F17" s="61" t="s">
        <v>452</v>
      </c>
      <c r="G17" s="63">
        <f>B15 * PJ_MMBtu</f>
        <v>3.5999999999999999E-3</v>
      </c>
      <c r="I17">
        <v>2018</v>
      </c>
      <c r="J17">
        <v>133.4</v>
      </c>
      <c r="K17" s="27">
        <f t="shared" si="3"/>
        <v>2.3006134969325152E-2</v>
      </c>
      <c r="M17">
        <v>2018</v>
      </c>
      <c r="N17">
        <v>101.7</v>
      </c>
      <c r="O17" s="27">
        <f t="shared" si="2"/>
        <v>1.7000000000000029E-2</v>
      </c>
      <c r="P17" s="67"/>
      <c r="Q17" s="64" t="s">
        <v>2952</v>
      </c>
      <c r="R17" s="261">
        <v>1.7199</v>
      </c>
    </row>
    <row r="18" spans="1:18" ht="15.75" thickTop="1" x14ac:dyDescent="0.25">
      <c r="A18" t="s">
        <v>445</v>
      </c>
      <c r="B18" t="s">
        <v>187</v>
      </c>
      <c r="C18" s="57">
        <v>1</v>
      </c>
      <c r="D18" s="57">
        <v>1.1498803290838104</v>
      </c>
      <c r="F18" s="61" t="s">
        <v>1670</v>
      </c>
      <c r="G18" s="63">
        <f>C4*G13</f>
        <v>3.4655588095718011E-2</v>
      </c>
      <c r="I18">
        <v>2019</v>
      </c>
      <c r="J18">
        <v>136</v>
      </c>
      <c r="K18" s="27">
        <f t="shared" si="3"/>
        <v>1.9490254872563676E-2</v>
      </c>
      <c r="M18">
        <v>2019</v>
      </c>
      <c r="N18">
        <v>103.2</v>
      </c>
      <c r="O18" s="27">
        <f t="shared" si="2"/>
        <v>1.4749262536873156E-2</v>
      </c>
      <c r="P18" s="67"/>
    </row>
    <row r="19" spans="1:18" x14ac:dyDescent="0.25">
      <c r="A19" t="s">
        <v>446</v>
      </c>
      <c r="B19" t="s">
        <v>188</v>
      </c>
      <c r="C19" s="57">
        <v>0.86965571521409502</v>
      </c>
      <c r="D19" s="57">
        <v>1</v>
      </c>
      <c r="F19" s="61" t="s">
        <v>1671</v>
      </c>
      <c r="G19" s="63">
        <f>C9*G13</f>
        <v>2.3559891118956438E-2</v>
      </c>
      <c r="I19">
        <v>2020</v>
      </c>
      <c r="J19">
        <v>137</v>
      </c>
      <c r="K19" s="27">
        <f t="shared" si="3"/>
        <v>7.3529411764705881E-3</v>
      </c>
      <c r="M19">
        <v>2020</v>
      </c>
      <c r="N19">
        <v>104.3</v>
      </c>
      <c r="O19" s="27">
        <f t="shared" si="2"/>
        <v>1.0658914728682115E-2</v>
      </c>
      <c r="P19" s="67"/>
    </row>
    <row r="20" spans="1:18" x14ac:dyDescent="0.25">
      <c r="A20" t="s">
        <v>444</v>
      </c>
      <c r="B20" t="s">
        <v>189</v>
      </c>
      <c r="C20" s="57">
        <v>32.880674891136664</v>
      </c>
      <c r="D20" s="57">
        <v>37.949141969176985</v>
      </c>
      <c r="F20" s="61" t="s">
        <v>1672</v>
      </c>
      <c r="G20" s="63">
        <f>C7*G13</f>
        <v>3.5664541199357219E-2</v>
      </c>
      <c r="I20">
        <v>2021</v>
      </c>
      <c r="J20">
        <v>141.6</v>
      </c>
      <c r="K20" s="27">
        <f t="shared" si="3"/>
        <v>3.3576642335766384E-2</v>
      </c>
      <c r="M20">
        <v>2021</v>
      </c>
      <c r="N20">
        <v>112.3</v>
      </c>
      <c r="O20" s="27">
        <f t="shared" si="2"/>
        <v>7.6701821668264628E-2</v>
      </c>
      <c r="P20" s="67"/>
    </row>
    <row r="21" spans="1:18" x14ac:dyDescent="0.25">
      <c r="A21" t="s">
        <v>190</v>
      </c>
      <c r="B21" t="s">
        <v>191</v>
      </c>
      <c r="C21" s="57">
        <v>1</v>
      </c>
      <c r="D21" s="57">
        <v>1.1498803290838104</v>
      </c>
      <c r="F21" s="61" t="s">
        <v>1673</v>
      </c>
      <c r="G21" s="63">
        <f>C8*G13</f>
        <v>3.6460833745516674E-2</v>
      </c>
      <c r="I21">
        <v>2022</v>
      </c>
      <c r="J21">
        <v>151.19999999999999</v>
      </c>
      <c r="K21" s="27">
        <f t="shared" si="3"/>
        <v>6.7796610169491484E-2</v>
      </c>
      <c r="M21">
        <v>2022</v>
      </c>
      <c r="N21">
        <v>120.9</v>
      </c>
      <c r="O21" s="27">
        <f t="shared" si="2"/>
        <v>7.6580587711487166E-2</v>
      </c>
      <c r="P21" s="67"/>
    </row>
    <row r="22" spans="1:18" x14ac:dyDescent="0.25">
      <c r="A22" t="s">
        <v>192</v>
      </c>
      <c r="B22" t="s">
        <v>193</v>
      </c>
      <c r="C22" s="57">
        <v>0.88308467268887847</v>
      </c>
      <c r="D22" s="57">
        <v>1.0154416940403566</v>
      </c>
      <c r="F22" s="61" t="s">
        <v>863</v>
      </c>
      <c r="G22" s="63">
        <f>C6/B6</f>
        <v>1.0695212144803425</v>
      </c>
      <c r="I22">
        <v>2023</v>
      </c>
      <c r="J22">
        <v>157.1</v>
      </c>
      <c r="K22" s="27">
        <f>(J22-J21)/J21</f>
        <v>3.9021164021164061E-2</v>
      </c>
      <c r="M22">
        <v>2023</v>
      </c>
      <c r="N22">
        <v>122.8</v>
      </c>
      <c r="O22" s="27">
        <f>(N22-N21)/N21</f>
        <v>1.5715467328370484E-2</v>
      </c>
      <c r="P22" s="67"/>
    </row>
    <row r="23" spans="1:18" x14ac:dyDescent="0.25">
      <c r="A23" t="s">
        <v>194</v>
      </c>
      <c r="B23" t="s">
        <v>195</v>
      </c>
      <c r="C23" s="57">
        <v>0.94122085026570801</v>
      </c>
      <c r="D23" s="57">
        <v>1.0822913410440762</v>
      </c>
      <c r="F23" s="61" t="s">
        <v>1363</v>
      </c>
      <c r="G23" s="318">
        <f>42.2106699476279 * 0.991173745730649</f>
        <v>41.838107841790482</v>
      </c>
    </row>
    <row r="24" spans="1:18" x14ac:dyDescent="0.25">
      <c r="A24" t="s">
        <v>196</v>
      </c>
      <c r="B24" t="s">
        <v>197</v>
      </c>
      <c r="C24" s="57">
        <v>0.87940030111992673</v>
      </c>
      <c r="D24" s="57">
        <v>1.0112051076481834</v>
      </c>
      <c r="F24" s="61" t="s">
        <v>1364</v>
      </c>
      <c r="G24" s="318">
        <f>43.838416868984 * 0.913903404412361</f>
        <v>40.064078420612752</v>
      </c>
    </row>
    <row r="25" spans="1:18" x14ac:dyDescent="0.25">
      <c r="A25" t="s">
        <v>198</v>
      </c>
      <c r="B25" t="s">
        <v>199</v>
      </c>
      <c r="C25" s="57">
        <v>0.92066489829303544</v>
      </c>
      <c r="D25" s="57">
        <v>1.0586544562251086</v>
      </c>
      <c r="F25" s="61" t="s">
        <v>1365</v>
      </c>
      <c r="G25" s="63">
        <f>G23/G24</f>
        <v>1.0442798010365566</v>
      </c>
    </row>
    <row r="26" spans="1:18" x14ac:dyDescent="0.25">
      <c r="A26" t="s">
        <v>200</v>
      </c>
      <c r="B26" t="s">
        <v>201</v>
      </c>
      <c r="C26" s="57">
        <v>1.3304203886276409</v>
      </c>
      <c r="D26" s="57">
        <v>1.5298242342949626</v>
      </c>
      <c r="F26" s="61" t="s">
        <v>1366</v>
      </c>
      <c r="G26" s="63">
        <f>45.7668369665298/43.838416868984</f>
        <v>1.0439892732282989</v>
      </c>
    </row>
    <row r="27" spans="1:18" ht="15.75" thickBot="1" x14ac:dyDescent="0.3">
      <c r="A27" t="s">
        <v>202</v>
      </c>
      <c r="B27" t="s">
        <v>203</v>
      </c>
      <c r="C27" s="57">
        <v>1.3175650366480691</v>
      </c>
      <c r="D27" s="57">
        <v>1.5150421179302045</v>
      </c>
      <c r="F27" s="64" t="s">
        <v>2870</v>
      </c>
      <c r="G27" s="261">
        <f>8760*3600/1000000</f>
        <v>31.536000000000001</v>
      </c>
    </row>
    <row r="28" spans="1:18" x14ac:dyDescent="0.25">
      <c r="A28" t="s">
        <v>204</v>
      </c>
      <c r="B28" t="s">
        <v>205</v>
      </c>
      <c r="C28" s="57">
        <v>1</v>
      </c>
      <c r="D28" s="57">
        <v>1.1498803290838104</v>
      </c>
    </row>
    <row r="29" spans="1:18" x14ac:dyDescent="0.25">
      <c r="A29" t="s">
        <v>206</v>
      </c>
      <c r="B29" t="s">
        <v>207</v>
      </c>
      <c r="C29" s="57">
        <v>1.4199318556944118</v>
      </c>
      <c r="D29" s="57">
        <v>1.6327517095024759</v>
      </c>
    </row>
    <row r="30" spans="1:18" x14ac:dyDescent="0.25">
      <c r="A30" s="102" t="s">
        <v>447</v>
      </c>
    </row>
    <row r="32" spans="1:18" ht="16.5" thickBot="1" x14ac:dyDescent="0.3">
      <c r="A32" s="952" t="s">
        <v>1357</v>
      </c>
      <c r="B32" s="953"/>
      <c r="C32" s="953"/>
      <c r="D32" s="953"/>
      <c r="E32" s="953"/>
      <c r="F32" s="953"/>
      <c r="G32" s="953"/>
      <c r="H32" s="953"/>
      <c r="I32" s="954"/>
    </row>
    <row r="33" spans="1:9" ht="15.75" thickBot="1" x14ac:dyDescent="0.3">
      <c r="A33" s="52" t="s">
        <v>747</v>
      </c>
      <c r="B33" s="14" t="s">
        <v>748</v>
      </c>
      <c r="C33" s="14" t="s">
        <v>749</v>
      </c>
      <c r="D33" s="14" t="s">
        <v>750</v>
      </c>
      <c r="E33" s="14" t="s">
        <v>751</v>
      </c>
      <c r="F33" s="14" t="s">
        <v>752</v>
      </c>
      <c r="I33" s="49"/>
    </row>
    <row r="34" spans="1:9" ht="15.75" thickTop="1" x14ac:dyDescent="0.25">
      <c r="A34" s="327" t="s">
        <v>753</v>
      </c>
      <c r="B34">
        <v>1</v>
      </c>
      <c r="C34">
        <v>1000</v>
      </c>
      <c r="D34">
        <v>1000000</v>
      </c>
      <c r="E34">
        <v>453.59237000000002</v>
      </c>
      <c r="F34">
        <v>907184.74</v>
      </c>
      <c r="I34" s="49"/>
    </row>
    <row r="35" spans="1:9" x14ac:dyDescent="0.25">
      <c r="A35" s="327" t="s">
        <v>754</v>
      </c>
      <c r="B35">
        <v>1E-3</v>
      </c>
      <c r="C35">
        <v>1</v>
      </c>
      <c r="D35">
        <v>1000</v>
      </c>
      <c r="E35">
        <v>0.45359237000000002</v>
      </c>
      <c r="F35">
        <v>907.18474000000003</v>
      </c>
      <c r="I35" s="49"/>
    </row>
    <row r="36" spans="1:9" x14ac:dyDescent="0.25">
      <c r="A36" s="327" t="s">
        <v>755</v>
      </c>
      <c r="B36">
        <v>9.9999999999999995E-7</v>
      </c>
      <c r="C36">
        <v>1E-3</v>
      </c>
      <c r="D36">
        <v>1</v>
      </c>
      <c r="E36">
        <v>4.5359237000000004E-4</v>
      </c>
      <c r="F36">
        <v>0.90718474000000004</v>
      </c>
      <c r="I36" s="49"/>
    </row>
    <row r="37" spans="1:9" x14ac:dyDescent="0.25">
      <c r="A37" s="327" t="s">
        <v>756</v>
      </c>
      <c r="B37">
        <v>2.2046226218487759E-3</v>
      </c>
      <c r="C37">
        <v>2.2046226218487757</v>
      </c>
      <c r="D37">
        <v>2204.6226218487759</v>
      </c>
      <c r="E37">
        <v>1</v>
      </c>
      <c r="F37">
        <v>2000</v>
      </c>
      <c r="I37" s="49"/>
    </row>
    <row r="38" spans="1:9" x14ac:dyDescent="0.25">
      <c r="A38" s="327" t="s">
        <v>757</v>
      </c>
      <c r="B38">
        <v>1.102311310924388E-6</v>
      </c>
      <c r="C38">
        <v>1.1023113109243879E-3</v>
      </c>
      <c r="D38">
        <v>1.1023113109243878</v>
      </c>
      <c r="E38">
        <v>5.0000000000000001E-4</v>
      </c>
      <c r="F38">
        <v>1</v>
      </c>
      <c r="I38" s="49"/>
    </row>
    <row r="39" spans="1:9" x14ac:dyDescent="0.25">
      <c r="A39" s="327"/>
      <c r="I39" s="49"/>
    </row>
    <row r="40" spans="1:9" ht="15.75" thickBot="1" x14ac:dyDescent="0.3">
      <c r="A40" s="492" t="s">
        <v>758</v>
      </c>
      <c r="B40" s="83" t="s">
        <v>759</v>
      </c>
      <c r="C40" s="83" t="s">
        <v>760</v>
      </c>
      <c r="D40" s="83" t="s">
        <v>761</v>
      </c>
      <c r="E40" s="83" t="s">
        <v>762</v>
      </c>
      <c r="F40" s="83" t="s">
        <v>763</v>
      </c>
      <c r="I40" s="49"/>
    </row>
    <row r="41" spans="1:9" ht="15.75" thickTop="1" x14ac:dyDescent="0.25">
      <c r="A41" s="327" t="s">
        <v>764</v>
      </c>
      <c r="B41">
        <v>1</v>
      </c>
      <c r="C41">
        <v>9.9999999999999995E-7</v>
      </c>
      <c r="D41">
        <v>1E-3</v>
      </c>
      <c r="E41">
        <v>3.7854109999999998E-3</v>
      </c>
      <c r="F41">
        <v>2.8316846999999999E-2</v>
      </c>
      <c r="I41" s="49"/>
    </row>
    <row r="42" spans="1:9" x14ac:dyDescent="0.25">
      <c r="A42" s="327" t="s">
        <v>765</v>
      </c>
      <c r="B42">
        <v>1000000</v>
      </c>
      <c r="C42">
        <v>1</v>
      </c>
      <c r="D42">
        <v>1000.0000000000001</v>
      </c>
      <c r="E42">
        <v>3785.4110000000001</v>
      </c>
      <c r="F42">
        <v>28316.847000000002</v>
      </c>
      <c r="I42" s="49"/>
    </row>
    <row r="43" spans="1:9" x14ac:dyDescent="0.25">
      <c r="A43" s="327" t="s">
        <v>766</v>
      </c>
      <c r="B43">
        <v>1000</v>
      </c>
      <c r="C43">
        <v>1E-3</v>
      </c>
      <c r="D43">
        <v>1</v>
      </c>
      <c r="E43">
        <v>3.7854109999999999</v>
      </c>
      <c r="F43">
        <v>28.316846999999999</v>
      </c>
      <c r="I43" s="49"/>
    </row>
    <row r="44" spans="1:9" x14ac:dyDescent="0.25">
      <c r="A44" s="327" t="s">
        <v>767</v>
      </c>
      <c r="B44">
        <v>264.17210707106841</v>
      </c>
      <c r="C44">
        <v>2.6417210707106839E-4</v>
      </c>
      <c r="D44">
        <v>0.26417210707106842</v>
      </c>
      <c r="E44">
        <v>1</v>
      </c>
      <c r="F44">
        <v>7.4805211375990615</v>
      </c>
      <c r="I44" s="49"/>
    </row>
    <row r="45" spans="1:9" x14ac:dyDescent="0.25">
      <c r="A45" s="327" t="s">
        <v>768</v>
      </c>
      <c r="B45">
        <v>35.314666212661322</v>
      </c>
      <c r="C45">
        <v>3.5314666212661319E-5</v>
      </c>
      <c r="D45">
        <v>3.5314666212661321E-2</v>
      </c>
      <c r="E45">
        <v>0.13368052594273649</v>
      </c>
      <c r="F45">
        <v>1</v>
      </c>
      <c r="I45" s="49"/>
    </row>
    <row r="46" spans="1:9" x14ac:dyDescent="0.25">
      <c r="A46" s="327"/>
      <c r="I46" s="49"/>
    </row>
    <row r="47" spans="1:9" ht="15.75" thickBot="1" x14ac:dyDescent="0.3">
      <c r="A47" s="492" t="s">
        <v>769</v>
      </c>
      <c r="B47" s="83" t="s">
        <v>770</v>
      </c>
      <c r="C47" s="83" t="s">
        <v>771</v>
      </c>
      <c r="D47" s="83" t="s">
        <v>772</v>
      </c>
      <c r="E47" s="83" t="s">
        <v>773</v>
      </c>
      <c r="F47" s="83" t="s">
        <v>774</v>
      </c>
      <c r="G47" s="83" t="s">
        <v>775</v>
      </c>
      <c r="H47" s="83" t="s">
        <v>776</v>
      </c>
      <c r="I47" s="105" t="s">
        <v>777</v>
      </c>
    </row>
    <row r="48" spans="1:9" ht="15.75" thickTop="1" x14ac:dyDescent="0.25">
      <c r="A48" s="327" t="s">
        <v>778</v>
      </c>
      <c r="B48">
        <v>1</v>
      </c>
      <c r="C48">
        <v>1000</v>
      </c>
      <c r="D48">
        <v>1000000</v>
      </c>
      <c r="E48">
        <v>3600</v>
      </c>
      <c r="F48">
        <v>3600000</v>
      </c>
      <c r="G48">
        <v>1055.05585</v>
      </c>
      <c r="H48">
        <v>1055055850</v>
      </c>
      <c r="I48" s="49">
        <v>2684519.5376862194</v>
      </c>
    </row>
    <row r="49" spans="1:9" x14ac:dyDescent="0.25">
      <c r="A49" s="327" t="s">
        <v>779</v>
      </c>
      <c r="B49">
        <v>1E-3</v>
      </c>
      <c r="C49">
        <v>1</v>
      </c>
      <c r="D49">
        <v>1000</v>
      </c>
      <c r="E49">
        <v>3.6</v>
      </c>
      <c r="F49">
        <v>3600</v>
      </c>
      <c r="G49">
        <v>1.05505585</v>
      </c>
      <c r="H49">
        <v>1055055.8500000001</v>
      </c>
      <c r="I49" s="49">
        <v>2684.5195376862198</v>
      </c>
    </row>
    <row r="50" spans="1:9" x14ac:dyDescent="0.25">
      <c r="A50" s="327" t="s">
        <v>780</v>
      </c>
      <c r="B50">
        <v>9.9999999999999995E-7</v>
      </c>
      <c r="C50">
        <v>1E-3</v>
      </c>
      <c r="D50">
        <v>1</v>
      </c>
      <c r="E50">
        <v>3.5999999999999999E-3</v>
      </c>
      <c r="F50">
        <v>3.6</v>
      </c>
      <c r="G50">
        <v>1.0550558499999999E-3</v>
      </c>
      <c r="H50">
        <v>1055.05585</v>
      </c>
      <c r="I50" s="49">
        <v>2.6845195376862194</v>
      </c>
    </row>
    <row r="51" spans="1:9" x14ac:dyDescent="0.25">
      <c r="A51" s="327" t="s">
        <v>781</v>
      </c>
      <c r="B51">
        <v>2.7777777777777778E-4</v>
      </c>
      <c r="C51">
        <v>0.27777777777777779</v>
      </c>
      <c r="D51">
        <v>277.77777777777777</v>
      </c>
      <c r="E51">
        <v>1</v>
      </c>
      <c r="F51">
        <v>1000</v>
      </c>
      <c r="G51">
        <v>0.29307106944444444</v>
      </c>
      <c r="H51">
        <v>293071.06944444444</v>
      </c>
      <c r="I51" s="49">
        <v>745.69987157950538</v>
      </c>
    </row>
    <row r="52" spans="1:9" x14ac:dyDescent="0.25">
      <c r="A52" s="327" t="s">
        <v>189</v>
      </c>
      <c r="B52">
        <v>2.7777777777777776E-7</v>
      </c>
      <c r="C52">
        <v>2.7777777777777778E-4</v>
      </c>
      <c r="D52">
        <v>0.27777777777777779</v>
      </c>
      <c r="E52">
        <v>1E-3</v>
      </c>
      <c r="F52">
        <v>1</v>
      </c>
      <c r="G52">
        <v>2.9307106944444444E-4</v>
      </c>
      <c r="H52">
        <v>293.07106944444445</v>
      </c>
      <c r="I52" s="49">
        <v>0.74569987157950535</v>
      </c>
    </row>
    <row r="53" spans="1:9" x14ac:dyDescent="0.25">
      <c r="A53" s="327" t="s">
        <v>782</v>
      </c>
      <c r="B53">
        <v>9.4781712266701337E-4</v>
      </c>
      <c r="C53">
        <v>0.94781712266701335</v>
      </c>
      <c r="D53">
        <v>947.81712266701334</v>
      </c>
      <c r="E53">
        <v>3.4121416416012482</v>
      </c>
      <c r="F53">
        <v>3412.141641601248</v>
      </c>
      <c r="G53">
        <v>1</v>
      </c>
      <c r="H53">
        <v>1000000</v>
      </c>
      <c r="I53" s="49">
        <v>2544.4335839531336</v>
      </c>
    </row>
    <row r="54" spans="1:9" x14ac:dyDescent="0.25">
      <c r="A54" s="327" t="s">
        <v>783</v>
      </c>
      <c r="B54">
        <v>9.4781712266701324E-10</v>
      </c>
      <c r="C54">
        <v>9.4781712266701337E-7</v>
      </c>
      <c r="D54">
        <v>9.4781712266701326E-4</v>
      </c>
      <c r="E54">
        <v>3.4121416416012478E-6</v>
      </c>
      <c r="F54">
        <v>3.4121416416012479E-3</v>
      </c>
      <c r="G54">
        <v>9.9999999999999995E-7</v>
      </c>
      <c r="H54">
        <v>1</v>
      </c>
      <c r="I54" s="49">
        <v>2.5444335839531337E-3</v>
      </c>
    </row>
    <row r="55" spans="1:9" x14ac:dyDescent="0.25">
      <c r="A55" s="327" t="s">
        <v>784</v>
      </c>
      <c r="B55">
        <v>3.72506136E-7</v>
      </c>
      <c r="C55">
        <v>3.7250613599999999E-4</v>
      </c>
      <c r="D55">
        <v>0.37250613599999999</v>
      </c>
      <c r="E55">
        <v>1.3410220896E-3</v>
      </c>
      <c r="F55">
        <v>1.3410220896</v>
      </c>
      <c r="G55">
        <v>3.9301477794769559E-4</v>
      </c>
      <c r="H55">
        <v>393.01477794769556</v>
      </c>
      <c r="I55" s="49">
        <v>1</v>
      </c>
    </row>
    <row r="56" spans="1:9" x14ac:dyDescent="0.25">
      <c r="A56" s="327"/>
      <c r="I56" s="49"/>
    </row>
    <row r="57" spans="1:9" ht="15.75" thickBot="1" x14ac:dyDescent="0.3">
      <c r="A57" s="492" t="s">
        <v>785</v>
      </c>
      <c r="B57" s="83" t="s">
        <v>786</v>
      </c>
      <c r="C57" s="83" t="s">
        <v>787</v>
      </c>
      <c r="D57" s="83" t="s">
        <v>788</v>
      </c>
      <c r="E57" s="83" t="s">
        <v>789</v>
      </c>
      <c r="F57" s="83" t="s">
        <v>790</v>
      </c>
      <c r="I57" s="49"/>
    </row>
    <row r="58" spans="1:9" ht="15.75" thickTop="1" x14ac:dyDescent="0.25">
      <c r="A58" s="327" t="s">
        <v>786</v>
      </c>
      <c r="B58">
        <v>1</v>
      </c>
      <c r="C58">
        <v>1000</v>
      </c>
      <c r="D58">
        <v>1000000</v>
      </c>
      <c r="E58">
        <v>304.8</v>
      </c>
      <c r="F58">
        <v>1609340</v>
      </c>
      <c r="I58" s="49"/>
    </row>
    <row r="59" spans="1:9" x14ac:dyDescent="0.25">
      <c r="A59" s="327" t="s">
        <v>787</v>
      </c>
      <c r="B59">
        <v>1E-3</v>
      </c>
      <c r="C59">
        <v>1</v>
      </c>
      <c r="D59">
        <v>1000</v>
      </c>
      <c r="E59">
        <v>0.30480000000000002</v>
      </c>
      <c r="F59">
        <v>1609.34</v>
      </c>
      <c r="I59" s="49"/>
    </row>
    <row r="60" spans="1:9" x14ac:dyDescent="0.25">
      <c r="A60" s="327" t="s">
        <v>788</v>
      </c>
      <c r="B60">
        <v>9.9999999999999995E-7</v>
      </c>
      <c r="C60">
        <v>1E-3</v>
      </c>
      <c r="D60">
        <v>1</v>
      </c>
      <c r="E60">
        <v>3.0480000000000004E-4</v>
      </c>
      <c r="F60">
        <v>1.60934</v>
      </c>
      <c r="I60" s="49"/>
    </row>
    <row r="61" spans="1:9" x14ac:dyDescent="0.25">
      <c r="A61" s="327" t="s">
        <v>789</v>
      </c>
      <c r="B61">
        <v>3.2808398950131233E-3</v>
      </c>
      <c r="C61">
        <v>3.2808398950131235</v>
      </c>
      <c r="D61">
        <v>3280.8398950131236</v>
      </c>
      <c r="E61">
        <v>1</v>
      </c>
      <c r="F61">
        <v>5280</v>
      </c>
      <c r="I61" s="49"/>
    </row>
    <row r="62" spans="1:9" x14ac:dyDescent="0.25">
      <c r="A62" s="493" t="s">
        <v>790</v>
      </c>
      <c r="B62" s="194">
        <v>6.2137273664980671E-7</v>
      </c>
      <c r="C62" s="194">
        <v>6.2137273664980672E-4</v>
      </c>
      <c r="D62" s="194">
        <v>0.62137273664980675</v>
      </c>
      <c r="E62" s="194">
        <v>1.8939393939393939E-4</v>
      </c>
      <c r="F62" s="194">
        <v>1</v>
      </c>
      <c r="G62" s="194"/>
      <c r="H62" s="194"/>
      <c r="I62" s="195"/>
    </row>
    <row r="64" spans="1:9" ht="16.5" thickBot="1" x14ac:dyDescent="0.3">
      <c r="A64" s="955" t="s">
        <v>1358</v>
      </c>
      <c r="B64" s="956"/>
      <c r="C64" s="956"/>
      <c r="D64" s="956"/>
      <c r="E64" s="957"/>
      <c r="G64" s="619" t="s">
        <v>1610</v>
      </c>
      <c r="H64" s="38"/>
    </row>
    <row r="65" spans="1:8" ht="16.5" thickTop="1" thickBot="1" x14ac:dyDescent="0.3">
      <c r="A65" s="492" t="s">
        <v>1353</v>
      </c>
      <c r="B65" s="83" t="s">
        <v>221</v>
      </c>
      <c r="C65" s="83" t="s">
        <v>1354</v>
      </c>
      <c r="D65" s="83" t="s">
        <v>1355</v>
      </c>
      <c r="E65" s="105" t="s">
        <v>1279</v>
      </c>
      <c r="G65" s="68" t="s">
        <v>1605</v>
      </c>
      <c r="H65" s="257">
        <v>0.85</v>
      </c>
    </row>
    <row r="66" spans="1:8" ht="15.75" thickTop="1" x14ac:dyDescent="0.25">
      <c r="A66" s="68" t="s">
        <v>209</v>
      </c>
      <c r="B66" s="62">
        <v>138350</v>
      </c>
      <c r="C66" s="62">
        <v>3205</v>
      </c>
      <c r="D66" s="109">
        <v>0.85299999999999998</v>
      </c>
      <c r="E66" s="494">
        <v>0.93726057101554028</v>
      </c>
      <c r="G66" s="68" t="s">
        <v>1606</v>
      </c>
      <c r="H66" s="257">
        <v>0.42857142857142855</v>
      </c>
    </row>
    <row r="67" spans="1:8" x14ac:dyDescent="0.25">
      <c r="A67" s="68" t="s">
        <v>1280</v>
      </c>
      <c r="B67" s="62">
        <v>144475.84269846199</v>
      </c>
      <c r="C67" s="62">
        <v>3266</v>
      </c>
      <c r="D67" s="109">
        <v>0.85562068501529054</v>
      </c>
      <c r="E67" s="494">
        <v>0.93500000000000005</v>
      </c>
      <c r="G67" s="68" t="s">
        <v>1607</v>
      </c>
      <c r="H67" s="258">
        <v>0.75</v>
      </c>
    </row>
    <row r="68" spans="1:8" x14ac:dyDescent="0.25">
      <c r="A68" s="68" t="s">
        <v>1281</v>
      </c>
      <c r="B68" s="62">
        <v>162963.53084543315</v>
      </c>
      <c r="C68" s="62">
        <v>3839.6821254480283</v>
      </c>
      <c r="D68" s="109">
        <v>0.83</v>
      </c>
      <c r="E68" s="494">
        <v>0.93500000000000016</v>
      </c>
      <c r="G68" s="68" t="s">
        <v>1608</v>
      </c>
      <c r="H68" s="258">
        <v>0.27272727272727271</v>
      </c>
    </row>
    <row r="69" spans="1:8" x14ac:dyDescent="0.25">
      <c r="A69" s="68" t="s">
        <v>1282</v>
      </c>
      <c r="B69" s="62">
        <v>162963.53084543315</v>
      </c>
      <c r="C69" s="62">
        <v>3839.6821254480283</v>
      </c>
      <c r="D69" s="109">
        <v>0.83</v>
      </c>
      <c r="E69" s="494">
        <v>0.93500000000000016</v>
      </c>
      <c r="G69" s="286" t="s">
        <v>1609</v>
      </c>
      <c r="H69" s="643">
        <v>0.5</v>
      </c>
    </row>
    <row r="70" spans="1:8" x14ac:dyDescent="0.25">
      <c r="A70" s="68" t="s">
        <v>1283</v>
      </c>
      <c r="B70" s="62">
        <v>155287.90268980322</v>
      </c>
      <c r="C70" s="62">
        <v>3500.47748781362</v>
      </c>
      <c r="D70" s="109">
        <v>0.83245885654014951</v>
      </c>
      <c r="E70" s="494">
        <v>0.93500000000000005</v>
      </c>
    </row>
    <row r="71" spans="1:8" x14ac:dyDescent="0.25">
      <c r="A71" s="68" t="s">
        <v>1284</v>
      </c>
      <c r="B71" s="62">
        <v>137378.10365999999</v>
      </c>
      <c r="C71" s="62">
        <v>2709</v>
      </c>
      <c r="D71" s="109">
        <v>0.84059083544303792</v>
      </c>
      <c r="E71" s="494">
        <v>0.93500000000000005</v>
      </c>
    </row>
    <row r="72" spans="1:8" x14ac:dyDescent="0.25">
      <c r="A72" s="68" t="s">
        <v>1285</v>
      </c>
      <c r="B72" s="62">
        <v>134008.52571649614</v>
      </c>
      <c r="C72" s="62">
        <v>3087.2372132564833</v>
      </c>
      <c r="D72" s="109">
        <v>0.85299999999999998</v>
      </c>
      <c r="E72" s="494">
        <v>0.93726057101554028</v>
      </c>
    </row>
    <row r="73" spans="1:8" x14ac:dyDescent="0.25">
      <c r="A73" s="68" t="s">
        <v>1286</v>
      </c>
      <c r="B73" s="62">
        <v>130692.16040416578</v>
      </c>
      <c r="C73" s="62">
        <v>2984.0426545960995</v>
      </c>
      <c r="D73" s="109">
        <v>0.85299999999999998</v>
      </c>
      <c r="E73" s="494">
        <v>0.93726057101554017</v>
      </c>
    </row>
    <row r="74" spans="1:8" x14ac:dyDescent="0.25">
      <c r="A74" s="68" t="s">
        <v>210</v>
      </c>
      <c r="B74" s="62">
        <v>124340</v>
      </c>
      <c r="C74" s="62">
        <v>2819</v>
      </c>
      <c r="D74" s="109">
        <v>0.86299999999999999</v>
      </c>
      <c r="E74" s="494">
        <v>0.93364967025896739</v>
      </c>
    </row>
    <row r="75" spans="1:8" x14ac:dyDescent="0.25">
      <c r="A75" s="68" t="s">
        <v>97</v>
      </c>
      <c r="B75" s="62">
        <v>120438.62000000001</v>
      </c>
      <c r="C75" s="62">
        <v>2835.5620000000004</v>
      </c>
      <c r="D75" s="109">
        <v>0.82778546968819577</v>
      </c>
      <c r="E75" s="494">
        <v>0.931541062160958</v>
      </c>
    </row>
    <row r="76" spans="1:8" x14ac:dyDescent="0.25">
      <c r="A76" s="68" t="s">
        <v>1287</v>
      </c>
      <c r="B76" s="62">
        <v>120438.62000000001</v>
      </c>
      <c r="C76" s="62">
        <v>2835.5620000000004</v>
      </c>
      <c r="D76" s="109">
        <v>0.82778546968819577</v>
      </c>
      <c r="E76" s="494">
        <v>0.931541062160958</v>
      </c>
    </row>
    <row r="77" spans="1:8" x14ac:dyDescent="0.25">
      <c r="A77" s="68" t="s">
        <v>1288</v>
      </c>
      <c r="B77" s="62">
        <v>114387.5</v>
      </c>
      <c r="C77" s="62">
        <v>2861.25</v>
      </c>
      <c r="D77" s="109">
        <v>0.77774999999999994</v>
      </c>
      <c r="E77" s="494">
        <v>0.92798601245765489</v>
      </c>
    </row>
    <row r="78" spans="1:8" x14ac:dyDescent="0.25">
      <c r="A78" s="68" t="s">
        <v>1289</v>
      </c>
      <c r="B78" s="62">
        <v>108416</v>
      </c>
      <c r="C78" s="62">
        <v>2886.6</v>
      </c>
      <c r="D78" s="109">
        <v>0.72659999999999991</v>
      </c>
      <c r="E78" s="494">
        <v>0.92408869539551353</v>
      </c>
    </row>
    <row r="79" spans="1:8" x14ac:dyDescent="0.25">
      <c r="A79" s="68" t="s">
        <v>1290</v>
      </c>
      <c r="B79" s="62">
        <v>137380</v>
      </c>
      <c r="C79" s="62">
        <v>3167</v>
      </c>
      <c r="D79" s="109">
        <v>0.86499999999999999</v>
      </c>
      <c r="E79" s="494">
        <v>0.93499781627602274</v>
      </c>
    </row>
    <row r="80" spans="1:8" x14ac:dyDescent="0.25">
      <c r="A80" s="68" t="s">
        <v>1291</v>
      </c>
      <c r="B80" s="62">
        <v>138490</v>
      </c>
      <c r="C80" s="62">
        <v>3206</v>
      </c>
      <c r="D80" s="109">
        <v>0.871</v>
      </c>
      <c r="E80" s="494"/>
    </row>
    <row r="81" spans="1:5" x14ac:dyDescent="0.25">
      <c r="A81" s="68" t="s">
        <v>1292</v>
      </c>
      <c r="B81" s="62">
        <v>137380</v>
      </c>
      <c r="C81" s="62">
        <v>3167</v>
      </c>
      <c r="D81" s="109">
        <v>0.86499999999999999</v>
      </c>
      <c r="E81" s="494">
        <v>0.93499781627602274</v>
      </c>
    </row>
    <row r="82" spans="1:5" x14ac:dyDescent="0.25">
      <c r="A82" s="68" t="s">
        <v>212</v>
      </c>
      <c r="B82" s="62">
        <v>138490</v>
      </c>
      <c r="C82" s="62">
        <v>3206</v>
      </c>
      <c r="D82" s="109">
        <v>0.871</v>
      </c>
      <c r="E82" s="494">
        <v>0.93499781627602274</v>
      </c>
    </row>
    <row r="83" spans="1:5" x14ac:dyDescent="0.25">
      <c r="A83" s="68" t="s">
        <v>1293</v>
      </c>
      <c r="B83" s="62">
        <v>125080</v>
      </c>
      <c r="C83" s="62">
        <v>2745</v>
      </c>
      <c r="D83" s="109">
        <v>0.85</v>
      </c>
      <c r="E83" s="494">
        <v>0.93476175247841387</v>
      </c>
    </row>
    <row r="84" spans="1:5" x14ac:dyDescent="0.25">
      <c r="A84" s="68" t="s">
        <v>1294</v>
      </c>
      <c r="B84" s="62">
        <v>126586.157141156</v>
      </c>
      <c r="C84" s="62">
        <v>2833.8569764657</v>
      </c>
      <c r="D84" s="109">
        <v>0.85315638757897505</v>
      </c>
      <c r="E84" s="494">
        <v>0.93404711473172097</v>
      </c>
    </row>
    <row r="85" spans="1:5" x14ac:dyDescent="0.25">
      <c r="A85" s="68" t="s">
        <v>1295</v>
      </c>
      <c r="B85" s="62">
        <v>132948.69438683367</v>
      </c>
      <c r="C85" s="62">
        <v>3035.8996219999995</v>
      </c>
      <c r="D85" s="109">
        <v>0.86199999999999999</v>
      </c>
      <c r="E85" s="494">
        <v>0.93500003751584637</v>
      </c>
    </row>
    <row r="86" spans="1:5" x14ac:dyDescent="0.25">
      <c r="A86" s="68" t="s">
        <v>1296</v>
      </c>
      <c r="B86" s="62">
        <v>131594.89429852215</v>
      </c>
      <c r="C86" s="62">
        <v>2998.0455119999997</v>
      </c>
      <c r="D86" s="109">
        <v>0.86</v>
      </c>
      <c r="E86" s="494">
        <v>0.93500003751584626</v>
      </c>
    </row>
    <row r="87" spans="1:5" x14ac:dyDescent="0.25">
      <c r="A87" s="68" t="s">
        <v>1297</v>
      </c>
      <c r="B87" s="62">
        <v>119740</v>
      </c>
      <c r="C87" s="62">
        <v>2651</v>
      </c>
      <c r="D87" s="109">
        <v>0.84199999999999997</v>
      </c>
      <c r="E87" s="494">
        <v>0.93135126106564226</v>
      </c>
    </row>
    <row r="88" spans="1:5" x14ac:dyDescent="0.25">
      <c r="A88" s="68" t="s">
        <v>1298</v>
      </c>
      <c r="B88" s="62">
        <v>150110</v>
      </c>
      <c r="C88" s="62">
        <v>3752</v>
      </c>
      <c r="D88" s="109">
        <v>0.86799999999999999</v>
      </c>
      <c r="E88" s="494">
        <v>0.93499781627602263</v>
      </c>
    </row>
    <row r="89" spans="1:5" x14ac:dyDescent="0.25">
      <c r="A89" s="68" t="s">
        <v>1299</v>
      </c>
      <c r="B89" s="62">
        <v>150110</v>
      </c>
      <c r="C89" s="62">
        <v>3752</v>
      </c>
      <c r="D89" s="109">
        <v>0.86799999999999999</v>
      </c>
      <c r="E89" s="494">
        <v>0.93499781627602263</v>
      </c>
    </row>
    <row r="90" spans="1:5" x14ac:dyDescent="0.25">
      <c r="A90" s="68" t="s">
        <v>1300</v>
      </c>
      <c r="B90" s="62">
        <v>65200</v>
      </c>
      <c r="C90" s="62">
        <v>3006</v>
      </c>
      <c r="D90" s="109">
        <v>0.375</v>
      </c>
      <c r="E90" s="494">
        <v>0.87806748466257667</v>
      </c>
    </row>
    <row r="91" spans="1:5" x14ac:dyDescent="0.25">
      <c r="A91" s="68" t="s">
        <v>14</v>
      </c>
      <c r="B91" s="62">
        <v>84530</v>
      </c>
      <c r="C91" s="62">
        <v>2988</v>
      </c>
      <c r="D91" s="109">
        <v>0.52200000000000002</v>
      </c>
      <c r="E91" s="494">
        <v>0.90299302022950434</v>
      </c>
    </row>
    <row r="92" spans="1:5" x14ac:dyDescent="0.25">
      <c r="A92" s="68" t="s">
        <v>1301</v>
      </c>
      <c r="B92" s="62">
        <v>108458</v>
      </c>
      <c r="C92" s="62">
        <v>3065</v>
      </c>
      <c r="D92" s="109">
        <v>0.64859999999999995</v>
      </c>
      <c r="E92" s="494">
        <v>0.92051300964428628</v>
      </c>
    </row>
    <row r="93" spans="1:5" x14ac:dyDescent="0.25">
      <c r="A93" s="68" t="s">
        <v>1302</v>
      </c>
      <c r="B93" s="62">
        <v>89511</v>
      </c>
      <c r="C93" s="62">
        <v>2964</v>
      </c>
      <c r="D93" s="109">
        <v>0.61980000000000002</v>
      </c>
      <c r="E93" s="494">
        <v>0.92867915675168411</v>
      </c>
    </row>
    <row r="94" spans="1:5" x14ac:dyDescent="0.25">
      <c r="A94" s="68" t="s">
        <v>1303</v>
      </c>
      <c r="B94" s="62">
        <v>124340</v>
      </c>
      <c r="C94" s="62">
        <v>2819</v>
      </c>
      <c r="D94" s="109">
        <v>0.86299999999999999</v>
      </c>
      <c r="E94" s="494">
        <v>0.93364967025896739</v>
      </c>
    </row>
    <row r="95" spans="1:5" x14ac:dyDescent="0.25">
      <c r="A95" s="68" t="s">
        <v>1304</v>
      </c>
      <c r="B95" s="62">
        <v>91410</v>
      </c>
      <c r="C95" s="62">
        <v>1923</v>
      </c>
      <c r="D95" s="109">
        <v>0.82</v>
      </c>
      <c r="E95" s="494">
        <v>0.9293293950333662</v>
      </c>
    </row>
    <row r="96" spans="1:5" x14ac:dyDescent="0.25">
      <c r="A96" s="68" t="s">
        <v>1305</v>
      </c>
      <c r="B96" s="62">
        <v>84820</v>
      </c>
      <c r="C96" s="62">
        <v>1621</v>
      </c>
      <c r="D96" s="109">
        <v>0.75</v>
      </c>
      <c r="E96" s="494">
        <v>0.88092431030417351</v>
      </c>
    </row>
    <row r="97" spans="1:5" x14ac:dyDescent="0.25">
      <c r="A97" s="68" t="s">
        <v>1306</v>
      </c>
      <c r="B97" s="62">
        <v>75610</v>
      </c>
      <c r="C97" s="62">
        <v>2518</v>
      </c>
      <c r="D97" s="109">
        <v>0.52200000000000002</v>
      </c>
      <c r="E97" s="494">
        <v>0.91165189789710355</v>
      </c>
    </row>
    <row r="98" spans="1:5" x14ac:dyDescent="0.25">
      <c r="A98" s="68" t="s">
        <v>1307</v>
      </c>
      <c r="B98" s="62">
        <v>79196.89540113158</v>
      </c>
      <c r="C98" s="62">
        <v>3255</v>
      </c>
      <c r="D98" s="109">
        <v>0.47399999999999998</v>
      </c>
      <c r="E98" s="494">
        <v>0.91165189789710355</v>
      </c>
    </row>
    <row r="99" spans="1:5" x14ac:dyDescent="0.25">
      <c r="A99" s="68" t="s">
        <v>1308</v>
      </c>
      <c r="B99" s="62">
        <v>127960</v>
      </c>
      <c r="C99" s="62">
        <v>3335.2646966100001</v>
      </c>
      <c r="D99" s="109">
        <v>0.77600000000000002</v>
      </c>
      <c r="E99" s="494">
        <v>0.93485464207564861</v>
      </c>
    </row>
    <row r="100" spans="1:5" x14ac:dyDescent="0.25">
      <c r="A100" s="68" t="s">
        <v>1309</v>
      </c>
      <c r="B100" s="62">
        <v>130030</v>
      </c>
      <c r="C100" s="62">
        <v>3017</v>
      </c>
      <c r="D100" s="109">
        <v>0.85299999999999998</v>
      </c>
      <c r="E100" s="494">
        <v>0.95108821041298164</v>
      </c>
    </row>
    <row r="101" spans="1:5" x14ac:dyDescent="0.25">
      <c r="A101" s="68" t="s">
        <v>1310</v>
      </c>
      <c r="B101" s="62">
        <v>125216.25794155018</v>
      </c>
      <c r="C101" s="62">
        <v>2835</v>
      </c>
      <c r="D101" s="109">
        <v>0.871</v>
      </c>
      <c r="E101" s="494">
        <v>0.93485464207564872</v>
      </c>
    </row>
    <row r="102" spans="1:5" x14ac:dyDescent="0.25">
      <c r="A102" s="68" t="s">
        <v>214</v>
      </c>
      <c r="B102" s="62">
        <v>130817</v>
      </c>
      <c r="C102" s="62">
        <v>2948</v>
      </c>
      <c r="D102" s="109">
        <v>0.871</v>
      </c>
      <c r="E102" s="494">
        <v>0.93938096730547249</v>
      </c>
    </row>
    <row r="103" spans="1:5" x14ac:dyDescent="0.25">
      <c r="A103" s="68" t="s">
        <v>1311</v>
      </c>
      <c r="B103" s="62">
        <v>133070.13702382601</v>
      </c>
      <c r="C103" s="62">
        <v>3003.2639480974099</v>
      </c>
      <c r="D103" s="109">
        <v>0.871</v>
      </c>
      <c r="E103" s="494">
        <v>0.92840083590406852</v>
      </c>
    </row>
    <row r="104" spans="1:5" x14ac:dyDescent="0.25">
      <c r="A104" s="68" t="s">
        <v>1312</v>
      </c>
      <c r="B104" s="62">
        <v>124410</v>
      </c>
      <c r="C104" s="62">
        <v>3020.9251842000003</v>
      </c>
      <c r="D104" s="109">
        <v>0.85799999999999998</v>
      </c>
      <c r="E104" s="494">
        <v>1</v>
      </c>
    </row>
    <row r="105" spans="1:5" x14ac:dyDescent="0.25">
      <c r="A105" s="68" t="s">
        <v>1313</v>
      </c>
      <c r="B105" s="62">
        <v>124230</v>
      </c>
      <c r="C105" s="62">
        <v>2830</v>
      </c>
      <c r="D105" s="109">
        <v>0.84</v>
      </c>
      <c r="E105" s="494">
        <v>0.93361506882395562</v>
      </c>
    </row>
    <row r="106" spans="1:5" x14ac:dyDescent="0.25">
      <c r="A106" s="68" t="s">
        <v>1314</v>
      </c>
      <c r="B106" s="62">
        <v>121365.86456635887</v>
      </c>
      <c r="C106" s="62">
        <v>2713</v>
      </c>
      <c r="D106" s="109">
        <v>0.83109999999999995</v>
      </c>
      <c r="E106" s="494">
        <v>0.93361506882395551</v>
      </c>
    </row>
    <row r="107" spans="1:5" x14ac:dyDescent="0.25">
      <c r="A107" s="68" t="s">
        <v>1315</v>
      </c>
      <c r="B107" s="62">
        <v>120028.80388505213</v>
      </c>
      <c r="C107" s="62">
        <v>2819</v>
      </c>
      <c r="D107" s="109">
        <v>0.86430000000000007</v>
      </c>
      <c r="E107" s="494">
        <v>0.93361506882395551</v>
      </c>
    </row>
    <row r="108" spans="1:5" x14ac:dyDescent="0.25">
      <c r="A108" s="68" t="s">
        <v>1316</v>
      </c>
      <c r="B108" s="62">
        <v>128103.33335647351</v>
      </c>
      <c r="C108" s="62">
        <v>2865.5561269999898</v>
      </c>
      <c r="D108" s="109">
        <v>0.84699999999999998</v>
      </c>
      <c r="E108" s="494">
        <v>0.93500003751584637</v>
      </c>
    </row>
    <row r="109" spans="1:5" x14ac:dyDescent="0.25">
      <c r="A109" s="68" t="s">
        <v>396</v>
      </c>
      <c r="B109" s="62">
        <v>36020</v>
      </c>
      <c r="C109" s="62">
        <v>268</v>
      </c>
      <c r="D109" s="109">
        <v>0</v>
      </c>
      <c r="E109" s="494">
        <v>0.84675180455302612</v>
      </c>
    </row>
    <row r="110" spans="1:5" x14ac:dyDescent="0.25">
      <c r="A110" s="68" t="s">
        <v>1317</v>
      </c>
      <c r="B110" s="62">
        <v>101130</v>
      </c>
      <c r="C110" s="62">
        <v>2811</v>
      </c>
      <c r="D110" s="109">
        <v>0.68100000000000005</v>
      </c>
      <c r="E110" s="494">
        <v>0.92494808662118067</v>
      </c>
    </row>
    <row r="111" spans="1:5" x14ac:dyDescent="0.25">
      <c r="A111" s="68" t="s">
        <v>1318</v>
      </c>
      <c r="B111" s="62">
        <v>104530</v>
      </c>
      <c r="C111" s="62">
        <v>2810</v>
      </c>
      <c r="D111" s="109">
        <v>0.70599999999999996</v>
      </c>
      <c r="E111" s="494">
        <v>0.92528460728977324</v>
      </c>
    </row>
    <row r="112" spans="1:5" x14ac:dyDescent="0.25">
      <c r="A112" s="68" t="s">
        <v>1319</v>
      </c>
      <c r="B112" s="62">
        <v>108570</v>
      </c>
      <c r="C112" s="62">
        <v>2913</v>
      </c>
      <c r="D112" s="109">
        <v>0.70599999999999996</v>
      </c>
      <c r="E112" s="494">
        <v>0.92548586165607438</v>
      </c>
    </row>
    <row r="113" spans="1:5" x14ac:dyDescent="0.25">
      <c r="A113" s="68" t="s">
        <v>1320</v>
      </c>
      <c r="B113" s="62">
        <v>103220</v>
      </c>
      <c r="C113" s="62">
        <v>2213</v>
      </c>
      <c r="D113" s="109">
        <v>0.82799999999999996</v>
      </c>
      <c r="E113" s="494">
        <v>0.92007362914163926</v>
      </c>
    </row>
    <row r="114" spans="1:5" x14ac:dyDescent="0.25">
      <c r="A114" s="68" t="s">
        <v>1321</v>
      </c>
      <c r="B114" s="62">
        <v>98560</v>
      </c>
      <c r="C114" s="62">
        <v>2118</v>
      </c>
      <c r="D114" s="109">
        <v>0.82799999999999996</v>
      </c>
      <c r="E114" s="494">
        <v>0.91375811688311692</v>
      </c>
    </row>
    <row r="115" spans="1:5" x14ac:dyDescent="0.25">
      <c r="A115" s="68" t="s">
        <v>1322</v>
      </c>
      <c r="B115" s="62">
        <v>103010</v>
      </c>
      <c r="C115" s="62">
        <v>2253</v>
      </c>
      <c r="D115" s="109">
        <v>0.85699999999999998</v>
      </c>
      <c r="E115" s="494">
        <v>0.92923017182797785</v>
      </c>
    </row>
    <row r="116" spans="1:5" x14ac:dyDescent="0.25">
      <c r="A116" s="68" t="s">
        <v>16</v>
      </c>
      <c r="B116" s="62">
        <v>91420</v>
      </c>
      <c r="C116" s="62">
        <v>1920</v>
      </c>
      <c r="D116" s="109">
        <v>0.81799999999999995</v>
      </c>
      <c r="E116" s="494">
        <v>0.92157077225989936</v>
      </c>
    </row>
    <row r="117" spans="1:5" x14ac:dyDescent="0.25">
      <c r="A117" s="68" t="s">
        <v>1323</v>
      </c>
      <c r="B117" s="62">
        <v>90050</v>
      </c>
      <c r="C117" s="62">
        <v>2532</v>
      </c>
      <c r="D117" s="109"/>
      <c r="E117" s="494">
        <v>0.92932939503336609</v>
      </c>
    </row>
    <row r="118" spans="1:5" x14ac:dyDescent="0.25">
      <c r="A118" s="68" t="s">
        <v>1324</v>
      </c>
      <c r="B118" s="62">
        <v>112166.3</v>
      </c>
      <c r="C118" s="62">
        <v>2478.6999999999998</v>
      </c>
      <c r="D118" s="109">
        <v>0.83625099999999997</v>
      </c>
      <c r="E118" s="494">
        <v>0.93722267739953979</v>
      </c>
    </row>
    <row r="119" spans="1:5" x14ac:dyDescent="0.25">
      <c r="A119" s="68" t="s">
        <v>1325</v>
      </c>
      <c r="B119" s="62">
        <v>117211.35510798359</v>
      </c>
      <c r="C119" s="62">
        <v>2607.5839999999998</v>
      </c>
      <c r="D119" s="109">
        <v>0.84021816798046989</v>
      </c>
      <c r="E119" s="494">
        <v>0.94481263924838355</v>
      </c>
    </row>
    <row r="120" spans="1:5" x14ac:dyDescent="0.25">
      <c r="A120" s="68" t="s">
        <v>1326</v>
      </c>
      <c r="B120" s="62">
        <v>124276.8816365008</v>
      </c>
      <c r="C120" s="62">
        <v>2792.0839999999998</v>
      </c>
      <c r="D120" s="109">
        <v>0.84604875243517474</v>
      </c>
      <c r="E120" s="494">
        <v>0.94121580017102235</v>
      </c>
    </row>
    <row r="121" spans="1:5" x14ac:dyDescent="0.25">
      <c r="A121" s="68" t="s">
        <v>1327</v>
      </c>
      <c r="B121" s="62">
        <v>128217.81949485274</v>
      </c>
      <c r="C121" s="62">
        <v>2897.6329999999998</v>
      </c>
      <c r="D121" s="109">
        <v>0.84934397549466933</v>
      </c>
      <c r="E121" s="494">
        <v>0.94231119798774066</v>
      </c>
    </row>
    <row r="122" spans="1:5" x14ac:dyDescent="0.25">
      <c r="A122" s="68" t="s">
        <v>1328</v>
      </c>
      <c r="B122" s="62">
        <v>123392.78899954072</v>
      </c>
      <c r="C122" s="62">
        <v>2769.6939828148488</v>
      </c>
      <c r="D122" s="109">
        <v>0.84538047025734175</v>
      </c>
      <c r="E122" s="494">
        <v>0.94244570805205152</v>
      </c>
    </row>
    <row r="123" spans="1:5" x14ac:dyDescent="0.25">
      <c r="A123" s="68" t="s">
        <v>1329</v>
      </c>
      <c r="B123" s="62">
        <v>105700</v>
      </c>
      <c r="C123" s="62">
        <v>3028.3300274063863</v>
      </c>
      <c r="D123" s="109">
        <v>0.64864864864864868</v>
      </c>
      <c r="E123" s="494">
        <v>0.90155283865576308</v>
      </c>
    </row>
    <row r="124" spans="1:5" x14ac:dyDescent="0.25">
      <c r="A124" s="68" t="s">
        <v>1330</v>
      </c>
      <c r="B124" s="62">
        <v>124230</v>
      </c>
      <c r="C124" s="62">
        <v>2830</v>
      </c>
      <c r="D124" s="109">
        <v>0.84</v>
      </c>
      <c r="E124" s="494">
        <v>0.93361506882395562</v>
      </c>
    </row>
    <row r="125" spans="1:5" x14ac:dyDescent="0.25">
      <c r="A125" s="68" t="s">
        <v>1331</v>
      </c>
      <c r="B125" s="62">
        <v>133460.42696564356</v>
      </c>
      <c r="C125" s="62">
        <v>2949.8950840799994</v>
      </c>
      <c r="D125" s="109">
        <v>0.84848484848484851</v>
      </c>
      <c r="E125" s="494">
        <v>0.93016753769060367</v>
      </c>
    </row>
    <row r="126" spans="1:5" x14ac:dyDescent="0.25">
      <c r="A126" s="68" t="s">
        <v>1332</v>
      </c>
      <c r="B126" s="62">
        <v>134482.21159805206</v>
      </c>
      <c r="C126" s="62">
        <v>3179.7452399999997</v>
      </c>
      <c r="D126" s="109">
        <v>0.80597014925373134</v>
      </c>
      <c r="E126" s="494">
        <v>0.93377188092317998</v>
      </c>
    </row>
    <row r="127" spans="1:5" x14ac:dyDescent="0.25">
      <c r="A127" s="68" t="s">
        <v>1333</v>
      </c>
      <c r="B127" s="62">
        <v>130005.67943331707</v>
      </c>
      <c r="C127" s="62">
        <v>3175.9598289999994</v>
      </c>
      <c r="D127" s="109">
        <v>0.78269999999999995</v>
      </c>
      <c r="E127" s="494">
        <v>0.93832693190192873</v>
      </c>
    </row>
    <row r="128" spans="1:5" x14ac:dyDescent="0.25">
      <c r="A128" s="68" t="s">
        <v>1334</v>
      </c>
      <c r="B128" s="62"/>
      <c r="C128" s="62">
        <v>3637.8108073999997</v>
      </c>
      <c r="D128" s="109">
        <v>0.85340000000000005</v>
      </c>
      <c r="E128" s="49"/>
    </row>
    <row r="129" spans="1:5" x14ac:dyDescent="0.25">
      <c r="A129" s="68" t="s">
        <v>1335</v>
      </c>
      <c r="B129" s="62"/>
      <c r="C129" s="62">
        <v>3646.8826547999993</v>
      </c>
      <c r="D129" s="109">
        <v>0.84150000000000003</v>
      </c>
      <c r="E129" s="49"/>
    </row>
    <row r="130" spans="1:5" x14ac:dyDescent="0.25">
      <c r="A130" s="68" t="s">
        <v>1336</v>
      </c>
      <c r="B130" s="62"/>
      <c r="C130" s="62">
        <v>4533.9436333116819</v>
      </c>
      <c r="D130" s="109">
        <v>0.437</v>
      </c>
      <c r="E130" s="49"/>
    </row>
    <row r="131" spans="1:5" x14ac:dyDescent="0.25">
      <c r="A131" s="68" t="s">
        <v>1337</v>
      </c>
      <c r="B131" s="62"/>
      <c r="C131" s="62">
        <v>3689.2580177520322</v>
      </c>
      <c r="D131" s="109">
        <v>0.75700000000000001</v>
      </c>
      <c r="E131" s="49"/>
    </row>
    <row r="132" spans="1:5" x14ac:dyDescent="0.25">
      <c r="A132" s="68" t="s">
        <v>1338</v>
      </c>
      <c r="B132" s="62"/>
      <c r="C132" s="62">
        <v>3676.6399252923989</v>
      </c>
      <c r="D132" s="109">
        <v>0.751</v>
      </c>
      <c r="E132" s="49"/>
    </row>
    <row r="133" spans="1:5" x14ac:dyDescent="0.25">
      <c r="A133" s="68" t="s">
        <v>1339</v>
      </c>
      <c r="B133" s="62"/>
      <c r="C133" s="62">
        <v>3151</v>
      </c>
      <c r="D133" s="109">
        <v>0.86470000000000002</v>
      </c>
      <c r="E133" s="49"/>
    </row>
    <row r="134" spans="1:5" x14ac:dyDescent="0.25">
      <c r="A134" s="68" t="s">
        <v>1340</v>
      </c>
      <c r="B134" s="62">
        <v>116963.76491445</v>
      </c>
      <c r="C134" s="62">
        <v>2599.4406415121098</v>
      </c>
      <c r="D134" s="109">
        <v>0.83138369600000006</v>
      </c>
      <c r="E134" s="49"/>
    </row>
    <row r="135" spans="1:5" x14ac:dyDescent="0.25">
      <c r="A135" s="68" t="s">
        <v>1341</v>
      </c>
      <c r="B135" s="62">
        <v>126124.78706897001</v>
      </c>
      <c r="C135" s="62">
        <v>2805.4421680103501</v>
      </c>
      <c r="D135" s="109">
        <v>0.84607581700000001</v>
      </c>
      <c r="E135" s="49"/>
    </row>
    <row r="136" spans="1:5" x14ac:dyDescent="0.25">
      <c r="A136" s="68" t="s">
        <v>1342</v>
      </c>
      <c r="B136" s="62">
        <v>130269.091480068</v>
      </c>
      <c r="C136" s="62">
        <v>2909.12062219889</v>
      </c>
      <c r="D136" s="109">
        <v>0.848735774</v>
      </c>
      <c r="E136" s="49"/>
    </row>
    <row r="137" spans="1:5" x14ac:dyDescent="0.25">
      <c r="A137" s="68" t="s">
        <v>1343</v>
      </c>
      <c r="B137" s="62">
        <v>119858.923303142</v>
      </c>
      <c r="C137" s="62">
        <v>2667.7232819999999</v>
      </c>
      <c r="D137" s="109">
        <v>0.841590604326105</v>
      </c>
      <c r="E137" s="49"/>
    </row>
    <row r="138" spans="1:5" x14ac:dyDescent="0.25">
      <c r="A138" s="68" t="s">
        <v>1344</v>
      </c>
      <c r="B138" s="62">
        <v>40571</v>
      </c>
      <c r="C138" s="62">
        <v>2281.8458000000001</v>
      </c>
      <c r="D138" s="109">
        <v>0</v>
      </c>
      <c r="E138" s="494">
        <v>1</v>
      </c>
    </row>
    <row r="139" spans="1:5" x14ac:dyDescent="0.25">
      <c r="A139" s="68"/>
      <c r="E139" s="49"/>
    </row>
    <row r="140" spans="1:5" ht="15.75" thickBot="1" x14ac:dyDescent="0.3">
      <c r="A140" s="492" t="s">
        <v>1360</v>
      </c>
      <c r="B140" s="83" t="s">
        <v>1345</v>
      </c>
      <c r="C140" s="83" t="s">
        <v>1346</v>
      </c>
      <c r="D140" s="83" t="s">
        <v>1359</v>
      </c>
      <c r="E140" s="105" t="s">
        <v>1279</v>
      </c>
    </row>
    <row r="141" spans="1:5" ht="15.75" thickTop="1" x14ac:dyDescent="0.25">
      <c r="A141" s="68" t="s">
        <v>233</v>
      </c>
      <c r="B141" s="62">
        <v>1089</v>
      </c>
      <c r="C141" s="419">
        <v>22</v>
      </c>
      <c r="D141" s="109">
        <v>0.72399999999999998</v>
      </c>
      <c r="E141" s="494">
        <v>0.90266299357208446</v>
      </c>
    </row>
    <row r="142" spans="1:5" x14ac:dyDescent="0.25">
      <c r="A142" s="68" t="s">
        <v>1347</v>
      </c>
      <c r="B142" s="62">
        <v>1089</v>
      </c>
      <c r="C142" s="419">
        <v>22</v>
      </c>
      <c r="D142" s="109">
        <v>0.72399999999999998</v>
      </c>
      <c r="E142" s="494">
        <v>0.90266299357208446</v>
      </c>
    </row>
    <row r="143" spans="1:5" x14ac:dyDescent="0.25">
      <c r="A143" s="68" t="s">
        <v>1348</v>
      </c>
      <c r="B143" s="62">
        <v>1064.6260892329301</v>
      </c>
      <c r="C143" s="419">
        <v>20.294918982129801</v>
      </c>
      <c r="D143" s="109">
        <v>0.74676708210032305</v>
      </c>
      <c r="E143" s="494">
        <v>0.90083548512216971</v>
      </c>
    </row>
    <row r="144" spans="1:5" x14ac:dyDescent="0.25">
      <c r="A144" s="68" t="s">
        <v>1349</v>
      </c>
      <c r="B144" s="62">
        <v>1068.0254046214709</v>
      </c>
      <c r="C144" s="419">
        <v>20.303179298999996</v>
      </c>
      <c r="D144" s="109">
        <v>0.75</v>
      </c>
      <c r="E144" s="494">
        <v>0.9009009009009008</v>
      </c>
    </row>
    <row r="145" spans="1:5" x14ac:dyDescent="0.25">
      <c r="A145" s="68" t="s">
        <v>1350</v>
      </c>
      <c r="B145" s="62">
        <v>343</v>
      </c>
      <c r="C145" s="419">
        <v>2.5499999999999998</v>
      </c>
      <c r="D145" s="109">
        <v>0</v>
      </c>
      <c r="E145" s="494">
        <v>0.84548104956268222</v>
      </c>
    </row>
    <row r="146" spans="1:5" x14ac:dyDescent="0.25">
      <c r="A146" s="68" t="s">
        <v>1351</v>
      </c>
      <c r="B146" s="62"/>
      <c r="C146" s="419">
        <v>55.977829999999997</v>
      </c>
      <c r="D146" s="109">
        <v>0.27272727272727271</v>
      </c>
      <c r="E146" s="494"/>
    </row>
    <row r="147" spans="1:5" x14ac:dyDescent="0.25">
      <c r="A147" s="286" t="s">
        <v>1352</v>
      </c>
      <c r="B147" s="18">
        <v>1279.7381453012381</v>
      </c>
      <c r="C147" s="495">
        <v>25.019852271678111</v>
      </c>
      <c r="D147" s="496">
        <v>0.76981385823883608</v>
      </c>
      <c r="E147" s="497">
        <v>0.90586790472651468</v>
      </c>
    </row>
  </sheetData>
  <mergeCells count="6">
    <mergeCell ref="A1:D1"/>
    <mergeCell ref="F1:G1"/>
    <mergeCell ref="F11:G11"/>
    <mergeCell ref="A32:I32"/>
    <mergeCell ref="A64:E64"/>
    <mergeCell ref="F7:G9"/>
  </mergeCells>
  <dataValidations disablePrompts="1" count="1">
    <dataValidation type="list" allowBlank="1" showInputMessage="1" showErrorMessage="1" sqref="R1" xr:uid="{32A3F420-5688-4EF9-9B6E-2CDFFA3A9964}">
      <formula1>$T$1:$T$2</formula1>
    </dataValidation>
  </dataValidations>
  <hyperlinks>
    <hyperlink ref="Q4" r:id="rId1" display="Annual Avg. Exchange Rates - Bank of Canada" xr:uid="{5098208A-2303-4F16-BF21-A43C040B9BD1}"/>
    <hyperlink ref="I1" r:id="rId2" display="Consumer Price Index, annual average, not seasonally adjusted, where 2002=100 - StatCan Table: 18-10-0005-01" xr:uid="{04A6DE0D-C782-4D23-AE76-1502E47EF483}"/>
    <hyperlink ref="M1" r:id="rId3" display="GDP annual price index (2017=100) - StatCan Table: 36-10-0130-01" xr:uid="{A9B0EE72-3781-4AF8-A1E8-F8BE0E99F407}"/>
  </hyperlinks>
  <pageMargins left="0.7" right="0.7" top="0.75" bottom="0.75" header="0.3" footer="0.3"/>
  <pageSetup orientation="portrait"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2BE03-6453-4B69-B2A3-56CEA198A5A7}">
  <sheetPr codeName="Sheet26">
    <tabColor theme="0"/>
  </sheetPr>
  <dimension ref="A1:A83"/>
  <sheetViews>
    <sheetView topLeftCell="A18" workbookViewId="0">
      <selection activeCell="U57" sqref="U57"/>
    </sheetView>
  </sheetViews>
  <sheetFormatPr defaultRowHeight="15" x14ac:dyDescent="0.25"/>
  <cols>
    <col min="1" max="1" width="143.85546875" customWidth="1"/>
  </cols>
  <sheetData>
    <row r="1" spans="1:1" ht="16.5" thickBot="1" x14ac:dyDescent="0.3">
      <c r="A1" s="47" t="s">
        <v>164</v>
      </c>
    </row>
    <row r="2" spans="1:1" ht="15.75" thickTop="1" x14ac:dyDescent="0.25">
      <c r="A2" s="53" t="s">
        <v>1151</v>
      </c>
    </row>
    <row r="3" spans="1:1" x14ac:dyDescent="0.25">
      <c r="A3" s="53" t="s">
        <v>1168</v>
      </c>
    </row>
    <row r="4" spans="1:1" x14ac:dyDescent="0.25">
      <c r="A4" s="53" t="s">
        <v>695</v>
      </c>
    </row>
    <row r="5" spans="1:1" x14ac:dyDescent="0.25">
      <c r="A5" s="53" t="s">
        <v>2679</v>
      </c>
    </row>
    <row r="6" spans="1:1" x14ac:dyDescent="0.25">
      <c r="A6" s="53" t="s">
        <v>694</v>
      </c>
    </row>
    <row r="7" spans="1:1" x14ac:dyDescent="0.25">
      <c r="A7" s="53" t="s">
        <v>897</v>
      </c>
    </row>
    <row r="8" spans="1:1" x14ac:dyDescent="0.25">
      <c r="A8" s="53" t="s">
        <v>1229</v>
      </c>
    </row>
    <row r="9" spans="1:1" x14ac:dyDescent="0.25">
      <c r="A9" s="53" t="s">
        <v>898</v>
      </c>
    </row>
    <row r="10" spans="1:1" x14ac:dyDescent="0.25">
      <c r="A10" s="53" t="s">
        <v>141</v>
      </c>
    </row>
    <row r="11" spans="1:1" x14ac:dyDescent="0.25">
      <c r="A11" s="53" t="s">
        <v>1169</v>
      </c>
    </row>
    <row r="12" spans="1:1" x14ac:dyDescent="0.25">
      <c r="A12" s="53" t="s">
        <v>1170</v>
      </c>
    </row>
    <row r="13" spans="1:1" x14ac:dyDescent="0.25">
      <c r="A13" s="53" t="s">
        <v>1075</v>
      </c>
    </row>
    <row r="14" spans="1:1" x14ac:dyDescent="0.25">
      <c r="A14" s="53" t="s">
        <v>1147</v>
      </c>
    </row>
    <row r="15" spans="1:1" x14ac:dyDescent="0.25">
      <c r="A15" s="53" t="s">
        <v>1152</v>
      </c>
    </row>
    <row r="16" spans="1:1" x14ac:dyDescent="0.25">
      <c r="A16" s="53" t="s">
        <v>142</v>
      </c>
    </row>
    <row r="17" spans="1:1" x14ac:dyDescent="0.25">
      <c r="A17" s="53" t="s">
        <v>1718</v>
      </c>
    </row>
    <row r="18" spans="1:1" x14ac:dyDescent="0.25">
      <c r="A18" s="53" t="s">
        <v>143</v>
      </c>
    </row>
    <row r="19" spans="1:1" x14ac:dyDescent="0.25">
      <c r="A19" s="53" t="s">
        <v>144</v>
      </c>
    </row>
    <row r="20" spans="1:1" x14ac:dyDescent="0.25">
      <c r="A20" s="53" t="s">
        <v>1712</v>
      </c>
    </row>
    <row r="21" spans="1:1" x14ac:dyDescent="0.25">
      <c r="A21" s="53" t="s">
        <v>1123</v>
      </c>
    </row>
    <row r="22" spans="1:1" x14ac:dyDescent="0.25">
      <c r="A22" s="53" t="s">
        <v>2922</v>
      </c>
    </row>
    <row r="23" spans="1:1" x14ac:dyDescent="0.25">
      <c r="A23" s="53" t="s">
        <v>145</v>
      </c>
    </row>
    <row r="24" spans="1:1" x14ac:dyDescent="0.25">
      <c r="A24" s="53" t="s">
        <v>1029</v>
      </c>
    </row>
    <row r="25" spans="1:1" x14ac:dyDescent="0.25">
      <c r="A25" s="53" t="s">
        <v>2680</v>
      </c>
    </row>
    <row r="26" spans="1:1" x14ac:dyDescent="0.25">
      <c r="A26" s="53" t="s">
        <v>385</v>
      </c>
    </row>
    <row r="27" spans="1:1" x14ac:dyDescent="0.25">
      <c r="A27" s="53" t="s">
        <v>1693</v>
      </c>
    </row>
    <row r="28" spans="1:1" x14ac:dyDescent="0.25">
      <c r="A28" s="53" t="s">
        <v>888</v>
      </c>
    </row>
    <row r="29" spans="1:1" x14ac:dyDescent="0.25">
      <c r="A29" s="53" t="s">
        <v>1717</v>
      </c>
    </row>
    <row r="30" spans="1:1" x14ac:dyDescent="0.25">
      <c r="A30" s="53" t="s">
        <v>386</v>
      </c>
    </row>
    <row r="31" spans="1:1" x14ac:dyDescent="0.25">
      <c r="A31" s="53" t="s">
        <v>1166</v>
      </c>
    </row>
    <row r="32" spans="1:1" x14ac:dyDescent="0.25">
      <c r="A32" s="53" t="s">
        <v>146</v>
      </c>
    </row>
    <row r="33" spans="1:1" x14ac:dyDescent="0.25">
      <c r="A33" s="53" t="s">
        <v>2682</v>
      </c>
    </row>
    <row r="34" spans="1:1" x14ac:dyDescent="0.25">
      <c r="A34" s="53" t="s">
        <v>167</v>
      </c>
    </row>
    <row r="35" spans="1:1" x14ac:dyDescent="0.25">
      <c r="A35" s="53" t="s">
        <v>2681</v>
      </c>
    </row>
    <row r="36" spans="1:1" x14ac:dyDescent="0.25">
      <c r="A36" s="53" t="s">
        <v>696</v>
      </c>
    </row>
    <row r="37" spans="1:1" x14ac:dyDescent="0.25">
      <c r="A37" s="53" t="s">
        <v>1710</v>
      </c>
    </row>
    <row r="38" spans="1:1" x14ac:dyDescent="0.25">
      <c r="A38" s="53" t="s">
        <v>1235</v>
      </c>
    </row>
    <row r="39" spans="1:1" x14ac:dyDescent="0.25">
      <c r="A39" s="53" t="s">
        <v>971</v>
      </c>
    </row>
    <row r="40" spans="1:1" x14ac:dyDescent="0.25">
      <c r="A40" s="53" t="s">
        <v>163</v>
      </c>
    </row>
    <row r="41" spans="1:1" x14ac:dyDescent="0.25">
      <c r="A41" s="53" t="s">
        <v>140</v>
      </c>
    </row>
    <row r="42" spans="1:1" x14ac:dyDescent="0.25">
      <c r="A42" s="53" t="s">
        <v>1120</v>
      </c>
    </row>
    <row r="43" spans="1:1" x14ac:dyDescent="0.25">
      <c r="A43" s="53" t="s">
        <v>1157</v>
      </c>
    </row>
    <row r="44" spans="1:1" x14ac:dyDescent="0.25">
      <c r="A44" s="53" t="s">
        <v>1158</v>
      </c>
    </row>
    <row r="45" spans="1:1" x14ac:dyDescent="0.25">
      <c r="A45" s="53" t="s">
        <v>1172</v>
      </c>
    </row>
    <row r="46" spans="1:1" x14ac:dyDescent="0.25">
      <c r="A46" s="53" t="s">
        <v>2866</v>
      </c>
    </row>
    <row r="47" spans="1:1" x14ac:dyDescent="0.25">
      <c r="A47" s="53" t="s">
        <v>1156</v>
      </c>
    </row>
    <row r="48" spans="1:1" x14ac:dyDescent="0.25">
      <c r="A48" s="53" t="s">
        <v>1117</v>
      </c>
    </row>
    <row r="49" spans="1:1" x14ac:dyDescent="0.25">
      <c r="A49" s="53" t="s">
        <v>2720</v>
      </c>
    </row>
    <row r="50" spans="1:1" x14ac:dyDescent="0.25">
      <c r="A50" s="53" t="s">
        <v>147</v>
      </c>
    </row>
    <row r="51" spans="1:1" x14ac:dyDescent="0.25">
      <c r="A51" s="53" t="s">
        <v>2871</v>
      </c>
    </row>
    <row r="52" spans="1:1" x14ac:dyDescent="0.25">
      <c r="A52" s="53" t="s">
        <v>1259</v>
      </c>
    </row>
    <row r="53" spans="1:1" x14ac:dyDescent="0.25">
      <c r="A53" s="53" t="s">
        <v>1159</v>
      </c>
    </row>
    <row r="54" spans="1:1" x14ac:dyDescent="0.25">
      <c r="A54" s="53" t="s">
        <v>2748</v>
      </c>
    </row>
    <row r="55" spans="1:1" x14ac:dyDescent="0.25">
      <c r="A55" s="53" t="s">
        <v>840</v>
      </c>
    </row>
    <row r="56" spans="1:1" x14ac:dyDescent="0.25">
      <c r="A56" s="53" t="s">
        <v>148</v>
      </c>
    </row>
    <row r="57" spans="1:1" x14ac:dyDescent="0.25">
      <c r="A57" s="53" t="s">
        <v>149</v>
      </c>
    </row>
    <row r="58" spans="1:1" x14ac:dyDescent="0.25">
      <c r="A58" s="53" t="s">
        <v>150</v>
      </c>
    </row>
    <row r="59" spans="1:1" x14ac:dyDescent="0.25">
      <c r="A59" s="53" t="s">
        <v>151</v>
      </c>
    </row>
    <row r="60" spans="1:1" x14ac:dyDescent="0.25">
      <c r="A60" s="53" t="s">
        <v>697</v>
      </c>
    </row>
    <row r="61" spans="1:1" x14ac:dyDescent="0.25">
      <c r="A61" s="53" t="s">
        <v>152</v>
      </c>
    </row>
    <row r="62" spans="1:1" x14ac:dyDescent="0.25">
      <c r="A62" s="53" t="s">
        <v>1669</v>
      </c>
    </row>
    <row r="63" spans="1:1" x14ac:dyDescent="0.25">
      <c r="A63" s="53" t="s">
        <v>153</v>
      </c>
    </row>
    <row r="64" spans="1:1" x14ac:dyDescent="0.25">
      <c r="A64" s="53" t="s">
        <v>2675</v>
      </c>
    </row>
    <row r="65" spans="1:1" x14ac:dyDescent="0.25">
      <c r="A65" s="53" t="s">
        <v>2957</v>
      </c>
    </row>
    <row r="66" spans="1:1" x14ac:dyDescent="0.25">
      <c r="A66" s="53" t="s">
        <v>1660</v>
      </c>
    </row>
    <row r="67" spans="1:1" x14ac:dyDescent="0.25">
      <c r="A67" s="53" t="s">
        <v>2683</v>
      </c>
    </row>
    <row r="68" spans="1:1" x14ac:dyDescent="0.25">
      <c r="A68" s="53" t="s">
        <v>154</v>
      </c>
    </row>
    <row r="69" spans="1:1" x14ac:dyDescent="0.25">
      <c r="A69" s="53" t="s">
        <v>155</v>
      </c>
    </row>
    <row r="70" spans="1:1" x14ac:dyDescent="0.25">
      <c r="A70" s="53" t="s">
        <v>156</v>
      </c>
    </row>
    <row r="71" spans="1:1" x14ac:dyDescent="0.25">
      <c r="A71" s="53" t="s">
        <v>157</v>
      </c>
    </row>
    <row r="72" spans="1:1" x14ac:dyDescent="0.25">
      <c r="A72" s="53" t="s">
        <v>158</v>
      </c>
    </row>
    <row r="73" spans="1:1" x14ac:dyDescent="0.25">
      <c r="A73" s="53" t="s">
        <v>159</v>
      </c>
    </row>
    <row r="74" spans="1:1" x14ac:dyDescent="0.25">
      <c r="A74" s="53" t="s">
        <v>387</v>
      </c>
    </row>
    <row r="75" spans="1:1" x14ac:dyDescent="0.25">
      <c r="A75" s="53" t="s">
        <v>160</v>
      </c>
    </row>
    <row r="76" spans="1:1" x14ac:dyDescent="0.25">
      <c r="A76" s="53" t="s">
        <v>1118</v>
      </c>
    </row>
    <row r="77" spans="1:1" x14ac:dyDescent="0.25">
      <c r="A77" s="53" t="s">
        <v>1125</v>
      </c>
    </row>
    <row r="78" spans="1:1" x14ac:dyDescent="0.25">
      <c r="A78" s="53" t="s">
        <v>161</v>
      </c>
    </row>
    <row r="79" spans="1:1" x14ac:dyDescent="0.25">
      <c r="A79" s="53" t="s">
        <v>388</v>
      </c>
    </row>
    <row r="80" spans="1:1" x14ac:dyDescent="0.25">
      <c r="A80" s="53" t="s">
        <v>389</v>
      </c>
    </row>
    <row r="81" spans="1:1" x14ac:dyDescent="0.25">
      <c r="A81" s="53" t="s">
        <v>162</v>
      </c>
    </row>
    <row r="82" spans="1:1" x14ac:dyDescent="0.25">
      <c r="A82" s="275" t="s">
        <v>1148</v>
      </c>
    </row>
    <row r="83" spans="1:1" x14ac:dyDescent="0.25">
      <c r="A83" s="53" t="s">
        <v>1038</v>
      </c>
    </row>
  </sheetData>
  <sortState xmlns:xlrd2="http://schemas.microsoft.com/office/spreadsheetml/2017/richdata2" ref="A2:A83">
    <sortCondition ref="A83"/>
  </sortState>
  <hyperlinks>
    <hyperlink ref="A10" r:id="rId1" display="https://doi.org/10.1016/j.enpol.2013.07.023" xr:uid="{A1565A5E-C0CC-4833-83C3-5F8316A9C710}"/>
    <hyperlink ref="A16" r:id="rId2" display="https://www.cer-rec.gc.ca/en/data-analysis/energy-markets/market-snapshots/2019/market-snapshot-levelized-costs-driving-evs-conventional-vehicles.html" xr:uid="{3BF989E6-3A12-4316-99C0-FA795F6681D9}"/>
    <hyperlink ref="A18" r:id="rId3" display="https://natural-resources.canada.ca/sites/www.nrcan.gc.ca/files/energy/energy-resources/CERI_Study_162_Full_Report.pdf" xr:uid="{D76E0AB5-F184-4BFA-AE41-F27027C71F28}"/>
    <hyperlink ref="A19" r:id="rId4" display="https://www.policyschool.ca/ceri-canadian-energy-research-institute/" xr:uid="{93B3594B-F682-4A5F-B767-4058756C829F}"/>
    <hyperlink ref="A23" r:id="rId5" display="https://doi.org/10.1016/j.ijhydene.2013.11.021" xr:uid="{F7DB2C24-CC82-474A-912E-AE73B25F3723}"/>
    <hyperlink ref="A26" r:id="rId6" display="https://www.eia.gov/outlooks/aeo/assumptions/pdf/TDM_Assumptions.pdf" xr:uid="{E226EF86-3492-429E-8C0A-3388CF2855A4}"/>
    <hyperlink ref="A30" r:id="rId7" display="https://docs.energypolicy.solutions/models/canada" xr:uid="{45D1823D-EA59-45BB-B81D-CAF2F6690A41}"/>
    <hyperlink ref="A32" r:id="rId8" display="https://www.canada.ca/en/environment-climate-change/services/managing-pollution/marine-emissions-inventory-tool.html" xr:uid="{0F8B9494-A806-4F76-824B-6E013D8BE3EB}"/>
    <hyperlink ref="A34" r:id="rId9" display="https://cfpub.epa.gov/si/si_public_record_report.cfm?Lab=NRMRL&amp;dirEntryId=346478" xr:uid="{156C97C2-6B2A-454B-A3B1-01E8495803EC}"/>
    <hyperlink ref="A40" r:id="rId10" display="https://bakercenterdev.utk.edu/images/20220628 Vehicle Scrappage and Survival.pdf" xr:uid="{9D264D80-FD3D-46C6-89FB-E791BB59C555}"/>
    <hyperlink ref="A41" r:id="rId11" display="https://doi.org/10.1257/aer.20150897" xr:uid="{7DC01552-7337-471E-958B-AE1E4B85A212}"/>
    <hyperlink ref="A50" r:id="rId12" display="https://doi.org/10.1016/j.apenergy.2019.113536" xr:uid="{BF5106F6-A638-4428-B5DD-6A4115DC8219}"/>
    <hyperlink ref="A56" r:id="rId13" display="https://oee.nrcan.gc.ca/corporate/statistics/neud/dpa/menus/trends/comprehensive/trends_tran_on.cfm" xr:uid="{6A8C9FFC-B7A8-4500-8705-DF35148689A9}"/>
    <hyperlink ref="A57" r:id="rId14" display="https://doi.org/10.3390/en14217279" xr:uid="{2885E6BB-4705-4337-973D-5573899FCDD3}"/>
    <hyperlink ref="A58" r:id="rId15" display="https://doi.org/10.2172/1804702" xr:uid="{014FC97F-5847-4CB0-ABF3-156787EC473B}"/>
    <hyperlink ref="A59" r:id="rId16" display="https://doi.org/10.2172/1821615" xr:uid="{C7935E59-CE98-4DD5-A603-7CAF2089CB2E}"/>
    <hyperlink ref="A61" r:id="rId17" display="https://doi.org/10.2172/1459351" xr:uid="{265BB8F8-8913-4D5C-AA92-FBD31A708741}"/>
    <hyperlink ref="A63" r:id="rId18" display="https://tedb.ornl.gov/wp-content/uploads/2022/03/TEDB_Ed_40.pdf" xr:uid="{70CDD22E-2319-4710-9B63-404FAAA2683E}"/>
    <hyperlink ref="A68" r:id="rId19" display="https://doi.org/10.1016/j.seta.2023.103070" xr:uid="{03B56164-C6BD-4725-9F74-C4091E7C66B4}"/>
    <hyperlink ref="A69" r:id="rId20" display="https://www150.statcan.gc.ca/n1/pub/53-223-x/2009000/tablesectlist-listetableauxsect-eng.htm" xr:uid="{3EBB8C26-9586-466D-98AB-4B813C7B37CA}"/>
    <hyperlink ref="A70" r:id="rId21" display="https://www150.statcan.gc.ca/t1/tbl1/en/tv.action?pid=2310006701" xr:uid="{A43EE770-9978-46D7-BA9E-BD8A70892DD2}"/>
    <hyperlink ref="A71" r:id="rId22" display="https://www150.statcan.gc.ca/t1/tbl1/en/tv.action?pid=3410025501" xr:uid="{9B1604BC-632C-401A-B1D8-57E6F24F323C}"/>
    <hyperlink ref="A72" r:id="rId23" display="https://www150.statcan.gc.ca/t1/tbl1/en/tv.action?pid=2010002101" xr:uid="{E31F5136-9B70-4325-9F0D-A2AA5B9FEA47}"/>
    <hyperlink ref="A73" r:id="rId24" display="https://www150.statcan.gc.ca/t1/tbl1/en/tv.action?pid=2310030801" xr:uid="{553BC6BA-857F-4F37-BA8B-5876629D947A}"/>
    <hyperlink ref="A74" r:id="rId25" display="https://www150.statcan.gc.ca/t1/tbl1/en/tv.action?pid=2310030301" xr:uid="{FAFBD0DA-8540-4B0D-AA8C-95AB47A1D0FB}"/>
    <hyperlink ref="A75" r:id="rId26" display="https://www150.statcan.gc.ca/t1/tbl1/en/tv.action?pid=2310005901" xr:uid="{40FC6CD8-8519-43D2-A42D-88B8E7B60C44}"/>
    <hyperlink ref="A78" r:id="rId27" display="https://wwwapps.tc.gc.ca/Saf-Sec-Sur/2/CCARCS-RIACC/SmRp.aspx" xr:uid="{6618C2D7-46B8-4C9E-906D-9D9DD6696B48}"/>
    <hyperlink ref="A79" r:id="rId28" display="https://tc.canada.ca/en/corporate-services/transparency/corporate-management-reporting/transportation-canada-annual-reports/transportation-canada-2020-overview-report" xr:uid="{22619068-8A11-4B8D-B2D0-82FA3EAA721C}"/>
    <hyperlink ref="A80" r:id="rId29" display="https://tdih-cdit.tc.canada.ca/en/addendum-tables" xr:uid="{CA362A13-FD44-4026-9F87-836C015CD422}"/>
    <hyperlink ref="A81" r:id="rId30" display="https://doi.org/10.1016/j.apenergy.2017.03.104" xr:uid="{B6DF394A-5973-43BB-8F3A-3C9BB43601E3}"/>
    <hyperlink ref="A4" r:id="rId31" display="https://doi.org/10.2172/1780970" xr:uid="{EE86A67C-AA29-4DA2-8BC6-C53EACD8467C}"/>
    <hyperlink ref="A6" r:id="rId32" display="https://vms.taps.anl.gov/research-highlights/u-s-doe-vto-hfto-r-d-benefits/" xr:uid="{4411A36C-E4AC-43B9-83A3-05B9E49C94C0}"/>
    <hyperlink ref="A36" r:id="rId33" display="https://www.epa.gov/system/files/documents/2023-08/420r23005.pdf" xr:uid="{E92A0D4C-7928-4523-8B00-E43DBD7866F3}"/>
    <hyperlink ref="A60" r:id="rId34" display="https://www.nrel.gov/docs/fy18osti/70485.pdf" xr:uid="{19745458-7C85-43C0-AB2B-B28FB1DC431B}"/>
    <hyperlink ref="A55" r:id="rId35" display="https://open.canada.ca/data/en/dataset/98f1a129-f628-4ce4-b24d-6f16bf24dd64" xr:uid="{2DF332E9-088D-41AA-9149-4A02003B6A32}"/>
    <hyperlink ref="A28" r:id="rId36" location="/?id=58-AEO2023&amp;cases=ref2023&amp;sourcekey=0" display="https://www.eia.gov/outlooks/aeo/data/browser/ - /?id=58-AEO2023&amp;cases=ref2023&amp;sourcekey=0" xr:uid="{8BB689BC-54F8-4EC3-A68B-2A74FA7423BE}"/>
    <hyperlink ref="A7" r:id="rId37" display="https://doi.org/10.11578/GREET-Excel-2022/dc.20220908.1" xr:uid="{BF827977-12A9-4438-BF0C-1354B7835357}"/>
    <hyperlink ref="A9" r:id="rId38" display="https://doi.org/10.11578/GREET-Excel-2020/dc.20200912.1" xr:uid="{945BF9DA-261C-4319-84A6-8FBA90B24953}"/>
    <hyperlink ref="A39" r:id="rId39" display="https://greatlakes-seaway.com/wp-content/uploads/2019/10/Impacts-Full_En.pdf" xr:uid="{A789EEA0-AA74-4EB7-B2C8-456341524DF7}"/>
    <hyperlink ref="A24" r:id="rId40" display="https://natural-resources.canada.ca/energy-efficiency/transportation-alternative-fuels/resource-library/updated-projections-canadas-public-charging-infrastructure-needs/24504" xr:uid="{DBA79315-6E12-48DC-8D95-C8F51D3AE414}"/>
    <hyperlink ref="A83" r:id="rId41" display="https://doi.org/10.1088/2516-1083/ac86b5" xr:uid="{41F5E3C3-A9E9-47AC-BDC1-8362DB380592}"/>
    <hyperlink ref="A13" r:id="rId42" display="https://doi.org/10.7922/G2H993FJ" xr:uid="{3306BE92-D449-4DAC-A474-65FF2EA56368}"/>
    <hyperlink ref="A48" r:id="rId43" display="https://itspubs.ucdavis.edu/download_pdf.php?id=2703" xr:uid="{8414D148-E90D-4770-B8B1-8A1BD69AF07F}"/>
    <hyperlink ref="A76" r:id="rId44" display="https://doi.org/10.1021/es5018575" xr:uid="{3F467334-3DBC-41E2-A612-0278AEB58DD6}"/>
    <hyperlink ref="A42" r:id="rId45" display="https://doi.org/10.1016/j.enconman.2018.02.098" xr:uid="{D1C54B10-3A06-4CE9-A959-374489EC7DBC}"/>
    <hyperlink ref="A21" r:id="rId46" display="https://doi.org/10.1016/j.joule.2020.11.002" xr:uid="{2ADB2CEC-838B-4F2E-A081-3D50E69AEB9F}"/>
    <hyperlink ref="A77" r:id="rId47" display="https://publications.gc.ca/collections/collection_2009/tc/T22-165-2008E.pdf" xr:uid="{53AEB8CD-BE0F-4405-A57E-15856D0D0E50}"/>
    <hyperlink ref="A14" r:id="rId48" display="https://doi.org/10.5194/gmd-12-677-2019" xr:uid="{75695D24-FA3B-44C8-A0C8-8BB2AC66CC9E}"/>
    <hyperlink ref="A2" r:id="rId49" display="https://greet.anl.gov/afleet" xr:uid="{B62842EA-E09B-4A6F-9C73-BA0721B52075}"/>
    <hyperlink ref="A15" r:id="rId50" display="https://doi.org/10.35002/zjr8-8x75" xr:uid="{493A4141-685A-4AA4-A577-294C40FE1FE5}"/>
    <hyperlink ref="A47" r:id="rId51" display="https://www.icao.int/environmental-protection/GFAAF/Pages/Conversion-processes.aspx" xr:uid="{BFD7B797-E1D3-4265-B27A-E88AD41B14AF}"/>
    <hyperlink ref="A43" r:id="rId52" display="https://theicct.org/publication/lvs-ci-quebec-can-en-feb22/" xr:uid="{EF4AA2B9-843B-45F2-907D-D7E0796824D0}"/>
    <hyperlink ref="A44" r:id="rId53" display="https://theicct.github.io/EVCHARGE-doc/versions/v1.1/" xr:uid="{E37DFE50-F3A4-4974-9352-CC8E33A6D50F}"/>
    <hyperlink ref="A53" r:id="rId54" display="https://natural-resources.canada.ca/energy-efficiency/transportation-alternative-fuels/resource-library/3489" xr:uid="{6E877B9D-E057-4A3D-ABFD-DFD698180D03}"/>
    <hyperlink ref="A31" r:id="rId55" display="https://www.canada.ca/en/environment-climate-change/services/managing-pollution/energy-production/fuel-regulations/clean-fuel-regulations/about.html" xr:uid="{5DDA94EC-138E-4EC6-963F-E945DE73CEF4}"/>
    <hyperlink ref="A3" r:id="rId56" display="https://hdsam.es.anl.gov/index.php" xr:uid="{D5DD822F-C159-4EC8-95FF-4C1A60EBABA7}"/>
    <hyperlink ref="A11" r:id="rId57" display="https://doi.org/10.1038/s41560-021-00855-0" xr:uid="{F15FD6A3-E8D1-4CAA-BB4C-E36A83D59F08}"/>
    <hyperlink ref="A12" r:id="rId58" display="https://doi.org/10.1016/j.joule.2020.05.013" xr:uid="{56D144CE-5201-464C-8ECA-9C20AFE83AF9}"/>
    <hyperlink ref="A45" r:id="rId59" display="https://www.iea.org/reports/the-future-of-hydrogen" xr:uid="{61004BB9-FA66-40A4-AF2C-C150F1A5F35A}"/>
    <hyperlink ref="A8" r:id="rId60" display="https://doi.org/10.11578/GREET-EXCEL-2023/DC.20230907.1" xr:uid="{BC5EB0DE-668C-46CA-B5A4-D88FD35E560F}"/>
    <hyperlink ref="A38" r:id="rId61" display="https://doi.org/10.3390/wevj1010134" xr:uid="{D61B9D71-BE17-47F4-A719-7BD3A68BE78E}"/>
    <hyperlink ref="A33" r:id="rId62" display="https://www.canada.ca/en/environment-climate-change/services/managing-pollution/fuel-life-cycle-assessment-model.html" xr:uid="{8C0C6D1C-CD4C-45FD-9812-F21BF29EBD46}"/>
    <hyperlink ref="A52" r:id="rId63" display="https://www.naviusresearch.com/publications/2023-biofuels-in-canada/" xr:uid="{592CBA2F-3DED-4AB8-BCA4-1767CF1EE222}"/>
    <hyperlink ref="A66" r:id="rId64" display="https://www.pollutionprobe.org/2023-canadian-ev-owner-charging-experience-report/" xr:uid="{7F1E7814-3D8F-4484-B98E-9C6F72372373}"/>
    <hyperlink ref="A62" r:id="rId65" display="https://atb.nrel.gov/transportation/2022/" xr:uid="{1DA3E0A1-3F64-49EA-AD65-F3F2248CF679}"/>
    <hyperlink ref="A27" r:id="rId66" location="/?id=3-AEO2023&amp;region=1-2&amp;cases=ref2023&amp;start=2021&amp;end=2050&amp;f=A&amp;linechart=&amp;map=ref2023-d020623a.3-3-AEO2023.1-2&amp;ctype=linechart&amp;sourcekey=0" display="https://www.eia.gov/outlooks/aeo/data/browser/ - /?id=3-AEO2023&amp;region=1-2&amp;cases=ref2023&amp;start=2021&amp;end=2050&amp;f=A&amp;linechart=&amp;map=ref2023-d020623a.3-3-AEO2023.1-2&amp;ctype=linechart&amp;sourcekey=0" xr:uid="{9F109FD3-2B59-45F3-9216-D40A0D1E40AB}"/>
    <hyperlink ref="A37" r:id="rId67" display="https://nhts.ornl.gov/" xr:uid="{BA359BF5-931D-48AE-B573-F79D05DB7F2F}"/>
    <hyperlink ref="A20" r:id="rId68" display="https://dmg.utoronto.ca/" xr:uid="{F8581161-8477-42BA-B36E-641EBFDDC537}"/>
    <hyperlink ref="A29" r:id="rId69" location="/?id=70-AEO2023&amp;region=1-3&amp;cases=ref2023&amp;start=2021&amp;end=2050&amp;f=A&amp;linechart=ref2023-d020623a.3-70-AEO2023.1-3&amp;map=ref2023-d020623a.3-70-AEO2023.1-3&amp;sourcekey=0" display="https://www.eia.gov/outlooks/aeo/data/browser/ - /?id=70-AEO2023&amp;region=1-3&amp;cases=ref2023&amp;start=2021&amp;end=2050&amp;f=A&amp;linechart=ref2023-d020623a.3-70-AEO2023.1-3&amp;map=ref2023-d020623a.3-70-AEO2023.1-3&amp;sourcekey=0" xr:uid="{390F5375-A28D-46EE-818B-1F935FAFCF27}"/>
    <hyperlink ref="A17" r:id="rId70" display="https://doi.org/10.35002/ZJR8-8X75" xr:uid="{29502208-40A5-452B-AB29-428C4B71A26F}"/>
    <hyperlink ref="A64" r:id="rId71" display="https://data.ontario.ca/dataset/vehicle-population-data" xr:uid="{644B7331-0B03-40AC-986A-02BDC97111F4}"/>
    <hyperlink ref="A5" r:id="rId72" display="https://vms.taps.anl.gov/research-highlights/vehicle-technologies/u-s-doe-vto-hfto-r-d-benefits/" xr:uid="{2DEE8E34-93C8-403C-BD17-8D2CA55C3D14}"/>
    <hyperlink ref="A25" r:id="rId73" display="https://us-regen-docs.epri.com/v2021a/" xr:uid="{89672726-CD4B-494B-BE1C-71CE1875D071}"/>
    <hyperlink ref="A35" r:id="rId74" display="https://www.epa.gov/regulations-emissions-vehicles-and-engines/final-rule-phase-2-greenhouse-gas-emissions-standards-and" xr:uid="{B4B55BE4-3F0E-4EAE-A58F-F3A17DE986A2}"/>
    <hyperlink ref="A67" r:id="rId75" display="https://www.ghgenius.ca/index.php/downloads" xr:uid="{EB19434B-B773-497A-B6F8-277F52F4FFF6}"/>
    <hyperlink ref="A49" r:id="rId76" display="https://www.boeing.com/content/dam/boeing/boeingdotcom/commercial/about-our-market/assets/downloads/aircraft_economic_life_whitepaper.pdf" xr:uid="{9AFBF324-2F12-4A47-916A-871A14167FD1}"/>
    <hyperlink ref="A54" r:id="rId77" display="https://www.nhtsa.gov/corporate-average-fuel-economy/cafe-compliance-and-effects-modeling-system" xr:uid="{A046803E-AFE7-4D8B-BF5A-CB8640E59A01}"/>
    <hyperlink ref="A46" r:id="rId78" display="https://www.iea.org/reports/global-hydrogen-review-2024" xr:uid="{C54F273F-4FE1-48A5-83FF-D8026654479F}"/>
    <hyperlink ref="A51" r:id="rId79" display="https://doi.org/10.2172/1862910" xr:uid="{6DE38056-F966-4903-ABB1-838F0D226EED}"/>
    <hyperlink ref="A22" r:id="rId80" display="https://www.gov.uk/government/publications/hydrogen-production-costs-2021" xr:uid="{AF2F5C78-5863-44DE-9C24-3E372CAA0553}"/>
    <hyperlink ref="A65" r:id="rId81" display="https://doi.org/10.17632/8ztnn4br66.1" xr:uid="{207069D8-8BBC-4B4E-928C-ECAFEA7DEAF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04103ED5B2F21469B87CD343217B86D" ma:contentTypeVersion="6" ma:contentTypeDescription="Create a new document." ma:contentTypeScope="" ma:versionID="aec80c40ca1c7da8f702b65a9abd0977">
  <xsd:schema xmlns:xsd="http://www.w3.org/2001/XMLSchema" xmlns:xs="http://www.w3.org/2001/XMLSchema" xmlns:p="http://schemas.microsoft.com/office/2006/metadata/properties" xmlns:ns2="6b91d5c2-19a4-474a-bca1-482e9dc79af3" xmlns:ns3="3cb40f75-4957-45b3-897a-4bbc5649c5eb" targetNamespace="http://schemas.microsoft.com/office/2006/metadata/properties" ma:root="true" ma:fieldsID="790c81743cdb8bd39208f6687fa9bb70" ns2:_="" ns3:_="">
    <xsd:import namespace="6b91d5c2-19a4-474a-bca1-482e9dc79af3"/>
    <xsd:import namespace="3cb40f75-4957-45b3-897a-4bbc5649c5e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91d5c2-19a4-474a-bca1-482e9dc79a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b40f75-4957-45b3-897a-4bbc5649c5e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9E57B7-102B-43FD-8795-B2DC7630509B}">
  <ds:schemaRefs>
    <ds:schemaRef ds:uri="http://schemas.microsoft.com/DataMashup"/>
  </ds:schemaRefs>
</ds:datastoreItem>
</file>

<file path=customXml/itemProps2.xml><?xml version="1.0" encoding="utf-8"?>
<ds:datastoreItem xmlns:ds="http://schemas.openxmlformats.org/officeDocument/2006/customXml" ds:itemID="{1F0ADCF0-70E1-44CA-A701-6076BCBAE39F}">
  <ds:schemaRefs>
    <ds:schemaRef ds:uri="http://schemas.microsoft.com/sharepoint/v3/contenttype/forms"/>
  </ds:schemaRefs>
</ds:datastoreItem>
</file>

<file path=customXml/itemProps3.xml><?xml version="1.0" encoding="utf-8"?>
<ds:datastoreItem xmlns:ds="http://schemas.openxmlformats.org/officeDocument/2006/customXml" ds:itemID="{621C5DF4-9C95-48AE-B33A-07FD0F6670FF}">
  <ds:schemaRefs>
    <ds:schemaRef ds:uri="http://schemas.microsoft.com/office/2006/metadata/contentType"/>
    <ds:schemaRef ds:uri="http://schemas.microsoft.com/office/2006/metadata/properties/metaAttributes"/>
    <ds:schemaRef ds:uri="http://www.w3.org/2000/xmlns/"/>
    <ds:schemaRef ds:uri="http://www.w3.org/2001/XMLSchema"/>
    <ds:schemaRef ds:uri="6b91d5c2-19a4-474a-bca1-482e9dc79af3"/>
    <ds:schemaRef ds:uri="3cb40f75-4957-45b3-897a-4bbc5649c5eb"/>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8aac226-2f03-4b4d-9037-b46d56c55210}" enabled="0" method="" siteId="{78aac226-2f03-4b4d-9037-b46d56c5521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39</vt:i4>
      </vt:variant>
    </vt:vector>
  </HeadingPairs>
  <TitlesOfParts>
    <vt:vector size="63" baseType="lpstr">
      <vt:lpstr>Overview</vt:lpstr>
      <vt:lpstr>Technology</vt:lpstr>
      <vt:lpstr>Commodity</vt:lpstr>
      <vt:lpstr>ExistingCapacity</vt:lpstr>
      <vt:lpstr>Demand</vt:lpstr>
      <vt:lpstr>LifetimeTech</vt:lpstr>
      <vt:lpstr>Efficiency</vt:lpstr>
      <vt:lpstr>CapacityToActivity</vt:lpstr>
      <vt:lpstr>MaxAnnualCapacityFactor</vt:lpstr>
      <vt:lpstr>MinAnnualCapacityFactor</vt:lpstr>
      <vt:lpstr>MaxCapacity</vt:lpstr>
      <vt:lpstr>CostInvest</vt:lpstr>
      <vt:lpstr>CostFixed</vt:lpstr>
      <vt:lpstr>Background Data</vt:lpstr>
      <vt:lpstr>NRCan Fuel Guide</vt:lpstr>
      <vt:lpstr>Autonomie 2023 MHDV</vt:lpstr>
      <vt:lpstr>GREET-AFLEET Data</vt:lpstr>
      <vt:lpstr>OEO &amp; EPAUS9rT Data</vt:lpstr>
      <vt:lpstr>AEO-LDV Data</vt:lpstr>
      <vt:lpstr>H2 Data</vt:lpstr>
      <vt:lpstr>CFAF</vt:lpstr>
      <vt:lpstr>Payload capacity penalty</vt:lpstr>
      <vt:lpstr>Conversion Factors</vt:lpstr>
      <vt:lpstr>References</vt:lpstr>
      <vt:lpstr>BDSL_GJ_L</vt:lpstr>
      <vt:lpstr>BOB_GJ_L</vt:lpstr>
      <vt:lpstr>CAD2021_to_2020</vt:lpstr>
      <vt:lpstr>CAD2022_to_2020</vt:lpstr>
      <vt:lpstr>CNG_DGE</vt:lpstr>
      <vt:lpstr>DGE_GGE</vt:lpstr>
      <vt:lpstr>DSL_PJ_ML</vt:lpstr>
      <vt:lpstr>E85_PJ_ML</vt:lpstr>
      <vt:lpstr>ELC_PJ_MkWh</vt:lpstr>
      <vt:lpstr>ETH_GJ_L</vt:lpstr>
      <vt:lpstr>GBP2020_to_CAD2020</vt:lpstr>
      <vt:lpstr>GGE_DGE</vt:lpstr>
      <vt:lpstr>GSL_PJ_ML</vt:lpstr>
      <vt:lpstr>GWy_PJ</vt:lpstr>
      <vt:lpstr>H2_HHV_by_LHV</vt:lpstr>
      <vt:lpstr>HDRD_GJ_L</vt:lpstr>
      <vt:lpstr>HFO_MDO</vt:lpstr>
      <vt:lpstr>HFO_MJ_L</vt:lpstr>
      <vt:lpstr>km_mile</vt:lpstr>
      <vt:lpstr>kWh_GGE</vt:lpstr>
      <vt:lpstr>L_100km_to_mpg</vt:lpstr>
      <vt:lpstr>L_gal</vt:lpstr>
      <vt:lpstr>LHV_to_HHV_Diesel</vt:lpstr>
      <vt:lpstr>MDO_MJ_L</vt:lpstr>
      <vt:lpstr>MGO_MDO</vt:lpstr>
      <vt:lpstr>MJ_Btu</vt:lpstr>
      <vt:lpstr>MJ_MMBtu</vt:lpstr>
      <vt:lpstr>NG_HHV_by_LHV</vt:lpstr>
      <vt:lpstr>PJ_MMBtu</vt:lpstr>
      <vt:lpstr>ton_tonne</vt:lpstr>
      <vt:lpstr>tonne_ton</vt:lpstr>
      <vt:lpstr>USD_CAD_2020</vt:lpstr>
      <vt:lpstr>USD2005_to_CAD2020</vt:lpstr>
      <vt:lpstr>USD2017_to_CAD2020</vt:lpstr>
      <vt:lpstr>USD2018_to_CAD2020</vt:lpstr>
      <vt:lpstr>USD2019_to_CAD2020</vt:lpstr>
      <vt:lpstr>USD2021_to_CAD2020</vt:lpstr>
      <vt:lpstr>USD2022_to_CAD2020</vt:lpstr>
      <vt:lpstr>USD2023_to_CAD2020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Rashid Zetter Salcedo</dc:creator>
  <cp:lastModifiedBy>Lih Wei Yeow</cp:lastModifiedBy>
  <cp:lastPrinted>2024-04-26T17:34:46Z</cp:lastPrinted>
  <dcterms:created xsi:type="dcterms:W3CDTF">2023-05-03T03:55:15Z</dcterms:created>
  <dcterms:modified xsi:type="dcterms:W3CDTF">2025-08-31T03:19:05Z</dcterms:modified>
</cp:coreProperties>
</file>